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xiaoxiaochen/Desktop/direct research/title_identification(2)/"/>
    </mc:Choice>
  </mc:AlternateContent>
  <xr:revisionPtr revIDLastSave="0" documentId="13_ncr:1_{3E4F3BC5-2C0B-DE45-A360-934D898A82EE}" xr6:coauthVersionLast="45" xr6:coauthVersionMax="45" xr10:uidLastSave="{00000000-0000-0000-0000-000000000000}"/>
  <bookViews>
    <workbookView xWindow="0" yWindow="460" windowWidth="28800" windowHeight="15940" xr2:uid="{00000000-000D-0000-FFFF-FFFF00000000}"/>
  </bookViews>
  <sheets>
    <sheet name="Title Alignment" sheetId="1" r:id="rId1"/>
  </sheets>
  <definedNames>
    <definedName name="_xlnm._FilterDatabase" localSheetId="0" hidden="1">'Title Alignment'!$A$1:$Y$8128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4186" i="1" l="1"/>
  <c r="N8126" i="1"/>
  <c r="M8126" i="1"/>
  <c r="N8125" i="1"/>
  <c r="M8125" i="1"/>
  <c r="N8124" i="1"/>
  <c r="M8124" i="1"/>
  <c r="N8123" i="1"/>
  <c r="M8123" i="1"/>
  <c r="M8120" i="1"/>
  <c r="M8119" i="1"/>
  <c r="N8118" i="1"/>
  <c r="M8118" i="1"/>
  <c r="N8117" i="1"/>
  <c r="M8117" i="1"/>
  <c r="N8116" i="1"/>
  <c r="M8116" i="1"/>
  <c r="N8113" i="1"/>
  <c r="M8113" i="1"/>
  <c r="N8112" i="1"/>
  <c r="M8112" i="1"/>
  <c r="N8111" i="1"/>
  <c r="M8111" i="1"/>
  <c r="P8110" i="1"/>
  <c r="O8110" i="1"/>
  <c r="N8110" i="1"/>
  <c r="M8110" i="1"/>
  <c r="O8109" i="1"/>
  <c r="N8109" i="1"/>
  <c r="M8109" i="1"/>
  <c r="M8106" i="1"/>
  <c r="N8105" i="1"/>
  <c r="M8105" i="1"/>
  <c r="N8104" i="1"/>
  <c r="M8104" i="1"/>
  <c r="P8102" i="1"/>
  <c r="O8102" i="1"/>
  <c r="N8102" i="1"/>
  <c r="M8102" i="1"/>
  <c r="M8099" i="1"/>
  <c r="M8097" i="1"/>
  <c r="N8095" i="1"/>
  <c r="M8095" i="1"/>
  <c r="N8091" i="1"/>
  <c r="M8091" i="1"/>
  <c r="M8090" i="1"/>
  <c r="N8089" i="1"/>
  <c r="M8089" i="1"/>
  <c r="O8088" i="1"/>
  <c r="N8088" i="1"/>
  <c r="M8088" i="1"/>
  <c r="M8085" i="1"/>
  <c r="M8084" i="1"/>
  <c r="N8083" i="1"/>
  <c r="M8083" i="1"/>
  <c r="M8082" i="1"/>
  <c r="M8081" i="1"/>
  <c r="M8078" i="1"/>
  <c r="M8077" i="1"/>
  <c r="N8076" i="1"/>
  <c r="M8076" i="1"/>
  <c r="M8075" i="1"/>
  <c r="O8074" i="1"/>
  <c r="N8074" i="1"/>
  <c r="M8074" i="1"/>
  <c r="M8071" i="1"/>
  <c r="N8070" i="1"/>
  <c r="M8070" i="1"/>
  <c r="N8069" i="1"/>
  <c r="M8069" i="1"/>
  <c r="N8068" i="1"/>
  <c r="M8068" i="1"/>
  <c r="M8067" i="1"/>
  <c r="M8064" i="1"/>
  <c r="M8063" i="1"/>
  <c r="N8062" i="1"/>
  <c r="M8062" i="1"/>
  <c r="M8061" i="1"/>
  <c r="O8060" i="1"/>
  <c r="N8060" i="1"/>
  <c r="M8060" i="1"/>
  <c r="M8057" i="1"/>
  <c r="M8056" i="1"/>
  <c r="M8055" i="1"/>
  <c r="M8054" i="1"/>
  <c r="N8053" i="1"/>
  <c r="M8053" i="1"/>
  <c r="N8049" i="1"/>
  <c r="M8049" i="1"/>
  <c r="N8048" i="1"/>
  <c r="M8048" i="1"/>
  <c r="N8047" i="1"/>
  <c r="M8047" i="1"/>
  <c r="P8046" i="1"/>
  <c r="O8046" i="1"/>
  <c r="N8046" i="1"/>
  <c r="M8046" i="1"/>
  <c r="N8043" i="1"/>
  <c r="M8043" i="1"/>
  <c r="M8041" i="1"/>
  <c r="N8040" i="1"/>
  <c r="M8040" i="1"/>
  <c r="N8039" i="1"/>
  <c r="M8039" i="1"/>
  <c r="M8036" i="1"/>
  <c r="N8035" i="1"/>
  <c r="M8035" i="1"/>
  <c r="N8034" i="1"/>
  <c r="M8034" i="1"/>
  <c r="N8033" i="1"/>
  <c r="M8033" i="1"/>
  <c r="M8032" i="1"/>
  <c r="P8029" i="1"/>
  <c r="O8029" i="1"/>
  <c r="N8029" i="1"/>
  <c r="M8029" i="1"/>
  <c r="O8028" i="1"/>
  <c r="N8028" i="1"/>
  <c r="M8028" i="1"/>
  <c r="M8027" i="1"/>
  <c r="N8026" i="1"/>
  <c r="M8026" i="1"/>
  <c r="N8025" i="1"/>
  <c r="M8025" i="1"/>
  <c r="N8022" i="1"/>
  <c r="M8022" i="1"/>
  <c r="N8021" i="1"/>
  <c r="M8021" i="1"/>
  <c r="N8020" i="1"/>
  <c r="M8020" i="1"/>
  <c r="N8018" i="1"/>
  <c r="M8018" i="1"/>
  <c r="M8015" i="1"/>
  <c r="N8014" i="1"/>
  <c r="M8014" i="1"/>
  <c r="M8013" i="1"/>
  <c r="M8012" i="1"/>
  <c r="N8011" i="1"/>
  <c r="M8011" i="1"/>
  <c r="M8006" i="1"/>
  <c r="M8005" i="1"/>
  <c r="M8001" i="1"/>
  <c r="N7999" i="1"/>
  <c r="M7999" i="1"/>
  <c r="N7997" i="1"/>
  <c r="M7997" i="1"/>
  <c r="M7991" i="1"/>
  <c r="M7990" i="1"/>
  <c r="M7987" i="1"/>
  <c r="N7986" i="1"/>
  <c r="M7986" i="1"/>
  <c r="M7985" i="1"/>
  <c r="M7984" i="1"/>
  <c r="P7983" i="1"/>
  <c r="O7983" i="1"/>
  <c r="N7983" i="1"/>
  <c r="M7983" i="1"/>
  <c r="M7980" i="1"/>
  <c r="N7979" i="1"/>
  <c r="M7979" i="1"/>
  <c r="N7978" i="1"/>
  <c r="M7978" i="1"/>
  <c r="M7977" i="1"/>
  <c r="N7976" i="1"/>
  <c r="M7976" i="1"/>
  <c r="M7973" i="1"/>
  <c r="N7971" i="1"/>
  <c r="M7971" i="1"/>
  <c r="M7970" i="1"/>
  <c r="M7969" i="1"/>
  <c r="M7966" i="1"/>
  <c r="N7965" i="1"/>
  <c r="M7965" i="1"/>
  <c r="N7964" i="1"/>
  <c r="M7964" i="1"/>
  <c r="N7963" i="1"/>
  <c r="M7963" i="1"/>
  <c r="N7962" i="1"/>
  <c r="M7962" i="1"/>
  <c r="N7959" i="1"/>
  <c r="M7959" i="1"/>
  <c r="O7957" i="1"/>
  <c r="N7957" i="1"/>
  <c r="M7957" i="1"/>
  <c r="M7956" i="1"/>
  <c r="M7955" i="1"/>
  <c r="N7951" i="1"/>
  <c r="M7951" i="1"/>
  <c r="N7950" i="1"/>
  <c r="M7950" i="1"/>
  <c r="O7949" i="1"/>
  <c r="N7949" i="1"/>
  <c r="M7949" i="1"/>
  <c r="N7948" i="1"/>
  <c r="M7948" i="1"/>
  <c r="M7944" i="1"/>
  <c r="N7941" i="1"/>
  <c r="M7941" i="1"/>
  <c r="N7938" i="1"/>
  <c r="M7938" i="1"/>
  <c r="M7937" i="1"/>
  <c r="N7936" i="1"/>
  <c r="M7936" i="1"/>
  <c r="M7935" i="1"/>
  <c r="N7934" i="1"/>
  <c r="M7934" i="1"/>
  <c r="N7931" i="1"/>
  <c r="M7931" i="1"/>
  <c r="N7929" i="1"/>
  <c r="M7929" i="1"/>
  <c r="O7928" i="1"/>
  <c r="N7928" i="1"/>
  <c r="M7928" i="1"/>
  <c r="N7927" i="1"/>
  <c r="M7927" i="1"/>
  <c r="N7924" i="1"/>
  <c r="M7924" i="1"/>
  <c r="M7921" i="1"/>
  <c r="N7920" i="1"/>
  <c r="M7920" i="1"/>
  <c r="N7913" i="1"/>
  <c r="M7913" i="1"/>
  <c r="N7909" i="1"/>
  <c r="M7909" i="1"/>
  <c r="N7908" i="1"/>
  <c r="M7908" i="1"/>
  <c r="N7907" i="1"/>
  <c r="M7907" i="1"/>
  <c r="N7906" i="1"/>
  <c r="M7906" i="1"/>
  <c r="M7903" i="1"/>
  <c r="N7901" i="1"/>
  <c r="M7901" i="1"/>
  <c r="M7900" i="1"/>
  <c r="N7899" i="1"/>
  <c r="M7899" i="1"/>
  <c r="N7896" i="1"/>
  <c r="M7896" i="1"/>
  <c r="M7895" i="1"/>
  <c r="M7894" i="1"/>
  <c r="M7893" i="1"/>
  <c r="M7889" i="1"/>
  <c r="M7888" i="1"/>
  <c r="N7887" i="1"/>
  <c r="M7887" i="1"/>
  <c r="N7886" i="1"/>
  <c r="M7886" i="1"/>
  <c r="P7885" i="1"/>
  <c r="O7885" i="1"/>
  <c r="N7885" i="1"/>
  <c r="M7885" i="1"/>
  <c r="N7882" i="1"/>
  <c r="M7882" i="1"/>
  <c r="N7881" i="1"/>
  <c r="M7881" i="1"/>
  <c r="N7880" i="1"/>
  <c r="M7880" i="1"/>
  <c r="N7878" i="1"/>
  <c r="M7878" i="1"/>
  <c r="M7875" i="1"/>
  <c r="N7871" i="1"/>
  <c r="M7871" i="1"/>
  <c r="N7868" i="1"/>
  <c r="M7868" i="1"/>
  <c r="M7867" i="1"/>
  <c r="N7866" i="1"/>
  <c r="M7866" i="1"/>
  <c r="N7865" i="1"/>
  <c r="M7865" i="1"/>
  <c r="N7864" i="1"/>
  <c r="M7864" i="1"/>
  <c r="M7861" i="1"/>
  <c r="N7860" i="1"/>
  <c r="M7860" i="1"/>
  <c r="O7859" i="1"/>
  <c r="N7859" i="1"/>
  <c r="M7859" i="1"/>
  <c r="N7858" i="1"/>
  <c r="M7858" i="1"/>
  <c r="N7857" i="1"/>
  <c r="M7857" i="1"/>
  <c r="M7852" i="1"/>
  <c r="M7851" i="1"/>
  <c r="N7850" i="1"/>
  <c r="M7850" i="1"/>
  <c r="P7847" i="1"/>
  <c r="O7847" i="1"/>
  <c r="N7847" i="1"/>
  <c r="M7847" i="1"/>
  <c r="M7846" i="1"/>
  <c r="N7845" i="1"/>
  <c r="M7845" i="1"/>
  <c r="N7844" i="1"/>
  <c r="M7844" i="1"/>
  <c r="N7843" i="1"/>
  <c r="M7843" i="1"/>
  <c r="M7840" i="1"/>
  <c r="N7839" i="1"/>
  <c r="M7839" i="1"/>
  <c r="N7838" i="1"/>
  <c r="M7838" i="1"/>
  <c r="N7837" i="1"/>
  <c r="M7837" i="1"/>
  <c r="N7836" i="1"/>
  <c r="M7836" i="1"/>
  <c r="M7832" i="1"/>
  <c r="N7830" i="1"/>
  <c r="M7830" i="1"/>
  <c r="N7829" i="1"/>
  <c r="M7829" i="1"/>
  <c r="N7825" i="1"/>
  <c r="M7825" i="1"/>
  <c r="M7824" i="1"/>
  <c r="N7823" i="1"/>
  <c r="M7823" i="1"/>
  <c r="N7822" i="1"/>
  <c r="M7822" i="1"/>
  <c r="N7819" i="1"/>
  <c r="M7819" i="1"/>
  <c r="N7818" i="1"/>
  <c r="M7818" i="1"/>
  <c r="M7817" i="1"/>
  <c r="M7816" i="1"/>
  <c r="M7815" i="1"/>
  <c r="N7812" i="1"/>
  <c r="M7812" i="1"/>
  <c r="N7811" i="1"/>
  <c r="M7811" i="1"/>
  <c r="O7810" i="1"/>
  <c r="N7810" i="1"/>
  <c r="M7810" i="1"/>
  <c r="N7809" i="1"/>
  <c r="M7809" i="1"/>
  <c r="M7808" i="1"/>
  <c r="N7805" i="1"/>
  <c r="M7805" i="1"/>
  <c r="N7804" i="1"/>
  <c r="M7804" i="1"/>
  <c r="M7803" i="1"/>
  <c r="N7802" i="1"/>
  <c r="M7802" i="1"/>
  <c r="M7801" i="1"/>
  <c r="M7797" i="1"/>
  <c r="M7796" i="1"/>
  <c r="N7795" i="1"/>
  <c r="M7795" i="1"/>
  <c r="M7794" i="1"/>
  <c r="M7791" i="1"/>
  <c r="M7790" i="1"/>
  <c r="M7788" i="1"/>
  <c r="N7783" i="1"/>
  <c r="M7783" i="1"/>
  <c r="N7782" i="1"/>
  <c r="M7782" i="1"/>
  <c r="N7781" i="1"/>
  <c r="M7781" i="1"/>
  <c r="N7780" i="1"/>
  <c r="M7780" i="1"/>
  <c r="M7775" i="1"/>
  <c r="M7774" i="1"/>
  <c r="N7773" i="1"/>
  <c r="M7773" i="1"/>
  <c r="N7770" i="1"/>
  <c r="M7770" i="1"/>
  <c r="N7769" i="1"/>
  <c r="M7769" i="1"/>
  <c r="M7768" i="1"/>
  <c r="M7767" i="1"/>
  <c r="N7766" i="1"/>
  <c r="M7766" i="1"/>
  <c r="M7761" i="1"/>
  <c r="N7760" i="1"/>
  <c r="M7760" i="1"/>
  <c r="N7759" i="1"/>
  <c r="M7759" i="1"/>
  <c r="P7756" i="1"/>
  <c r="O7756" i="1"/>
  <c r="N7756" i="1"/>
  <c r="M7756" i="1"/>
  <c r="N7755" i="1"/>
  <c r="M7755" i="1"/>
  <c r="P7754" i="1"/>
  <c r="O7754" i="1"/>
  <c r="N7754" i="1"/>
  <c r="M7754" i="1"/>
  <c r="O7753" i="1"/>
  <c r="N7753" i="1"/>
  <c r="M7753" i="1"/>
  <c r="P7752" i="1"/>
  <c r="O7752" i="1"/>
  <c r="N7752" i="1"/>
  <c r="M7752" i="1"/>
  <c r="N7749" i="1"/>
  <c r="M7749" i="1"/>
  <c r="O7748" i="1"/>
  <c r="N7748" i="1"/>
  <c r="M7748" i="1"/>
  <c r="N7747" i="1"/>
  <c r="M7747" i="1"/>
  <c r="M7746" i="1"/>
  <c r="N7745" i="1"/>
  <c r="M7745" i="1"/>
  <c r="N7742" i="1"/>
  <c r="M7742" i="1"/>
  <c r="N7741" i="1"/>
  <c r="M7741" i="1"/>
  <c r="N7740" i="1"/>
  <c r="M7740" i="1"/>
  <c r="N7739" i="1"/>
  <c r="M7739" i="1"/>
  <c r="N7738" i="1"/>
  <c r="M7738" i="1"/>
  <c r="N7735" i="1"/>
  <c r="M7735" i="1"/>
  <c r="M7734" i="1"/>
  <c r="N7733" i="1"/>
  <c r="M7733" i="1"/>
  <c r="N7732" i="1"/>
  <c r="M7732" i="1"/>
  <c r="N7731" i="1"/>
  <c r="M7731" i="1"/>
  <c r="N7728" i="1"/>
  <c r="M7728" i="1"/>
  <c r="M7727" i="1"/>
  <c r="N7726" i="1"/>
  <c r="M7726" i="1"/>
  <c r="M7725" i="1"/>
  <c r="P7724" i="1"/>
  <c r="O7724" i="1"/>
  <c r="N7724" i="1"/>
  <c r="M7724" i="1"/>
  <c r="N7721" i="1"/>
  <c r="M7721" i="1"/>
  <c r="N7720" i="1"/>
  <c r="M7720" i="1"/>
  <c r="M7719" i="1"/>
  <c r="M7718" i="1"/>
  <c r="M7717" i="1"/>
  <c r="N7714" i="1"/>
  <c r="M7714" i="1"/>
  <c r="M7713" i="1"/>
  <c r="N7712" i="1"/>
  <c r="M7712" i="1"/>
  <c r="N7711" i="1"/>
  <c r="M7711" i="1"/>
  <c r="N7710" i="1"/>
  <c r="M7710" i="1"/>
  <c r="N7707" i="1"/>
  <c r="M7707" i="1"/>
  <c r="N7705" i="1"/>
  <c r="M7705" i="1"/>
  <c r="M7704" i="1"/>
  <c r="M7703" i="1"/>
  <c r="N7699" i="1"/>
  <c r="M7699" i="1"/>
  <c r="M7697" i="1"/>
  <c r="M7696" i="1"/>
  <c r="N7693" i="1"/>
  <c r="M7693" i="1"/>
  <c r="P7692" i="1"/>
  <c r="O7692" i="1"/>
  <c r="N7692" i="1"/>
  <c r="M7692" i="1"/>
  <c r="N7691" i="1"/>
  <c r="M7691" i="1"/>
  <c r="P7690" i="1"/>
  <c r="O7690" i="1"/>
  <c r="N7690" i="1"/>
  <c r="M7690" i="1"/>
  <c r="Q7689" i="1"/>
  <c r="P7689" i="1"/>
  <c r="O7689" i="1"/>
  <c r="N7689" i="1"/>
  <c r="M7689" i="1"/>
  <c r="M7686" i="1"/>
  <c r="N7684" i="1"/>
  <c r="M7684" i="1"/>
  <c r="M7683" i="1"/>
  <c r="M7682" i="1"/>
  <c r="N7679" i="1"/>
  <c r="M7679" i="1"/>
  <c r="N7678" i="1"/>
  <c r="M7678" i="1"/>
  <c r="N7677" i="1"/>
  <c r="M7677" i="1"/>
  <c r="N7676" i="1"/>
  <c r="M7676" i="1"/>
  <c r="P7675" i="1"/>
  <c r="O7675" i="1"/>
  <c r="N7675" i="1"/>
  <c r="M7675" i="1"/>
  <c r="N7672" i="1"/>
  <c r="M7672" i="1"/>
  <c r="N7671" i="1"/>
  <c r="M7671" i="1"/>
  <c r="M7669" i="1"/>
  <c r="M7668" i="1"/>
  <c r="M7664" i="1"/>
  <c r="N7661" i="1"/>
  <c r="M7661" i="1"/>
  <c r="N7658" i="1"/>
  <c r="M7658" i="1"/>
  <c r="M7657" i="1"/>
  <c r="M7656" i="1"/>
  <c r="M7655" i="1"/>
  <c r="M7654" i="1"/>
  <c r="N7651" i="1"/>
  <c r="M7651" i="1"/>
  <c r="M7650" i="1"/>
  <c r="N7649" i="1"/>
  <c r="M7649" i="1"/>
  <c r="M7648" i="1"/>
  <c r="N7647" i="1"/>
  <c r="M7647" i="1"/>
  <c r="N7640" i="1"/>
  <c r="M7640" i="1"/>
  <c r="M7637" i="1"/>
  <c r="N7636" i="1"/>
  <c r="M7636" i="1"/>
  <c r="N7635" i="1"/>
  <c r="M7635" i="1"/>
  <c r="N7634" i="1"/>
  <c r="M7634" i="1"/>
  <c r="N7633" i="1"/>
  <c r="M7633" i="1"/>
  <c r="N7630" i="1"/>
  <c r="M7630" i="1"/>
  <c r="M7629" i="1"/>
  <c r="N7628" i="1"/>
  <c r="M7628" i="1"/>
  <c r="M7627" i="1"/>
  <c r="N7626" i="1"/>
  <c r="M7626" i="1"/>
  <c r="M7623" i="1"/>
  <c r="M7622" i="1"/>
  <c r="N7621" i="1"/>
  <c r="M7621" i="1"/>
  <c r="N7620" i="1"/>
  <c r="M7620" i="1"/>
  <c r="O7619" i="1"/>
  <c r="N7619" i="1"/>
  <c r="M7619" i="1"/>
  <c r="N7616" i="1"/>
  <c r="M7616" i="1"/>
  <c r="M7615" i="1"/>
  <c r="M7614" i="1"/>
  <c r="M7612" i="1"/>
  <c r="M7609" i="1"/>
  <c r="M7608" i="1"/>
  <c r="M7607" i="1"/>
  <c r="N7605" i="1"/>
  <c r="M7605" i="1"/>
  <c r="M7601" i="1"/>
  <c r="M7599" i="1"/>
  <c r="M7598" i="1"/>
  <c r="M7595" i="1"/>
  <c r="N7594" i="1"/>
  <c r="M7594" i="1"/>
  <c r="N7592" i="1"/>
  <c r="M7592" i="1"/>
  <c r="N7591" i="1"/>
  <c r="M7591" i="1"/>
  <c r="N7588" i="1"/>
  <c r="M7588" i="1"/>
  <c r="N7587" i="1"/>
  <c r="M7587" i="1"/>
  <c r="N7586" i="1"/>
  <c r="M7586" i="1"/>
  <c r="M7585" i="1"/>
  <c r="M7584" i="1"/>
  <c r="M7581" i="1"/>
  <c r="M7580" i="1"/>
  <c r="N7579" i="1"/>
  <c r="M7579" i="1"/>
  <c r="M7578" i="1"/>
  <c r="N7577" i="1"/>
  <c r="M7577" i="1"/>
  <c r="N7574" i="1"/>
  <c r="M7574" i="1"/>
  <c r="M7573" i="1"/>
  <c r="M7572" i="1"/>
  <c r="N7571" i="1"/>
  <c r="M7571" i="1"/>
  <c r="N7570" i="1"/>
  <c r="M7570" i="1"/>
  <c r="M7567" i="1"/>
  <c r="N7566" i="1"/>
  <c r="M7566" i="1"/>
  <c r="N7565" i="1"/>
  <c r="M7565" i="1"/>
  <c r="N7564" i="1"/>
  <c r="M7564" i="1"/>
  <c r="M7563" i="1"/>
  <c r="M7560" i="1"/>
  <c r="N7559" i="1"/>
  <c r="M7559" i="1"/>
  <c r="N7557" i="1"/>
  <c r="M7557" i="1"/>
  <c r="N7556" i="1"/>
  <c r="M7556" i="1"/>
  <c r="M7553" i="1"/>
  <c r="N7550" i="1"/>
  <c r="M7550" i="1"/>
  <c r="N7549" i="1"/>
  <c r="M7549" i="1"/>
  <c r="M7546" i="1"/>
  <c r="N7545" i="1"/>
  <c r="M7545" i="1"/>
  <c r="M7544" i="1"/>
  <c r="N7543" i="1"/>
  <c r="M7543" i="1"/>
  <c r="M7542" i="1"/>
  <c r="N7538" i="1"/>
  <c r="M7538" i="1"/>
  <c r="M7536" i="1"/>
  <c r="N7535" i="1"/>
  <c r="M7535" i="1"/>
  <c r="N7532" i="1"/>
  <c r="M7532" i="1"/>
  <c r="M7531" i="1"/>
  <c r="M7530" i="1"/>
  <c r="N7528" i="1"/>
  <c r="M7528" i="1"/>
  <c r="M7525" i="1"/>
  <c r="M7524" i="1"/>
  <c r="M7523" i="1"/>
  <c r="N7522" i="1"/>
  <c r="M7522" i="1"/>
  <c r="N7521" i="1"/>
  <c r="M7521" i="1"/>
  <c r="N7517" i="1"/>
  <c r="M7517" i="1"/>
  <c r="N7515" i="1"/>
  <c r="M7515" i="1"/>
  <c r="N7514" i="1"/>
  <c r="M7514" i="1"/>
  <c r="M7509" i="1"/>
  <c r="M7508" i="1"/>
  <c r="M7507" i="1"/>
  <c r="O7504" i="1"/>
  <c r="N7504" i="1"/>
  <c r="M7504" i="1"/>
  <c r="M7503" i="1"/>
  <c r="O7500" i="1"/>
  <c r="N7500" i="1"/>
  <c r="M7500" i="1"/>
  <c r="O7496" i="1"/>
  <c r="N7496" i="1"/>
  <c r="M7496" i="1"/>
  <c r="N7495" i="1"/>
  <c r="M7495" i="1"/>
  <c r="M7494" i="1"/>
  <c r="N7493" i="1"/>
  <c r="M7493" i="1"/>
  <c r="N7490" i="1"/>
  <c r="M7490" i="1"/>
  <c r="M7489" i="1"/>
  <c r="M7488" i="1"/>
  <c r="O7487" i="1"/>
  <c r="N7487" i="1"/>
  <c r="M7487" i="1"/>
  <c r="N7486" i="1"/>
  <c r="M7486" i="1"/>
  <c r="P7483" i="1"/>
  <c r="O7483" i="1"/>
  <c r="N7483" i="1"/>
  <c r="M7483" i="1"/>
  <c r="M7482" i="1"/>
  <c r="M7481" i="1"/>
  <c r="M7480" i="1"/>
  <c r="N7479" i="1"/>
  <c r="M7479" i="1"/>
  <c r="N7476" i="1"/>
  <c r="M7476" i="1"/>
  <c r="M7473" i="1"/>
  <c r="N7472" i="1"/>
  <c r="M7472" i="1"/>
  <c r="M7469" i="1"/>
  <c r="N7468" i="1"/>
  <c r="M7468" i="1"/>
  <c r="M7467" i="1"/>
  <c r="M7466" i="1"/>
  <c r="P7465" i="1"/>
  <c r="O7465" i="1"/>
  <c r="N7465" i="1"/>
  <c r="M7465" i="1"/>
  <c r="P7462" i="1"/>
  <c r="O7462" i="1"/>
  <c r="N7462" i="1"/>
  <c r="M7462" i="1"/>
  <c r="N7461" i="1"/>
  <c r="M7461" i="1"/>
  <c r="N7460" i="1"/>
  <c r="M7460" i="1"/>
  <c r="N7459" i="1"/>
  <c r="M7459" i="1"/>
  <c r="P7458" i="1"/>
  <c r="O7458" i="1"/>
  <c r="N7458" i="1"/>
  <c r="M7458" i="1"/>
  <c r="M7455" i="1"/>
  <c r="N7453" i="1"/>
  <c r="M7453" i="1"/>
  <c r="M7452" i="1"/>
  <c r="N7451" i="1"/>
  <c r="M7451" i="1"/>
  <c r="M7447" i="1"/>
  <c r="N7445" i="1"/>
  <c r="M7445" i="1"/>
  <c r="N7444" i="1"/>
  <c r="M7444" i="1"/>
  <c r="O7441" i="1"/>
  <c r="N7441" i="1"/>
  <c r="M7441" i="1"/>
  <c r="N7440" i="1"/>
  <c r="M7440" i="1"/>
  <c r="M7439" i="1"/>
  <c r="O7438" i="1"/>
  <c r="N7438" i="1"/>
  <c r="M7438" i="1"/>
  <c r="P7437" i="1"/>
  <c r="O7437" i="1"/>
  <c r="N7437" i="1"/>
  <c r="M7437" i="1"/>
  <c r="O7430" i="1"/>
  <c r="N7430" i="1"/>
  <c r="M7430" i="1"/>
  <c r="N7426" i="1"/>
  <c r="M7426" i="1"/>
  <c r="N7425" i="1"/>
  <c r="M7425" i="1"/>
  <c r="N7424" i="1"/>
  <c r="M7424" i="1"/>
  <c r="N7423" i="1"/>
  <c r="M7423" i="1"/>
  <c r="N7420" i="1"/>
  <c r="M7420" i="1"/>
  <c r="M7419" i="1"/>
  <c r="N7418" i="1"/>
  <c r="M7418" i="1"/>
  <c r="N7417" i="1"/>
  <c r="M7417" i="1"/>
  <c r="N7416" i="1"/>
  <c r="M7416" i="1"/>
  <c r="N7412" i="1"/>
  <c r="M7412" i="1"/>
  <c r="N7411" i="1"/>
  <c r="M7411" i="1"/>
  <c r="M7410" i="1"/>
  <c r="M7409" i="1"/>
  <c r="N7406" i="1"/>
  <c r="M7406" i="1"/>
  <c r="N7405" i="1"/>
  <c r="M7405" i="1"/>
  <c r="P7404" i="1"/>
  <c r="O7404" i="1"/>
  <c r="N7404" i="1"/>
  <c r="M7404" i="1"/>
  <c r="N7403" i="1"/>
  <c r="M7403" i="1"/>
  <c r="N7402" i="1"/>
  <c r="M7402" i="1"/>
  <c r="N7399" i="1"/>
  <c r="M7399" i="1"/>
  <c r="M7398" i="1"/>
  <c r="N7397" i="1"/>
  <c r="M7397" i="1"/>
  <c r="N7396" i="1"/>
  <c r="M7396" i="1"/>
  <c r="N7395" i="1"/>
  <c r="M7395" i="1"/>
  <c r="M7392" i="1"/>
  <c r="P7391" i="1"/>
  <c r="O7391" i="1"/>
  <c r="N7391" i="1"/>
  <c r="M7391" i="1"/>
  <c r="N7390" i="1"/>
  <c r="M7390" i="1"/>
  <c r="N7389" i="1"/>
  <c r="M7389" i="1"/>
  <c r="N7388" i="1"/>
  <c r="M7388" i="1"/>
  <c r="N7385" i="1"/>
  <c r="M7385" i="1"/>
  <c r="N7384" i="1"/>
  <c r="M7384" i="1"/>
  <c r="P7383" i="1"/>
  <c r="O7383" i="1"/>
  <c r="N7383" i="1"/>
  <c r="M7383" i="1"/>
  <c r="O7382" i="1"/>
  <c r="N7382" i="1"/>
  <c r="M7382" i="1"/>
  <c r="N7381" i="1"/>
  <c r="M7381" i="1"/>
  <c r="M7377" i="1"/>
  <c r="N7376" i="1"/>
  <c r="M7376" i="1"/>
  <c r="N7374" i="1"/>
  <c r="M7374" i="1"/>
  <c r="N7371" i="1"/>
  <c r="M7371" i="1"/>
  <c r="M7370" i="1"/>
  <c r="N7369" i="1"/>
  <c r="M7369" i="1"/>
  <c r="M7368" i="1"/>
  <c r="M7367" i="1"/>
  <c r="N7362" i="1"/>
  <c r="M7362" i="1"/>
  <c r="O7360" i="1"/>
  <c r="N7360" i="1"/>
  <c r="M7360" i="1"/>
  <c r="N7357" i="1"/>
  <c r="M7357" i="1"/>
  <c r="N7356" i="1"/>
  <c r="M7356" i="1"/>
  <c r="N7355" i="1"/>
  <c r="M7355" i="1"/>
  <c r="N7354" i="1"/>
  <c r="M7354" i="1"/>
  <c r="N7353" i="1"/>
  <c r="M7353" i="1"/>
  <c r="O7350" i="1"/>
  <c r="N7350" i="1"/>
  <c r="M7350" i="1"/>
  <c r="O7349" i="1"/>
  <c r="N7349" i="1"/>
  <c r="M7349" i="1"/>
  <c r="N7348" i="1"/>
  <c r="M7348" i="1"/>
  <c r="R7347" i="1"/>
  <c r="Q7347" i="1"/>
  <c r="P7347" i="1"/>
  <c r="O7347" i="1"/>
  <c r="N7347" i="1"/>
  <c r="M7347" i="1"/>
  <c r="O7346" i="1"/>
  <c r="N7346" i="1"/>
  <c r="M7346" i="1"/>
  <c r="N7342" i="1"/>
  <c r="M7342" i="1"/>
  <c r="N7340" i="1"/>
  <c r="M7340" i="1"/>
  <c r="N7339" i="1"/>
  <c r="M7339" i="1"/>
  <c r="N7336" i="1"/>
  <c r="M7336" i="1"/>
  <c r="M7335" i="1"/>
  <c r="M7334" i="1"/>
  <c r="N7332" i="1"/>
  <c r="M7332" i="1"/>
  <c r="N7329" i="1"/>
  <c r="M7329" i="1"/>
  <c r="O7328" i="1"/>
  <c r="N7328" i="1"/>
  <c r="M7328" i="1"/>
  <c r="N7326" i="1"/>
  <c r="M7326" i="1"/>
  <c r="N7325" i="1"/>
  <c r="M7325" i="1"/>
  <c r="M7321" i="1"/>
  <c r="N7318" i="1"/>
  <c r="M7318" i="1"/>
  <c r="N7315" i="1"/>
  <c r="M7315" i="1"/>
  <c r="N7314" i="1"/>
  <c r="M7314" i="1"/>
  <c r="N7312" i="1"/>
  <c r="M7312" i="1"/>
  <c r="N7311" i="1"/>
  <c r="M7311" i="1"/>
  <c r="M7308" i="1"/>
  <c r="M7307" i="1"/>
  <c r="M7305" i="1"/>
  <c r="M7304" i="1"/>
  <c r="M7301" i="1"/>
  <c r="N7299" i="1"/>
  <c r="M7299" i="1"/>
  <c r="N7298" i="1"/>
  <c r="M7298" i="1"/>
  <c r="N7297" i="1"/>
  <c r="M7297" i="1"/>
  <c r="M7294" i="1"/>
  <c r="M7293" i="1"/>
  <c r="N7292" i="1"/>
  <c r="M7292" i="1"/>
  <c r="M7291" i="1"/>
  <c r="N7290" i="1"/>
  <c r="M7290" i="1"/>
  <c r="M7286" i="1"/>
  <c r="N7285" i="1"/>
  <c r="M7285" i="1"/>
  <c r="M7283" i="1"/>
  <c r="N7280" i="1"/>
  <c r="M7280" i="1"/>
  <c r="N7278" i="1"/>
  <c r="M7278" i="1"/>
  <c r="M7277" i="1"/>
  <c r="N7276" i="1"/>
  <c r="M7276" i="1"/>
  <c r="P7273" i="1"/>
  <c r="O7273" i="1"/>
  <c r="N7273" i="1"/>
  <c r="M7273" i="1"/>
  <c r="N7271" i="1"/>
  <c r="M7271" i="1"/>
  <c r="N7270" i="1"/>
  <c r="M7270" i="1"/>
  <c r="N7269" i="1"/>
  <c r="M7269" i="1"/>
  <c r="M7266" i="1"/>
  <c r="P7265" i="1"/>
  <c r="O7265" i="1"/>
  <c r="N7265" i="1"/>
  <c r="M7265" i="1"/>
  <c r="M7264" i="1"/>
  <c r="M7263" i="1"/>
  <c r="P7262" i="1"/>
  <c r="O7262" i="1"/>
  <c r="N7262" i="1"/>
  <c r="M7262" i="1"/>
  <c r="N7258" i="1"/>
  <c r="M7258" i="1"/>
  <c r="N7257" i="1"/>
  <c r="M7257" i="1"/>
  <c r="M7256" i="1"/>
  <c r="N7255" i="1"/>
  <c r="M7255" i="1"/>
  <c r="P7252" i="1"/>
  <c r="O7252" i="1"/>
  <c r="N7252" i="1"/>
  <c r="M7252" i="1"/>
  <c r="N7251" i="1"/>
  <c r="M7251" i="1"/>
  <c r="N7248" i="1"/>
  <c r="M7248" i="1"/>
  <c r="M7245" i="1"/>
  <c r="N7244" i="1"/>
  <c r="M7244" i="1"/>
  <c r="M7242" i="1"/>
  <c r="N7241" i="1"/>
  <c r="M7241" i="1"/>
  <c r="N7238" i="1"/>
  <c r="M7238" i="1"/>
  <c r="O7236" i="1"/>
  <c r="N7236" i="1"/>
  <c r="M7236" i="1"/>
  <c r="M7235" i="1"/>
  <c r="M7234" i="1"/>
  <c r="M7231" i="1"/>
  <c r="N7229" i="1"/>
  <c r="M7229" i="1"/>
  <c r="N7228" i="1"/>
  <c r="M7228" i="1"/>
  <c r="M7227" i="1"/>
  <c r="N7224" i="1"/>
  <c r="M7224" i="1"/>
  <c r="N7223" i="1"/>
  <c r="M7223" i="1"/>
  <c r="N7222" i="1"/>
  <c r="M7222" i="1"/>
  <c r="N7221" i="1"/>
  <c r="M7221" i="1"/>
  <c r="O7220" i="1"/>
  <c r="N7220" i="1"/>
  <c r="M7220" i="1"/>
  <c r="N7217" i="1"/>
  <c r="M7217" i="1"/>
  <c r="O7216" i="1"/>
  <c r="N7216" i="1"/>
  <c r="M7216" i="1"/>
  <c r="N7215" i="1"/>
  <c r="M7215" i="1"/>
  <c r="N7214" i="1"/>
  <c r="M7214" i="1"/>
  <c r="N7213" i="1"/>
  <c r="M7213" i="1"/>
  <c r="N7210" i="1"/>
  <c r="M7210" i="1"/>
  <c r="N7208" i="1"/>
  <c r="M7208" i="1"/>
  <c r="M7207" i="1"/>
  <c r="M7206" i="1"/>
  <c r="M7203" i="1"/>
  <c r="O7202" i="1"/>
  <c r="N7202" i="1"/>
  <c r="M7202" i="1"/>
  <c r="N7201" i="1"/>
  <c r="M7201" i="1"/>
  <c r="M7200" i="1"/>
  <c r="M7196" i="1"/>
  <c r="M7195" i="1"/>
  <c r="N7194" i="1"/>
  <c r="M7194" i="1"/>
  <c r="M7192" i="1"/>
  <c r="M7189" i="1"/>
  <c r="M7188" i="1"/>
  <c r="N7186" i="1"/>
  <c r="M7186" i="1"/>
  <c r="N7185" i="1"/>
  <c r="M7185" i="1"/>
  <c r="N7182" i="1"/>
  <c r="M7182" i="1"/>
  <c r="N7181" i="1"/>
  <c r="M7181" i="1"/>
  <c r="M7180" i="1"/>
  <c r="M7179" i="1"/>
  <c r="N7178" i="1"/>
  <c r="M7178" i="1"/>
  <c r="N7175" i="1"/>
  <c r="M7175" i="1"/>
  <c r="N7173" i="1"/>
  <c r="M7173" i="1"/>
  <c r="M7172" i="1"/>
  <c r="M7171" i="1"/>
  <c r="O7166" i="1"/>
  <c r="N7166" i="1"/>
  <c r="M7166" i="1"/>
  <c r="M7165" i="1"/>
  <c r="N7164" i="1"/>
  <c r="M7164" i="1"/>
  <c r="N7161" i="1"/>
  <c r="M7161" i="1"/>
  <c r="N7160" i="1"/>
  <c r="M7160" i="1"/>
  <c r="M7159" i="1"/>
  <c r="M7158" i="1"/>
  <c r="M7157" i="1"/>
  <c r="M7154" i="1"/>
  <c r="N7153" i="1"/>
  <c r="M7153" i="1"/>
  <c r="N7152" i="1"/>
  <c r="M7152" i="1"/>
  <c r="M7151" i="1"/>
  <c r="N7150" i="1"/>
  <c r="M7150" i="1"/>
  <c r="M7146" i="1"/>
  <c r="M7144" i="1"/>
  <c r="M7143" i="1"/>
  <c r="N7140" i="1"/>
  <c r="M7140" i="1"/>
  <c r="N7139" i="1"/>
  <c r="M7139" i="1"/>
  <c r="N7138" i="1"/>
  <c r="M7138" i="1"/>
  <c r="M7137" i="1"/>
  <c r="M7136" i="1"/>
  <c r="M7133" i="1"/>
  <c r="N7132" i="1"/>
  <c r="M7132" i="1"/>
  <c r="M7131" i="1"/>
  <c r="N7129" i="1"/>
  <c r="M7129" i="1"/>
  <c r="N7125" i="1"/>
  <c r="M7125" i="1"/>
  <c r="M7124" i="1"/>
  <c r="N7123" i="1"/>
  <c r="M7123" i="1"/>
  <c r="N7122" i="1"/>
  <c r="M7122" i="1"/>
  <c r="N7118" i="1"/>
  <c r="M7118" i="1"/>
  <c r="N7117" i="1"/>
  <c r="M7117" i="1"/>
  <c r="N7116" i="1"/>
  <c r="M7116" i="1"/>
  <c r="N7115" i="1"/>
  <c r="M7115" i="1"/>
  <c r="M7112" i="1"/>
  <c r="M7111" i="1"/>
  <c r="M7110" i="1"/>
  <c r="M7109" i="1"/>
  <c r="N7108" i="1"/>
  <c r="M7108" i="1"/>
  <c r="M7105" i="1"/>
  <c r="M7104" i="1"/>
  <c r="N7102" i="1"/>
  <c r="M7102" i="1"/>
  <c r="N7101" i="1"/>
  <c r="M7101" i="1"/>
  <c r="M7098" i="1"/>
  <c r="N7097" i="1"/>
  <c r="M7097" i="1"/>
  <c r="N7096" i="1"/>
  <c r="M7096" i="1"/>
  <c r="M7095" i="1"/>
  <c r="N7091" i="1"/>
  <c r="M7091" i="1"/>
  <c r="N7090" i="1"/>
  <c r="M7090" i="1"/>
  <c r="N7089" i="1"/>
  <c r="M7089" i="1"/>
  <c r="M7088" i="1"/>
  <c r="M7087" i="1"/>
  <c r="M7084" i="1"/>
  <c r="M7081" i="1"/>
  <c r="N7080" i="1"/>
  <c r="M7080" i="1"/>
  <c r="M7077" i="1"/>
  <c r="N7074" i="1"/>
  <c r="M7074" i="1"/>
  <c r="M7073" i="1"/>
  <c r="M7070" i="1"/>
  <c r="N7069" i="1"/>
  <c r="M7069" i="1"/>
  <c r="N7068" i="1"/>
  <c r="M7068" i="1"/>
  <c r="M7067" i="1"/>
  <c r="M7066" i="1"/>
  <c r="M7063" i="1"/>
  <c r="M7061" i="1"/>
  <c r="N7060" i="1"/>
  <c r="M7060" i="1"/>
  <c r="N7056" i="1"/>
  <c r="M7056" i="1"/>
  <c r="P7055" i="1"/>
  <c r="O7055" i="1"/>
  <c r="N7055" i="1"/>
  <c r="M7055" i="1"/>
  <c r="M7054" i="1"/>
  <c r="M7053" i="1"/>
  <c r="Q7052" i="1"/>
  <c r="P7052" i="1"/>
  <c r="O7052" i="1"/>
  <c r="N7052" i="1"/>
  <c r="M7052" i="1"/>
  <c r="N7049" i="1"/>
  <c r="M7049" i="1"/>
  <c r="N7048" i="1"/>
  <c r="M7048" i="1"/>
  <c r="N7047" i="1"/>
  <c r="M7047" i="1"/>
  <c r="M7046" i="1"/>
  <c r="N7045" i="1"/>
  <c r="M7045" i="1"/>
  <c r="O7042" i="1"/>
  <c r="N7042" i="1"/>
  <c r="M7042" i="1"/>
  <c r="O7041" i="1"/>
  <c r="N7041" i="1"/>
  <c r="M7041" i="1"/>
  <c r="M7040" i="1"/>
  <c r="M7039" i="1"/>
  <c r="O7038" i="1"/>
  <c r="N7038" i="1"/>
  <c r="M7038" i="1"/>
  <c r="N7034" i="1"/>
  <c r="M7034" i="1"/>
  <c r="N7033" i="1"/>
  <c r="M7033" i="1"/>
  <c r="N7031" i="1"/>
  <c r="M7031" i="1"/>
  <c r="M7028" i="1"/>
  <c r="M7025" i="1"/>
  <c r="M7024" i="1"/>
  <c r="M7021" i="1"/>
  <c r="N7020" i="1"/>
  <c r="M7020" i="1"/>
  <c r="N7019" i="1"/>
  <c r="M7019" i="1"/>
  <c r="M7018" i="1"/>
  <c r="N7017" i="1"/>
  <c r="M7017" i="1"/>
  <c r="N7013" i="1"/>
  <c r="M7013" i="1"/>
  <c r="M7012" i="1"/>
  <c r="N7011" i="1"/>
  <c r="M7011" i="1"/>
  <c r="P7010" i="1"/>
  <c r="O7010" i="1"/>
  <c r="N7010" i="1"/>
  <c r="M7010" i="1"/>
  <c r="N7006" i="1"/>
  <c r="M7006" i="1"/>
  <c r="N7005" i="1"/>
  <c r="M7005" i="1"/>
  <c r="M7004" i="1"/>
  <c r="N7003" i="1"/>
  <c r="M7003" i="1"/>
  <c r="M7000" i="1"/>
  <c r="N6999" i="1"/>
  <c r="M6999" i="1"/>
  <c r="N6998" i="1"/>
  <c r="M6998" i="1"/>
  <c r="N6997" i="1"/>
  <c r="M6997" i="1"/>
  <c r="N6996" i="1"/>
  <c r="M6996" i="1"/>
  <c r="N6993" i="1"/>
  <c r="M6993" i="1"/>
  <c r="N6992" i="1"/>
  <c r="M6992" i="1"/>
  <c r="N6991" i="1"/>
  <c r="M6991" i="1"/>
  <c r="M6990" i="1"/>
  <c r="N6989" i="1"/>
  <c r="M6989" i="1"/>
  <c r="M6986" i="1"/>
  <c r="N6985" i="1"/>
  <c r="M6985" i="1"/>
  <c r="P6984" i="1"/>
  <c r="O6984" i="1"/>
  <c r="N6984" i="1"/>
  <c r="M6984" i="1"/>
  <c r="N6983" i="1"/>
  <c r="M6983" i="1"/>
  <c r="N6982" i="1"/>
  <c r="M6982" i="1"/>
  <c r="N6979" i="1"/>
  <c r="M6979" i="1"/>
  <c r="O6978" i="1"/>
  <c r="N6978" i="1"/>
  <c r="M6978" i="1"/>
  <c r="P6977" i="1"/>
  <c r="O6977" i="1"/>
  <c r="N6977" i="1"/>
  <c r="M6977" i="1"/>
  <c r="N6976" i="1"/>
  <c r="M6976" i="1"/>
  <c r="N6975" i="1"/>
  <c r="M6975" i="1"/>
  <c r="O6972" i="1"/>
  <c r="N6972" i="1"/>
  <c r="M6972" i="1"/>
  <c r="P6970" i="1"/>
  <c r="O6970" i="1"/>
  <c r="N6970" i="1"/>
  <c r="M6970" i="1"/>
  <c r="N6969" i="1"/>
  <c r="M6969" i="1"/>
  <c r="N6968" i="1"/>
  <c r="M6968" i="1"/>
  <c r="N6965" i="1"/>
  <c r="M6965" i="1"/>
  <c r="M6964" i="1"/>
  <c r="M6963" i="1"/>
  <c r="M6962" i="1"/>
  <c r="N6961" i="1"/>
  <c r="M6961" i="1"/>
  <c r="M6957" i="1"/>
  <c r="N6956" i="1"/>
  <c r="M6956" i="1"/>
  <c r="M6955" i="1"/>
  <c r="N6954" i="1"/>
  <c r="M6954" i="1"/>
  <c r="N6951" i="1"/>
  <c r="M6951" i="1"/>
  <c r="N6950" i="1"/>
  <c r="M6950" i="1"/>
  <c r="N6949" i="1"/>
  <c r="M6949" i="1"/>
  <c r="N6948" i="1"/>
  <c r="M6948" i="1"/>
  <c r="N6947" i="1"/>
  <c r="M6947" i="1"/>
  <c r="O6944" i="1"/>
  <c r="N6944" i="1"/>
  <c r="M6944" i="1"/>
  <c r="N6942" i="1"/>
  <c r="M6942" i="1"/>
  <c r="M6941" i="1"/>
  <c r="M6940" i="1"/>
  <c r="N6933" i="1"/>
  <c r="M6933" i="1"/>
  <c r="M6929" i="1"/>
  <c r="N6928" i="1"/>
  <c r="M6928" i="1"/>
  <c r="M6927" i="1"/>
  <c r="M6926" i="1"/>
  <c r="M6923" i="1"/>
  <c r="M6922" i="1"/>
  <c r="N6921" i="1"/>
  <c r="M6921" i="1"/>
  <c r="N6920" i="1"/>
  <c r="M6920" i="1"/>
  <c r="N6919" i="1"/>
  <c r="M6919" i="1"/>
  <c r="M6916" i="1"/>
  <c r="N6915" i="1"/>
  <c r="M6915" i="1"/>
  <c r="N6914" i="1"/>
  <c r="M6914" i="1"/>
  <c r="N6913" i="1"/>
  <c r="M6913" i="1"/>
  <c r="N6912" i="1"/>
  <c r="M6912" i="1"/>
  <c r="N6909" i="1"/>
  <c r="M6909" i="1"/>
  <c r="N6908" i="1"/>
  <c r="M6908" i="1"/>
  <c r="P6907" i="1"/>
  <c r="O6907" i="1"/>
  <c r="N6907" i="1"/>
  <c r="M6907" i="1"/>
  <c r="N6906" i="1"/>
  <c r="M6906" i="1"/>
  <c r="N6905" i="1"/>
  <c r="M6905" i="1"/>
  <c r="M6902" i="1"/>
  <c r="M6901" i="1"/>
  <c r="N6900" i="1"/>
  <c r="M6900" i="1"/>
  <c r="M6899" i="1"/>
  <c r="M6898" i="1"/>
  <c r="N6895" i="1"/>
  <c r="M6895" i="1"/>
  <c r="N6894" i="1"/>
  <c r="M6894" i="1"/>
  <c r="M6893" i="1"/>
  <c r="M6892" i="1"/>
  <c r="M6891" i="1"/>
  <c r="N6888" i="1"/>
  <c r="M6888" i="1"/>
  <c r="P6887" i="1"/>
  <c r="O6887" i="1"/>
  <c r="N6887" i="1"/>
  <c r="M6887" i="1"/>
  <c r="M6886" i="1"/>
  <c r="M6885" i="1"/>
  <c r="N6884" i="1"/>
  <c r="M6884" i="1"/>
  <c r="M6881" i="1"/>
  <c r="N6879" i="1"/>
  <c r="M6879" i="1"/>
  <c r="N6878" i="1"/>
  <c r="M6878" i="1"/>
  <c r="N6877" i="1"/>
  <c r="M6877" i="1"/>
  <c r="M6874" i="1"/>
  <c r="N6873" i="1"/>
  <c r="M6873" i="1"/>
  <c r="N6871" i="1"/>
  <c r="M6871" i="1"/>
  <c r="M6870" i="1"/>
  <c r="P6867" i="1"/>
  <c r="O6867" i="1"/>
  <c r="N6867" i="1"/>
  <c r="M6867" i="1"/>
  <c r="M6866" i="1"/>
  <c r="N6865" i="1"/>
  <c r="M6865" i="1"/>
  <c r="N6864" i="1"/>
  <c r="M6864" i="1"/>
  <c r="N6863" i="1"/>
  <c r="M6863" i="1"/>
  <c r="O6859" i="1"/>
  <c r="N6859" i="1"/>
  <c r="M6859" i="1"/>
  <c r="N6858" i="1"/>
  <c r="M6858" i="1"/>
  <c r="O6857" i="1"/>
  <c r="N6857" i="1"/>
  <c r="M6857" i="1"/>
  <c r="N6856" i="1"/>
  <c r="M6856" i="1"/>
  <c r="N6853" i="1"/>
  <c r="M6853" i="1"/>
  <c r="N6852" i="1"/>
  <c r="M6852" i="1"/>
  <c r="N6850" i="1"/>
  <c r="M6850" i="1"/>
  <c r="N6849" i="1"/>
  <c r="M6849" i="1"/>
  <c r="N6845" i="1"/>
  <c r="M6845" i="1"/>
  <c r="N6842" i="1"/>
  <c r="M6842" i="1"/>
  <c r="M6837" i="1"/>
  <c r="M6836" i="1"/>
  <c r="N6835" i="1"/>
  <c r="M6835" i="1"/>
  <c r="N6832" i="1"/>
  <c r="M6832" i="1"/>
  <c r="M6831" i="1"/>
  <c r="N6830" i="1"/>
  <c r="M6830" i="1"/>
  <c r="N6829" i="1"/>
  <c r="M6829" i="1"/>
  <c r="N6828" i="1"/>
  <c r="M6828" i="1"/>
  <c r="N6825" i="1"/>
  <c r="M6825" i="1"/>
  <c r="N6823" i="1"/>
  <c r="M6823" i="1"/>
  <c r="N6821" i="1"/>
  <c r="M6821" i="1"/>
  <c r="N6818" i="1"/>
  <c r="M6818" i="1"/>
  <c r="M6817" i="1"/>
  <c r="M6816" i="1"/>
  <c r="M6815" i="1"/>
  <c r="N6814" i="1"/>
  <c r="M6814" i="1"/>
  <c r="M6811" i="1"/>
  <c r="M6810" i="1"/>
  <c r="O6809" i="1"/>
  <c r="N6809" i="1"/>
  <c r="M6809" i="1"/>
  <c r="N6808" i="1"/>
  <c r="M6808" i="1"/>
  <c r="M6807" i="1"/>
  <c r="N6804" i="1"/>
  <c r="M6804" i="1"/>
  <c r="M6803" i="1"/>
  <c r="N6802" i="1"/>
  <c r="M6802" i="1"/>
  <c r="O6801" i="1"/>
  <c r="N6801" i="1"/>
  <c r="M6801" i="1"/>
  <c r="N6800" i="1"/>
  <c r="M6800" i="1"/>
  <c r="N6797" i="1"/>
  <c r="M6797" i="1"/>
  <c r="N6796" i="1"/>
  <c r="M6796" i="1"/>
  <c r="N6795" i="1"/>
  <c r="M6795" i="1"/>
  <c r="N6794" i="1"/>
  <c r="M6794" i="1"/>
  <c r="N6793" i="1"/>
  <c r="M6793" i="1"/>
  <c r="M6790" i="1"/>
  <c r="M6788" i="1"/>
  <c r="N6787" i="1"/>
  <c r="M6787" i="1"/>
  <c r="N6786" i="1"/>
  <c r="M6786" i="1"/>
  <c r="N6783" i="1"/>
  <c r="M6783" i="1"/>
  <c r="N6782" i="1"/>
  <c r="M6782" i="1"/>
  <c r="M6781" i="1"/>
  <c r="M6780" i="1"/>
  <c r="N6779" i="1"/>
  <c r="M6779" i="1"/>
  <c r="N6773" i="1"/>
  <c r="M6773" i="1"/>
  <c r="M6772" i="1"/>
  <c r="N6769" i="1"/>
  <c r="M6769" i="1"/>
  <c r="N6768" i="1"/>
  <c r="M6768" i="1"/>
  <c r="N6767" i="1"/>
  <c r="M6767" i="1"/>
  <c r="N6766" i="1"/>
  <c r="M6766" i="1"/>
  <c r="P6765" i="1"/>
  <c r="O6765" i="1"/>
  <c r="N6765" i="1"/>
  <c r="M6765" i="1"/>
  <c r="M6761" i="1"/>
  <c r="N6760" i="1"/>
  <c r="M6760" i="1"/>
  <c r="M6759" i="1"/>
  <c r="P6754" i="1"/>
  <c r="O6754" i="1"/>
  <c r="N6754" i="1"/>
  <c r="M6754" i="1"/>
  <c r="M6751" i="1"/>
  <c r="N6748" i="1"/>
  <c r="M6748" i="1"/>
  <c r="N6747" i="1"/>
  <c r="M6747" i="1"/>
  <c r="O6746" i="1"/>
  <c r="N6746" i="1"/>
  <c r="M6746" i="1"/>
  <c r="N6745" i="1"/>
  <c r="M6745" i="1"/>
  <c r="N6744" i="1"/>
  <c r="M6744" i="1"/>
  <c r="N6740" i="1"/>
  <c r="M6740" i="1"/>
  <c r="N6739" i="1"/>
  <c r="M6739" i="1"/>
  <c r="N6738" i="1"/>
  <c r="M6738" i="1"/>
  <c r="N6737" i="1"/>
  <c r="M6737" i="1"/>
  <c r="N6733" i="1"/>
  <c r="M6733" i="1"/>
  <c r="N6732" i="1"/>
  <c r="M6732" i="1"/>
  <c r="M6731" i="1"/>
  <c r="N6730" i="1"/>
  <c r="M6730" i="1"/>
  <c r="M6726" i="1"/>
  <c r="N6725" i="1"/>
  <c r="M6725" i="1"/>
  <c r="M6724" i="1"/>
  <c r="N6723" i="1"/>
  <c r="M6723" i="1"/>
  <c r="N6720" i="1"/>
  <c r="M6720" i="1"/>
  <c r="N6717" i="1"/>
  <c r="M6717" i="1"/>
  <c r="O6716" i="1"/>
  <c r="N6716" i="1"/>
  <c r="M6716" i="1"/>
  <c r="N6713" i="1"/>
  <c r="M6713" i="1"/>
  <c r="P6712" i="1"/>
  <c r="O6712" i="1"/>
  <c r="N6712" i="1"/>
  <c r="M6712" i="1"/>
  <c r="N6711" i="1"/>
  <c r="M6711" i="1"/>
  <c r="M6710" i="1"/>
  <c r="N6706" i="1"/>
  <c r="M6706" i="1"/>
  <c r="N6705" i="1"/>
  <c r="M6705" i="1"/>
  <c r="N6704" i="1"/>
  <c r="M6704" i="1"/>
  <c r="M6703" i="1"/>
  <c r="O6702" i="1"/>
  <c r="N6702" i="1"/>
  <c r="M6702" i="1"/>
  <c r="O6699" i="1"/>
  <c r="N6699" i="1"/>
  <c r="M6699" i="1"/>
  <c r="N6698" i="1"/>
  <c r="M6698" i="1"/>
  <c r="M6696" i="1"/>
  <c r="M6695" i="1"/>
  <c r="N6692" i="1"/>
  <c r="M6692" i="1"/>
  <c r="M6691" i="1"/>
  <c r="M6690" i="1"/>
  <c r="M6689" i="1"/>
  <c r="P6682" i="1"/>
  <c r="O6682" i="1"/>
  <c r="N6682" i="1"/>
  <c r="M6682" i="1"/>
  <c r="M6681" i="1"/>
  <c r="M6678" i="1"/>
  <c r="O6677" i="1"/>
  <c r="N6677" i="1"/>
  <c r="M6677" i="1"/>
  <c r="N6676" i="1"/>
  <c r="M6676" i="1"/>
  <c r="N6675" i="1"/>
  <c r="M6675" i="1"/>
  <c r="N6674" i="1"/>
  <c r="M6674" i="1"/>
  <c r="M6671" i="1"/>
  <c r="N6670" i="1"/>
  <c r="M6670" i="1"/>
  <c r="M6669" i="1"/>
  <c r="M6668" i="1"/>
  <c r="M6667" i="1"/>
  <c r="N6663" i="1"/>
  <c r="M6663" i="1"/>
  <c r="M6661" i="1"/>
  <c r="O6660" i="1"/>
  <c r="N6660" i="1"/>
  <c r="M6660" i="1"/>
  <c r="M6657" i="1"/>
  <c r="M6656" i="1"/>
  <c r="N6655" i="1"/>
  <c r="M6655" i="1"/>
  <c r="N6654" i="1"/>
  <c r="M6654" i="1"/>
  <c r="N6653" i="1"/>
  <c r="M6653" i="1"/>
  <c r="M6650" i="1"/>
  <c r="N6648" i="1"/>
  <c r="M6648" i="1"/>
  <c r="M6647" i="1"/>
  <c r="N6646" i="1"/>
  <c r="M6646" i="1"/>
  <c r="M6641" i="1"/>
  <c r="N6632" i="1"/>
  <c r="M6632" i="1"/>
  <c r="M6629" i="1"/>
  <c r="M6628" i="1"/>
  <c r="N6627" i="1"/>
  <c r="M6627" i="1"/>
  <c r="M6626" i="1"/>
  <c r="N6625" i="1"/>
  <c r="M6625" i="1"/>
  <c r="N6622" i="1"/>
  <c r="M6622" i="1"/>
  <c r="M6620" i="1"/>
  <c r="P6618" i="1"/>
  <c r="O6618" i="1"/>
  <c r="N6618" i="1"/>
  <c r="M6618" i="1"/>
  <c r="N6614" i="1"/>
  <c r="M6614" i="1"/>
  <c r="N6613" i="1"/>
  <c r="M6613" i="1"/>
  <c r="N6612" i="1"/>
  <c r="M6612" i="1"/>
  <c r="N6611" i="1"/>
  <c r="M6611" i="1"/>
  <c r="M6608" i="1"/>
  <c r="N6607" i="1"/>
  <c r="M6607" i="1"/>
  <c r="N6606" i="1"/>
  <c r="M6606" i="1"/>
  <c r="M6605" i="1"/>
  <c r="M6604" i="1"/>
  <c r="M6601" i="1"/>
  <c r="N6600" i="1"/>
  <c r="M6600" i="1"/>
  <c r="M6599" i="1"/>
  <c r="N6598" i="1"/>
  <c r="M6598" i="1"/>
  <c r="N6597" i="1"/>
  <c r="M6597" i="1"/>
  <c r="Q6594" i="1"/>
  <c r="P6594" i="1"/>
  <c r="O6594" i="1"/>
  <c r="N6594" i="1"/>
  <c r="M6594" i="1"/>
  <c r="M6593" i="1"/>
  <c r="P6591" i="1"/>
  <c r="O6591" i="1"/>
  <c r="N6591" i="1"/>
  <c r="M6591" i="1"/>
  <c r="N6586" i="1"/>
  <c r="M6586" i="1"/>
  <c r="M6585" i="1"/>
  <c r="M6584" i="1"/>
  <c r="M6583" i="1"/>
  <c r="N6579" i="1"/>
  <c r="M6579" i="1"/>
  <c r="N6578" i="1"/>
  <c r="M6578" i="1"/>
  <c r="M6577" i="1"/>
  <c r="M6576" i="1"/>
  <c r="N6573" i="1"/>
  <c r="M6573" i="1"/>
  <c r="N6572" i="1"/>
  <c r="M6572" i="1"/>
  <c r="N6570" i="1"/>
  <c r="M6570" i="1"/>
  <c r="N6569" i="1"/>
  <c r="M6569" i="1"/>
  <c r="N6566" i="1"/>
  <c r="M6566" i="1"/>
  <c r="M6565" i="1"/>
  <c r="N6564" i="1"/>
  <c r="M6564" i="1"/>
  <c r="N6563" i="1"/>
  <c r="M6563" i="1"/>
  <c r="M6562" i="1"/>
  <c r="N6559" i="1"/>
  <c r="M6559" i="1"/>
  <c r="N6558" i="1"/>
  <c r="M6558" i="1"/>
  <c r="M6557" i="1"/>
  <c r="M6556" i="1"/>
  <c r="M6555" i="1"/>
  <c r="M6551" i="1"/>
  <c r="N6550" i="1"/>
  <c r="M6550" i="1"/>
  <c r="N6548" i="1"/>
  <c r="M6548" i="1"/>
  <c r="M6545" i="1"/>
  <c r="M6544" i="1"/>
  <c r="M6543" i="1"/>
  <c r="N6542" i="1"/>
  <c r="M6542" i="1"/>
  <c r="N6541" i="1"/>
  <c r="M6541" i="1"/>
  <c r="M6537" i="1"/>
  <c r="N6536" i="1"/>
  <c r="M6536" i="1"/>
  <c r="N6535" i="1"/>
  <c r="M6535" i="1"/>
  <c r="N6534" i="1"/>
  <c r="M6534" i="1"/>
  <c r="N6531" i="1"/>
  <c r="M6531" i="1"/>
  <c r="N6530" i="1"/>
  <c r="M6530" i="1"/>
  <c r="N6529" i="1"/>
  <c r="M6529" i="1"/>
  <c r="N6528" i="1"/>
  <c r="M6528" i="1"/>
  <c r="N6527" i="1"/>
  <c r="M6527" i="1"/>
  <c r="M6523" i="1"/>
  <c r="M6522" i="1"/>
  <c r="O6521" i="1"/>
  <c r="N6521" i="1"/>
  <c r="M6521" i="1"/>
  <c r="N6520" i="1"/>
  <c r="M6520" i="1"/>
  <c r="N6517" i="1"/>
  <c r="M6517" i="1"/>
  <c r="P6516" i="1"/>
  <c r="O6516" i="1"/>
  <c r="N6516" i="1"/>
  <c r="M6516" i="1"/>
  <c r="N6515" i="1"/>
  <c r="M6515" i="1"/>
  <c r="N6513" i="1"/>
  <c r="M6513" i="1"/>
  <c r="M6510" i="1"/>
  <c r="M6509" i="1"/>
  <c r="M6508" i="1"/>
  <c r="M6507" i="1"/>
  <c r="N6503" i="1"/>
  <c r="M6503" i="1"/>
  <c r="N6502" i="1"/>
  <c r="M6502" i="1"/>
  <c r="N6501" i="1"/>
  <c r="M6501" i="1"/>
  <c r="N6500" i="1"/>
  <c r="M6500" i="1"/>
  <c r="N6499" i="1"/>
  <c r="M6499" i="1"/>
  <c r="N6496" i="1"/>
  <c r="M6496" i="1"/>
  <c r="N6495" i="1"/>
  <c r="M6495" i="1"/>
  <c r="P6494" i="1"/>
  <c r="O6494" i="1"/>
  <c r="N6494" i="1"/>
  <c r="M6494" i="1"/>
  <c r="M6493" i="1"/>
  <c r="N6492" i="1"/>
  <c r="M6492" i="1"/>
  <c r="N6489" i="1"/>
  <c r="M6489" i="1"/>
  <c r="M6488" i="1"/>
  <c r="M6487" i="1"/>
  <c r="N6486" i="1"/>
  <c r="M6486" i="1"/>
  <c r="M6481" i="1"/>
  <c r="M6480" i="1"/>
  <c r="M6479" i="1"/>
  <c r="N6478" i="1"/>
  <c r="M6478" i="1"/>
  <c r="N6475" i="1"/>
  <c r="M6475" i="1"/>
  <c r="N6474" i="1"/>
  <c r="M6474" i="1"/>
  <c r="P6473" i="1"/>
  <c r="O6473" i="1"/>
  <c r="N6473" i="1"/>
  <c r="M6473" i="1"/>
  <c r="P6471" i="1"/>
  <c r="O6471" i="1"/>
  <c r="N6471" i="1"/>
  <c r="M6471" i="1"/>
  <c r="N6468" i="1"/>
  <c r="M6468" i="1"/>
  <c r="N6467" i="1"/>
  <c r="M6467" i="1"/>
  <c r="P6466" i="1"/>
  <c r="O6466" i="1"/>
  <c r="N6466" i="1"/>
  <c r="M6466" i="1"/>
  <c r="O6465" i="1"/>
  <c r="N6465" i="1"/>
  <c r="M6465" i="1"/>
  <c r="N6464" i="1"/>
  <c r="M6464" i="1"/>
  <c r="P6461" i="1"/>
  <c r="O6461" i="1"/>
  <c r="N6461" i="1"/>
  <c r="M6461" i="1"/>
  <c r="O6460" i="1"/>
  <c r="N6460" i="1"/>
  <c r="M6460" i="1"/>
  <c r="N6458" i="1"/>
  <c r="M6458" i="1"/>
  <c r="P6457" i="1"/>
  <c r="O6457" i="1"/>
  <c r="N6457" i="1"/>
  <c r="M6457" i="1"/>
  <c r="N6453" i="1"/>
  <c r="M6453" i="1"/>
  <c r="M6452" i="1"/>
  <c r="M6451" i="1"/>
  <c r="M6450" i="1"/>
  <c r="M6447" i="1"/>
  <c r="M6445" i="1"/>
  <c r="N6443" i="1"/>
  <c r="M6443" i="1"/>
  <c r="N6440" i="1"/>
  <c r="M6440" i="1"/>
  <c r="M6438" i="1"/>
  <c r="M6437" i="1"/>
  <c r="N6436" i="1"/>
  <c r="M6436" i="1"/>
  <c r="M6433" i="1"/>
  <c r="M6432" i="1"/>
  <c r="M6430" i="1"/>
  <c r="M6429" i="1"/>
  <c r="M6425" i="1"/>
  <c r="M6424" i="1"/>
  <c r="M6423" i="1"/>
  <c r="N6422" i="1"/>
  <c r="M6422" i="1"/>
  <c r="N6419" i="1"/>
  <c r="M6419" i="1"/>
  <c r="M6418" i="1"/>
  <c r="N6417" i="1"/>
  <c r="M6417" i="1"/>
  <c r="M6416" i="1"/>
  <c r="M6415" i="1"/>
  <c r="N6412" i="1"/>
  <c r="M6412" i="1"/>
  <c r="M6411" i="1"/>
  <c r="M6410" i="1"/>
  <c r="M6409" i="1"/>
  <c r="N6408" i="1"/>
  <c r="M6408" i="1"/>
  <c r="M6404" i="1"/>
  <c r="N6403" i="1"/>
  <c r="M6403" i="1"/>
  <c r="M6402" i="1"/>
  <c r="O6401" i="1"/>
  <c r="N6401" i="1"/>
  <c r="M6401" i="1"/>
  <c r="N6397" i="1"/>
  <c r="M6397" i="1"/>
  <c r="N6396" i="1"/>
  <c r="M6396" i="1"/>
  <c r="N6394" i="1"/>
  <c r="M6394" i="1"/>
  <c r="P6390" i="1"/>
  <c r="O6390" i="1"/>
  <c r="N6390" i="1"/>
  <c r="M6390" i="1"/>
  <c r="N6388" i="1"/>
  <c r="M6388" i="1"/>
  <c r="O6387" i="1"/>
  <c r="N6387" i="1"/>
  <c r="M6387" i="1"/>
  <c r="M6384" i="1"/>
  <c r="N6383" i="1"/>
  <c r="M6383" i="1"/>
  <c r="M6382" i="1"/>
  <c r="N6380" i="1"/>
  <c r="M6380" i="1"/>
  <c r="N6377" i="1"/>
  <c r="M6377" i="1"/>
  <c r="N6376" i="1"/>
  <c r="M6376" i="1"/>
  <c r="N6375" i="1"/>
  <c r="M6375" i="1"/>
  <c r="N6374" i="1"/>
  <c r="M6374" i="1"/>
  <c r="N6373" i="1"/>
  <c r="M6373" i="1"/>
  <c r="N6368" i="1"/>
  <c r="M6368" i="1"/>
  <c r="N6366" i="1"/>
  <c r="M6366" i="1"/>
  <c r="O6363" i="1"/>
  <c r="N6363" i="1"/>
  <c r="M6363" i="1"/>
  <c r="M6362" i="1"/>
  <c r="N6361" i="1"/>
  <c r="M6361" i="1"/>
  <c r="N6360" i="1"/>
  <c r="M6360" i="1"/>
  <c r="P6359" i="1"/>
  <c r="O6359" i="1"/>
  <c r="N6359" i="1"/>
  <c r="M6359" i="1"/>
  <c r="M6354" i="1"/>
  <c r="M6353" i="1"/>
  <c r="N6352" i="1"/>
  <c r="M6352" i="1"/>
  <c r="N6345" i="1"/>
  <c r="M6345" i="1"/>
  <c r="P6342" i="1"/>
  <c r="O6342" i="1"/>
  <c r="N6342" i="1"/>
  <c r="M6342" i="1"/>
  <c r="P6340" i="1"/>
  <c r="O6340" i="1"/>
  <c r="N6340" i="1"/>
  <c r="M6340" i="1"/>
  <c r="M6339" i="1"/>
  <c r="M6338" i="1"/>
  <c r="N6334" i="1"/>
  <c r="M6334" i="1"/>
  <c r="M6333" i="1"/>
  <c r="N6332" i="1"/>
  <c r="M6332" i="1"/>
  <c r="N6331" i="1"/>
  <c r="M6331" i="1"/>
  <c r="M6328" i="1"/>
  <c r="N6327" i="1"/>
  <c r="M6327" i="1"/>
  <c r="O6326" i="1"/>
  <c r="N6326" i="1"/>
  <c r="M6326" i="1"/>
  <c r="M6325" i="1"/>
  <c r="M6324" i="1"/>
  <c r="N6320" i="1"/>
  <c r="M6320" i="1"/>
  <c r="N6317" i="1"/>
  <c r="M6317" i="1"/>
  <c r="M6314" i="1"/>
  <c r="M6313" i="1"/>
  <c r="N6311" i="1"/>
  <c r="M6311" i="1"/>
  <c r="M6310" i="1"/>
  <c r="N6307" i="1"/>
  <c r="M6307" i="1"/>
  <c r="M6304" i="1"/>
  <c r="M6303" i="1"/>
  <c r="N6299" i="1"/>
  <c r="M6299" i="1"/>
  <c r="P6298" i="1"/>
  <c r="O6298" i="1"/>
  <c r="N6298" i="1"/>
  <c r="M6298" i="1"/>
  <c r="N6297" i="1"/>
  <c r="M6297" i="1"/>
  <c r="N6296" i="1"/>
  <c r="M6296" i="1"/>
  <c r="M6290" i="1"/>
  <c r="M6289" i="1"/>
  <c r="N6286" i="1"/>
  <c r="M6286" i="1"/>
  <c r="M6285" i="1"/>
  <c r="M6284" i="1"/>
  <c r="M6283" i="1"/>
  <c r="N6282" i="1"/>
  <c r="M6282" i="1"/>
  <c r="M6278" i="1"/>
  <c r="O6277" i="1"/>
  <c r="N6277" i="1"/>
  <c r="M6277" i="1"/>
  <c r="N6276" i="1"/>
  <c r="M6276" i="1"/>
  <c r="N6275" i="1"/>
  <c r="M6275" i="1"/>
  <c r="M6272" i="1"/>
  <c r="N6271" i="1"/>
  <c r="M6271" i="1"/>
  <c r="N6270" i="1"/>
  <c r="M6270" i="1"/>
  <c r="N6269" i="1"/>
  <c r="M6269" i="1"/>
  <c r="N6268" i="1"/>
  <c r="M6268" i="1"/>
  <c r="P6265" i="1"/>
  <c r="O6265" i="1"/>
  <c r="N6265" i="1"/>
  <c r="M6265" i="1"/>
  <c r="N6264" i="1"/>
  <c r="M6264" i="1"/>
  <c r="N6263" i="1"/>
  <c r="M6263" i="1"/>
  <c r="N6262" i="1"/>
  <c r="M6262" i="1"/>
  <c r="N6261" i="1"/>
  <c r="M6261" i="1"/>
  <c r="N6258" i="1"/>
  <c r="M6258" i="1"/>
  <c r="N6257" i="1"/>
  <c r="M6257" i="1"/>
  <c r="N6256" i="1"/>
  <c r="M6256" i="1"/>
  <c r="N6255" i="1"/>
  <c r="M6255" i="1"/>
  <c r="N6254" i="1"/>
  <c r="M6254" i="1"/>
  <c r="N6251" i="1"/>
  <c r="M6251" i="1"/>
  <c r="M6250" i="1"/>
  <c r="N6249" i="1"/>
  <c r="M6249" i="1"/>
  <c r="N6248" i="1"/>
  <c r="M6248" i="1"/>
  <c r="N6247" i="1"/>
  <c r="M6247" i="1"/>
  <c r="M6244" i="1"/>
  <c r="M6243" i="1"/>
  <c r="M6242" i="1"/>
  <c r="M6241" i="1"/>
  <c r="M6240" i="1"/>
  <c r="O6237" i="1"/>
  <c r="N6237" i="1"/>
  <c r="M6237" i="1"/>
  <c r="M6234" i="1"/>
  <c r="N6233" i="1"/>
  <c r="M6233" i="1"/>
  <c r="N6230" i="1"/>
  <c r="M6230" i="1"/>
  <c r="M6229" i="1"/>
  <c r="M6228" i="1"/>
  <c r="N6226" i="1"/>
  <c r="M6226" i="1"/>
  <c r="N6223" i="1"/>
  <c r="M6223" i="1"/>
  <c r="N6222" i="1"/>
  <c r="M6222" i="1"/>
  <c r="P6221" i="1"/>
  <c r="O6221" i="1"/>
  <c r="N6221" i="1"/>
  <c r="M6221" i="1"/>
  <c r="N6220" i="1"/>
  <c r="M6220" i="1"/>
  <c r="N6219" i="1"/>
  <c r="M6219" i="1"/>
  <c r="M6216" i="1"/>
  <c r="N6215" i="1"/>
  <c r="M6215" i="1"/>
  <c r="M6214" i="1"/>
  <c r="N6213" i="1"/>
  <c r="M6213" i="1"/>
  <c r="M6212" i="1"/>
  <c r="M6209" i="1"/>
  <c r="N6208" i="1"/>
  <c r="M6208" i="1"/>
  <c r="M6207" i="1"/>
  <c r="M6206" i="1"/>
  <c r="M6205" i="1"/>
  <c r="M6202" i="1"/>
  <c r="N6200" i="1"/>
  <c r="M6200" i="1"/>
  <c r="N6199" i="1"/>
  <c r="M6199" i="1"/>
  <c r="N6198" i="1"/>
  <c r="M6198" i="1"/>
  <c r="N6194" i="1"/>
  <c r="M6194" i="1"/>
  <c r="N6193" i="1"/>
  <c r="M6193" i="1"/>
  <c r="N6192" i="1"/>
  <c r="M6192" i="1"/>
  <c r="N6191" i="1"/>
  <c r="M6191" i="1"/>
  <c r="M6188" i="1"/>
  <c r="M6187" i="1"/>
  <c r="M6186" i="1"/>
  <c r="N6185" i="1"/>
  <c r="M6185" i="1"/>
  <c r="N6184" i="1"/>
  <c r="M6184" i="1"/>
  <c r="M6180" i="1"/>
  <c r="M6179" i="1"/>
  <c r="M6178" i="1"/>
  <c r="O6177" i="1"/>
  <c r="N6177" i="1"/>
  <c r="M6177" i="1"/>
  <c r="N6174" i="1"/>
  <c r="M6174" i="1"/>
  <c r="P6173" i="1"/>
  <c r="O6173" i="1"/>
  <c r="N6173" i="1"/>
  <c r="M6173" i="1"/>
  <c r="M6172" i="1"/>
  <c r="M6171" i="1"/>
  <c r="N6170" i="1"/>
  <c r="M6170" i="1"/>
  <c r="N6167" i="1"/>
  <c r="M6167" i="1"/>
  <c r="M6166" i="1"/>
  <c r="N6165" i="1"/>
  <c r="M6165" i="1"/>
  <c r="N6164" i="1"/>
  <c r="M6164" i="1"/>
  <c r="N6163" i="1"/>
  <c r="M6163" i="1"/>
  <c r="N6160" i="1"/>
  <c r="M6160" i="1"/>
  <c r="M6159" i="1"/>
  <c r="N6158" i="1"/>
  <c r="M6158" i="1"/>
  <c r="N6157" i="1"/>
  <c r="M6157" i="1"/>
  <c r="M6156" i="1"/>
  <c r="N6153" i="1"/>
  <c r="M6153" i="1"/>
  <c r="M6152" i="1"/>
  <c r="M6151" i="1"/>
  <c r="M6150" i="1"/>
  <c r="N6149" i="1"/>
  <c r="M6149" i="1"/>
  <c r="N6146" i="1"/>
  <c r="M6146" i="1"/>
  <c r="M6144" i="1"/>
  <c r="M6142" i="1"/>
  <c r="M6139" i="1"/>
  <c r="N6137" i="1"/>
  <c r="M6137" i="1"/>
  <c r="M6136" i="1"/>
  <c r="M6130" i="1"/>
  <c r="N6129" i="1"/>
  <c r="M6129" i="1"/>
  <c r="N6128" i="1"/>
  <c r="M6128" i="1"/>
  <c r="N6125" i="1"/>
  <c r="M6125" i="1"/>
  <c r="N6124" i="1"/>
  <c r="M6124" i="1"/>
  <c r="N6123" i="1"/>
  <c r="M6123" i="1"/>
  <c r="N6122" i="1"/>
  <c r="M6122" i="1"/>
  <c r="M6121" i="1"/>
  <c r="N6117" i="1"/>
  <c r="M6117" i="1"/>
  <c r="N6114" i="1"/>
  <c r="M6114" i="1"/>
  <c r="N6111" i="1"/>
  <c r="M6111" i="1"/>
  <c r="N6110" i="1"/>
  <c r="M6110" i="1"/>
  <c r="N6107" i="1"/>
  <c r="M6107" i="1"/>
  <c r="M6104" i="1"/>
  <c r="M6103" i="1"/>
  <c r="O6102" i="1"/>
  <c r="N6102" i="1"/>
  <c r="M6102" i="1"/>
  <c r="M6101" i="1"/>
  <c r="N6100" i="1"/>
  <c r="M6100" i="1"/>
  <c r="M6097" i="1"/>
  <c r="P6095" i="1"/>
  <c r="O6095" i="1"/>
  <c r="N6095" i="1"/>
  <c r="M6095" i="1"/>
  <c r="N6094" i="1"/>
  <c r="M6094" i="1"/>
  <c r="P6093" i="1"/>
  <c r="O6093" i="1"/>
  <c r="N6093" i="1"/>
  <c r="M6093" i="1"/>
  <c r="N6090" i="1"/>
  <c r="M6090" i="1"/>
  <c r="N6089" i="1"/>
  <c r="M6089" i="1"/>
  <c r="M6086" i="1"/>
  <c r="N6083" i="1"/>
  <c r="M6083" i="1"/>
  <c r="M6080" i="1"/>
  <c r="N6079" i="1"/>
  <c r="M6079" i="1"/>
  <c r="N6076" i="1"/>
  <c r="M6076" i="1"/>
  <c r="M6075" i="1"/>
  <c r="N6074" i="1"/>
  <c r="M6074" i="1"/>
  <c r="N6073" i="1"/>
  <c r="M6073" i="1"/>
  <c r="P6072" i="1"/>
  <c r="O6072" i="1"/>
  <c r="N6072" i="1"/>
  <c r="M6072" i="1"/>
  <c r="N6069" i="1"/>
  <c r="M6069" i="1"/>
  <c r="N6067" i="1"/>
  <c r="M6067" i="1"/>
  <c r="O6065" i="1"/>
  <c r="N6065" i="1"/>
  <c r="M6065" i="1"/>
  <c r="N6062" i="1"/>
  <c r="M6062" i="1"/>
  <c r="O6060" i="1"/>
  <c r="N6060" i="1"/>
  <c r="M6060" i="1"/>
  <c r="N6058" i="1"/>
  <c r="M6058" i="1"/>
  <c r="M6055" i="1"/>
  <c r="N6054" i="1"/>
  <c r="M6054" i="1"/>
  <c r="M6053" i="1"/>
  <c r="M6052" i="1"/>
  <c r="N6051" i="1"/>
  <c r="M6051" i="1"/>
  <c r="N6048" i="1"/>
  <c r="M6048" i="1"/>
  <c r="N6047" i="1"/>
  <c r="M6047" i="1"/>
  <c r="N6046" i="1"/>
  <c r="M6046" i="1"/>
  <c r="M6045" i="1"/>
  <c r="N6044" i="1"/>
  <c r="M6044" i="1"/>
  <c r="N6040" i="1"/>
  <c r="M6040" i="1"/>
  <c r="N6038" i="1"/>
  <c r="M6038" i="1"/>
  <c r="N6037" i="1"/>
  <c r="M6037" i="1"/>
  <c r="N6034" i="1"/>
  <c r="M6034" i="1"/>
  <c r="M6031" i="1"/>
  <c r="N6030" i="1"/>
  <c r="M6030" i="1"/>
  <c r="M6027" i="1"/>
  <c r="N6026" i="1"/>
  <c r="M6026" i="1"/>
  <c r="N6025" i="1"/>
  <c r="M6025" i="1"/>
  <c r="M6024" i="1"/>
  <c r="N6023" i="1"/>
  <c r="M6023" i="1"/>
  <c r="N6020" i="1"/>
  <c r="M6020" i="1"/>
  <c r="O6019" i="1"/>
  <c r="N6019" i="1"/>
  <c r="M6019" i="1"/>
  <c r="N6018" i="1"/>
  <c r="M6018" i="1"/>
  <c r="N6017" i="1"/>
  <c r="M6017" i="1"/>
  <c r="M6016" i="1"/>
  <c r="N6011" i="1"/>
  <c r="M6011" i="1"/>
  <c r="M6010" i="1"/>
  <c r="M6009" i="1"/>
  <c r="M6006" i="1"/>
  <c r="M6005" i="1"/>
  <c r="M6004" i="1"/>
  <c r="N6003" i="1"/>
  <c r="M6003" i="1"/>
  <c r="N6002" i="1"/>
  <c r="M6002" i="1"/>
  <c r="N5999" i="1"/>
  <c r="M5999" i="1"/>
  <c r="N5998" i="1"/>
  <c r="M5998" i="1"/>
  <c r="M5997" i="1"/>
  <c r="M5996" i="1"/>
  <c r="M5995" i="1"/>
  <c r="N5992" i="1"/>
  <c r="M5992" i="1"/>
  <c r="M5991" i="1"/>
  <c r="M5990" i="1"/>
  <c r="N5989" i="1"/>
  <c r="M5989" i="1"/>
  <c r="N5988" i="1"/>
  <c r="M5988" i="1"/>
  <c r="M5985" i="1"/>
  <c r="N5984" i="1"/>
  <c r="M5984" i="1"/>
  <c r="O5983" i="1"/>
  <c r="N5983" i="1"/>
  <c r="M5983" i="1"/>
  <c r="M5981" i="1"/>
  <c r="M5978" i="1"/>
  <c r="N5977" i="1"/>
  <c r="M5977" i="1"/>
  <c r="N5975" i="1"/>
  <c r="M5975" i="1"/>
  <c r="N5974" i="1"/>
  <c r="M5974" i="1"/>
  <c r="N5971" i="1"/>
  <c r="M5971" i="1"/>
  <c r="N5967" i="1"/>
  <c r="M5967" i="1"/>
  <c r="N5964" i="1"/>
  <c r="M5964" i="1"/>
  <c r="M5963" i="1"/>
  <c r="P5962" i="1"/>
  <c r="O5962" i="1"/>
  <c r="N5962" i="1"/>
  <c r="M5962" i="1"/>
  <c r="N5961" i="1"/>
  <c r="M5961" i="1"/>
  <c r="P5960" i="1"/>
  <c r="O5960" i="1"/>
  <c r="N5960" i="1"/>
  <c r="M5960" i="1"/>
  <c r="N5957" i="1"/>
  <c r="M5957" i="1"/>
  <c r="M5956" i="1"/>
  <c r="M5954" i="1"/>
  <c r="M5953" i="1"/>
  <c r="N5949" i="1"/>
  <c r="M5949" i="1"/>
  <c r="O5948" i="1"/>
  <c r="N5948" i="1"/>
  <c r="M5948" i="1"/>
  <c r="M5947" i="1"/>
  <c r="N5946" i="1"/>
  <c r="M5946" i="1"/>
  <c r="M5943" i="1"/>
  <c r="M5942" i="1"/>
  <c r="M5940" i="1"/>
  <c r="N5936" i="1"/>
  <c r="M5936" i="1"/>
  <c r="N5935" i="1"/>
  <c r="M5935" i="1"/>
  <c r="M5934" i="1"/>
  <c r="P5932" i="1"/>
  <c r="O5932" i="1"/>
  <c r="N5932" i="1"/>
  <c r="M5932" i="1"/>
  <c r="N5929" i="1"/>
  <c r="M5929" i="1"/>
  <c r="N5928" i="1"/>
  <c r="M5928" i="1"/>
  <c r="N5927" i="1"/>
  <c r="M5927" i="1"/>
  <c r="N5926" i="1"/>
  <c r="M5926" i="1"/>
  <c r="N5925" i="1"/>
  <c r="M5925" i="1"/>
  <c r="M5922" i="1"/>
  <c r="N5921" i="1"/>
  <c r="M5921" i="1"/>
  <c r="N5920" i="1"/>
  <c r="M5920" i="1"/>
  <c r="N5919" i="1"/>
  <c r="M5919" i="1"/>
  <c r="N5918" i="1"/>
  <c r="M5918" i="1"/>
  <c r="N5915" i="1"/>
  <c r="M5915" i="1"/>
  <c r="M5914" i="1"/>
  <c r="N5913" i="1"/>
  <c r="M5913" i="1"/>
  <c r="N5912" i="1"/>
  <c r="M5912" i="1"/>
  <c r="N5911" i="1"/>
  <c r="M5911" i="1"/>
  <c r="N5907" i="1"/>
  <c r="M5907" i="1"/>
  <c r="O5906" i="1"/>
  <c r="N5906" i="1"/>
  <c r="M5906" i="1"/>
  <c r="N5905" i="1"/>
  <c r="M5905" i="1"/>
  <c r="N5904" i="1"/>
  <c r="M5904" i="1"/>
  <c r="N5901" i="1"/>
  <c r="M5901" i="1"/>
  <c r="N5900" i="1"/>
  <c r="M5900" i="1"/>
  <c r="N5899" i="1"/>
  <c r="M5899" i="1"/>
  <c r="P5898" i="1"/>
  <c r="O5898" i="1"/>
  <c r="N5898" i="1"/>
  <c r="M5898" i="1"/>
  <c r="N5897" i="1"/>
  <c r="M5897" i="1"/>
  <c r="M5894" i="1"/>
  <c r="N5893" i="1"/>
  <c r="M5893" i="1"/>
  <c r="N5892" i="1"/>
  <c r="M5892" i="1"/>
  <c r="O5891" i="1"/>
  <c r="N5891" i="1"/>
  <c r="M5891" i="1"/>
  <c r="N5890" i="1"/>
  <c r="M5890" i="1"/>
  <c r="P5887" i="1"/>
  <c r="O5887" i="1"/>
  <c r="N5887" i="1"/>
  <c r="M5887" i="1"/>
  <c r="P5886" i="1"/>
  <c r="O5886" i="1"/>
  <c r="N5886" i="1"/>
  <c r="M5886" i="1"/>
  <c r="N5885" i="1"/>
  <c r="M5885" i="1"/>
  <c r="N5883" i="1"/>
  <c r="M5883" i="1"/>
  <c r="M5880" i="1"/>
  <c r="N5879" i="1"/>
  <c r="M5879" i="1"/>
  <c r="N5877" i="1"/>
  <c r="M5877" i="1"/>
  <c r="M5876" i="1"/>
  <c r="N5872" i="1"/>
  <c r="M5872" i="1"/>
  <c r="N5870" i="1"/>
  <c r="M5870" i="1"/>
  <c r="P5869" i="1"/>
  <c r="O5869" i="1"/>
  <c r="N5869" i="1"/>
  <c r="M5869" i="1"/>
  <c r="M5865" i="1"/>
  <c r="M5864" i="1"/>
  <c r="M5863" i="1"/>
  <c r="N5862" i="1"/>
  <c r="M5862" i="1"/>
  <c r="N5859" i="1"/>
  <c r="M5859" i="1"/>
  <c r="M5857" i="1"/>
  <c r="O5855" i="1"/>
  <c r="N5855" i="1"/>
  <c r="M5855" i="1"/>
  <c r="N5852" i="1"/>
  <c r="M5852" i="1"/>
  <c r="N5851" i="1"/>
  <c r="M5851" i="1"/>
  <c r="M5850" i="1"/>
  <c r="M5849" i="1"/>
  <c r="N5848" i="1"/>
  <c r="M5848" i="1"/>
  <c r="M5843" i="1"/>
  <c r="P5842" i="1"/>
  <c r="O5842" i="1"/>
  <c r="N5842" i="1"/>
  <c r="M5842" i="1"/>
  <c r="P5841" i="1"/>
  <c r="O5841" i="1"/>
  <c r="N5841" i="1"/>
  <c r="M5841" i="1"/>
  <c r="M5837" i="1"/>
  <c r="O5836" i="1"/>
  <c r="N5836" i="1"/>
  <c r="M5836" i="1"/>
  <c r="N5835" i="1"/>
  <c r="M5835" i="1"/>
  <c r="N5834" i="1"/>
  <c r="M5834" i="1"/>
  <c r="M5831" i="1"/>
  <c r="M5830" i="1"/>
  <c r="M5828" i="1"/>
  <c r="M5827" i="1"/>
  <c r="N5824" i="1"/>
  <c r="M5824" i="1"/>
  <c r="P5823" i="1"/>
  <c r="O5823" i="1"/>
  <c r="N5823" i="1"/>
  <c r="M5823" i="1"/>
  <c r="N5822" i="1"/>
  <c r="M5822" i="1"/>
  <c r="N5821" i="1"/>
  <c r="M5821" i="1"/>
  <c r="N5820" i="1"/>
  <c r="M5820" i="1"/>
  <c r="N5817" i="1"/>
  <c r="M5817" i="1"/>
  <c r="M5815" i="1"/>
  <c r="M5814" i="1"/>
  <c r="M5813" i="1"/>
  <c r="M5810" i="1"/>
  <c r="P5809" i="1"/>
  <c r="O5809" i="1"/>
  <c r="N5809" i="1"/>
  <c r="M5809" i="1"/>
  <c r="M5808" i="1"/>
  <c r="N5807" i="1"/>
  <c r="M5807" i="1"/>
  <c r="N5806" i="1"/>
  <c r="M5806" i="1"/>
  <c r="N5803" i="1"/>
  <c r="M5803" i="1"/>
  <c r="N5802" i="1"/>
  <c r="M5802" i="1"/>
  <c r="N5800" i="1"/>
  <c r="M5800" i="1"/>
  <c r="N5799" i="1"/>
  <c r="M5799" i="1"/>
  <c r="M5796" i="1"/>
  <c r="M5795" i="1"/>
  <c r="M5793" i="1"/>
  <c r="M5792" i="1"/>
  <c r="M5789" i="1"/>
  <c r="N5788" i="1"/>
  <c r="M5788" i="1"/>
  <c r="M5787" i="1"/>
  <c r="M5785" i="1"/>
  <c r="M5782" i="1"/>
  <c r="M5781" i="1"/>
  <c r="O5780" i="1"/>
  <c r="N5780" i="1"/>
  <c r="M5780" i="1"/>
  <c r="N5779" i="1"/>
  <c r="M5779" i="1"/>
  <c r="N5778" i="1"/>
  <c r="M5778" i="1"/>
  <c r="M5775" i="1"/>
  <c r="M5774" i="1"/>
  <c r="M5773" i="1"/>
  <c r="M5772" i="1"/>
  <c r="N5771" i="1"/>
  <c r="M5771" i="1"/>
  <c r="N5768" i="1"/>
  <c r="M5768" i="1"/>
  <c r="N5765" i="1"/>
  <c r="M5765" i="1"/>
  <c r="N5764" i="1"/>
  <c r="M5764" i="1"/>
  <c r="N5761" i="1"/>
  <c r="M5761" i="1"/>
  <c r="O5757" i="1"/>
  <c r="N5757" i="1"/>
  <c r="M5757" i="1"/>
  <c r="M5753" i="1"/>
  <c r="N5752" i="1"/>
  <c r="M5752" i="1"/>
  <c r="M5751" i="1"/>
  <c r="R5750" i="1"/>
  <c r="Q5750" i="1"/>
  <c r="P5750" i="1"/>
  <c r="O5750" i="1"/>
  <c r="N5750" i="1"/>
  <c r="M5750" i="1"/>
  <c r="N5747" i="1"/>
  <c r="M5747" i="1"/>
  <c r="M5746" i="1"/>
  <c r="N5745" i="1"/>
  <c r="M5745" i="1"/>
  <c r="P5743" i="1"/>
  <c r="O5743" i="1"/>
  <c r="N5743" i="1"/>
  <c r="M5743" i="1"/>
  <c r="M5740" i="1"/>
  <c r="N5739" i="1"/>
  <c r="M5739" i="1"/>
  <c r="N5738" i="1"/>
  <c r="M5738" i="1"/>
  <c r="N5737" i="1"/>
  <c r="M5737" i="1"/>
  <c r="N5736" i="1"/>
  <c r="M5736" i="1"/>
  <c r="M5732" i="1"/>
  <c r="O5731" i="1"/>
  <c r="N5731" i="1"/>
  <c r="M5731" i="1"/>
  <c r="N5729" i="1"/>
  <c r="M5729" i="1"/>
  <c r="N5726" i="1"/>
  <c r="M5726" i="1"/>
  <c r="M5723" i="1"/>
  <c r="M5722" i="1"/>
  <c r="N5718" i="1"/>
  <c r="M5718" i="1"/>
  <c r="O5717" i="1"/>
  <c r="N5717" i="1"/>
  <c r="M5717" i="1"/>
  <c r="N5716" i="1"/>
  <c r="M5716" i="1"/>
  <c r="N5715" i="1"/>
  <c r="M5715" i="1"/>
  <c r="N5712" i="1"/>
  <c r="M5712" i="1"/>
  <c r="N5711" i="1"/>
  <c r="M5711" i="1"/>
  <c r="N5710" i="1"/>
  <c r="M5710" i="1"/>
  <c r="N5709" i="1"/>
  <c r="M5709" i="1"/>
  <c r="N5708" i="1"/>
  <c r="M5708" i="1"/>
  <c r="N5705" i="1"/>
  <c r="M5705" i="1"/>
  <c r="N5704" i="1"/>
  <c r="M5704" i="1"/>
  <c r="M5703" i="1"/>
  <c r="N5702" i="1"/>
  <c r="M5702" i="1"/>
  <c r="M5701" i="1"/>
  <c r="M5698" i="1"/>
  <c r="N5697" i="1"/>
  <c r="M5697" i="1"/>
  <c r="N5696" i="1"/>
  <c r="M5696" i="1"/>
  <c r="M5695" i="1"/>
  <c r="N5694" i="1"/>
  <c r="M5694" i="1"/>
  <c r="N5691" i="1"/>
  <c r="M5691" i="1"/>
  <c r="M5690" i="1"/>
  <c r="M5689" i="1"/>
  <c r="N5688" i="1"/>
  <c r="M5688" i="1"/>
  <c r="N5687" i="1"/>
  <c r="M5687" i="1"/>
  <c r="M5684" i="1"/>
  <c r="O5683" i="1"/>
  <c r="N5683" i="1"/>
  <c r="M5683" i="1"/>
  <c r="N5682" i="1"/>
  <c r="M5682" i="1"/>
  <c r="N5680" i="1"/>
  <c r="M5680" i="1"/>
  <c r="N5677" i="1"/>
  <c r="M5677" i="1"/>
  <c r="M5676" i="1"/>
  <c r="M5674" i="1"/>
  <c r="M5673" i="1"/>
  <c r="O5670" i="1"/>
  <c r="N5670" i="1"/>
  <c r="M5670" i="1"/>
  <c r="N5669" i="1"/>
  <c r="M5669" i="1"/>
  <c r="O5668" i="1"/>
  <c r="N5668" i="1"/>
  <c r="M5668" i="1"/>
  <c r="N5667" i="1"/>
  <c r="M5667" i="1"/>
  <c r="N5666" i="1"/>
  <c r="M5666" i="1"/>
  <c r="N5661" i="1"/>
  <c r="M5661" i="1"/>
  <c r="N5660" i="1"/>
  <c r="M5660" i="1"/>
  <c r="O5659" i="1"/>
  <c r="N5659" i="1"/>
  <c r="M5659" i="1"/>
  <c r="N5656" i="1"/>
  <c r="M5656" i="1"/>
  <c r="N5654" i="1"/>
  <c r="M5654" i="1"/>
  <c r="N5653" i="1"/>
  <c r="M5653" i="1"/>
  <c r="N5652" i="1"/>
  <c r="M5652" i="1"/>
  <c r="P5649" i="1"/>
  <c r="O5649" i="1"/>
  <c r="N5649" i="1"/>
  <c r="M5649" i="1"/>
  <c r="N5648" i="1"/>
  <c r="M5648" i="1"/>
  <c r="M5647" i="1"/>
  <c r="N5646" i="1"/>
  <c r="M5646" i="1"/>
  <c r="N5645" i="1"/>
  <c r="M5645" i="1"/>
  <c r="M5642" i="1"/>
  <c r="N5641" i="1"/>
  <c r="M5641" i="1"/>
  <c r="N5640" i="1"/>
  <c r="M5640" i="1"/>
  <c r="N5639" i="1"/>
  <c r="M5639" i="1"/>
  <c r="N5638" i="1"/>
  <c r="M5638" i="1"/>
  <c r="M5635" i="1"/>
  <c r="M5634" i="1"/>
  <c r="N5632" i="1"/>
  <c r="M5632" i="1"/>
  <c r="M5631" i="1"/>
  <c r="M5628" i="1"/>
  <c r="N5627" i="1"/>
  <c r="M5627" i="1"/>
  <c r="N5626" i="1"/>
  <c r="M5626" i="1"/>
  <c r="N5625" i="1"/>
  <c r="M5625" i="1"/>
  <c r="N5624" i="1"/>
  <c r="M5624" i="1"/>
  <c r="M5621" i="1"/>
  <c r="O5620" i="1"/>
  <c r="N5620" i="1"/>
  <c r="M5620" i="1"/>
  <c r="O5619" i="1"/>
  <c r="N5619" i="1"/>
  <c r="M5619" i="1"/>
  <c r="N5618" i="1"/>
  <c r="M5618" i="1"/>
  <c r="N5617" i="1"/>
  <c r="M5617" i="1"/>
  <c r="N5614" i="1"/>
  <c r="M5614" i="1"/>
  <c r="M5611" i="1"/>
  <c r="N5607" i="1"/>
  <c r="M5607" i="1"/>
  <c r="N5606" i="1"/>
  <c r="M5606" i="1"/>
  <c r="P5605" i="1"/>
  <c r="O5605" i="1"/>
  <c r="N5605" i="1"/>
  <c r="M5605" i="1"/>
  <c r="N5604" i="1"/>
  <c r="M5604" i="1"/>
  <c r="N5603" i="1"/>
  <c r="M5603" i="1"/>
  <c r="N5599" i="1"/>
  <c r="M5599" i="1"/>
  <c r="N5597" i="1"/>
  <c r="M5597" i="1"/>
  <c r="M5596" i="1"/>
  <c r="N5593" i="1"/>
  <c r="M5593" i="1"/>
  <c r="M5592" i="1"/>
  <c r="N5591" i="1"/>
  <c r="M5591" i="1"/>
  <c r="M5590" i="1"/>
  <c r="P5589" i="1"/>
  <c r="O5589" i="1"/>
  <c r="N5589" i="1"/>
  <c r="M5589" i="1"/>
  <c r="N5586" i="1"/>
  <c r="M5586" i="1"/>
  <c r="M5585" i="1"/>
  <c r="N5584" i="1"/>
  <c r="M5584" i="1"/>
  <c r="N5583" i="1"/>
  <c r="M5583" i="1"/>
  <c r="N5582" i="1"/>
  <c r="M5582" i="1"/>
  <c r="N5576" i="1"/>
  <c r="M5576" i="1"/>
  <c r="N5575" i="1"/>
  <c r="M5575" i="1"/>
  <c r="M5572" i="1"/>
  <c r="M5571" i="1"/>
  <c r="M5570" i="1"/>
  <c r="M5569" i="1"/>
  <c r="N5568" i="1"/>
  <c r="M5568" i="1"/>
  <c r="M5563" i="1"/>
  <c r="N5562" i="1"/>
  <c r="M5562" i="1"/>
  <c r="O5561" i="1"/>
  <c r="N5561" i="1"/>
  <c r="M5561" i="1"/>
  <c r="M5558" i="1"/>
  <c r="M5557" i="1"/>
  <c r="M5556" i="1"/>
  <c r="M5555" i="1"/>
  <c r="M5554" i="1"/>
  <c r="N5551" i="1"/>
  <c r="M5551" i="1"/>
  <c r="N5550" i="1"/>
  <c r="M5550" i="1"/>
  <c r="M5549" i="1"/>
  <c r="M5548" i="1"/>
  <c r="N5547" i="1"/>
  <c r="M5547" i="1"/>
  <c r="N5544" i="1"/>
  <c r="M5544" i="1"/>
  <c r="N5543" i="1"/>
  <c r="M5543" i="1"/>
  <c r="N5542" i="1"/>
  <c r="M5542" i="1"/>
  <c r="M5541" i="1"/>
  <c r="N5540" i="1"/>
  <c r="M5540" i="1"/>
  <c r="M5537" i="1"/>
  <c r="N5536" i="1"/>
  <c r="M5536" i="1"/>
  <c r="M5535" i="1"/>
  <c r="N5534" i="1"/>
  <c r="M5534" i="1"/>
  <c r="N5533" i="1"/>
  <c r="M5533" i="1"/>
  <c r="N5529" i="1"/>
  <c r="M5529" i="1"/>
  <c r="N5528" i="1"/>
  <c r="M5528" i="1"/>
  <c r="M5527" i="1"/>
  <c r="M5526" i="1"/>
  <c r="N5523" i="1"/>
  <c r="M5523" i="1"/>
  <c r="N5522" i="1"/>
  <c r="M5522" i="1"/>
  <c r="M5521" i="1"/>
  <c r="N5519" i="1"/>
  <c r="M5519" i="1"/>
  <c r="M5515" i="1"/>
  <c r="M5514" i="1"/>
  <c r="M5513" i="1"/>
  <c r="N5512" i="1"/>
  <c r="M5512" i="1"/>
  <c r="N5509" i="1"/>
  <c r="M5509" i="1"/>
  <c r="M5507" i="1"/>
  <c r="N5506" i="1"/>
  <c r="M5506" i="1"/>
  <c r="O5505" i="1"/>
  <c r="N5505" i="1"/>
  <c r="M5505" i="1"/>
  <c r="N5502" i="1"/>
  <c r="M5502" i="1"/>
  <c r="N5501" i="1"/>
  <c r="M5501" i="1"/>
  <c r="P5500" i="1"/>
  <c r="O5500" i="1"/>
  <c r="N5500" i="1"/>
  <c r="M5500" i="1"/>
  <c r="M5499" i="1"/>
  <c r="M5498" i="1"/>
  <c r="N5495" i="1"/>
  <c r="M5495" i="1"/>
  <c r="M5494" i="1"/>
  <c r="P5493" i="1"/>
  <c r="O5493" i="1"/>
  <c r="N5493" i="1"/>
  <c r="M5493" i="1"/>
  <c r="P5492" i="1"/>
  <c r="O5492" i="1"/>
  <c r="N5492" i="1"/>
  <c r="M5492" i="1"/>
  <c r="N5491" i="1"/>
  <c r="M5491" i="1"/>
  <c r="N5488" i="1"/>
  <c r="M5488" i="1"/>
  <c r="M5487" i="1"/>
  <c r="M5486" i="1"/>
  <c r="N5485" i="1"/>
  <c r="M5485" i="1"/>
  <c r="N5484" i="1"/>
  <c r="M5484" i="1"/>
  <c r="M5481" i="1"/>
  <c r="P5477" i="1"/>
  <c r="O5477" i="1"/>
  <c r="N5477" i="1"/>
  <c r="M5477" i="1"/>
  <c r="M5474" i="1"/>
  <c r="M5471" i="1"/>
  <c r="N5470" i="1"/>
  <c r="M5470" i="1"/>
  <c r="M5466" i="1"/>
  <c r="N5465" i="1"/>
  <c r="M5465" i="1"/>
  <c r="M5464" i="1"/>
  <c r="M5459" i="1"/>
  <c r="N5458" i="1"/>
  <c r="M5458" i="1"/>
  <c r="N5457" i="1"/>
  <c r="M5457" i="1"/>
  <c r="P5456" i="1"/>
  <c r="O5456" i="1"/>
  <c r="N5456" i="1"/>
  <c r="M5456" i="1"/>
  <c r="N5453" i="1"/>
  <c r="M5453" i="1"/>
  <c r="N5452" i="1"/>
  <c r="M5452" i="1"/>
  <c r="N5451" i="1"/>
  <c r="M5451" i="1"/>
  <c r="N5450" i="1"/>
  <c r="M5450" i="1"/>
  <c r="N5449" i="1"/>
  <c r="M5449" i="1"/>
  <c r="M5445" i="1"/>
  <c r="N5443" i="1"/>
  <c r="M5443" i="1"/>
  <c r="N5442" i="1"/>
  <c r="M5442" i="1"/>
  <c r="N5438" i="1"/>
  <c r="M5438" i="1"/>
  <c r="M5436" i="1"/>
  <c r="O5435" i="1"/>
  <c r="N5435" i="1"/>
  <c r="M5435" i="1"/>
  <c r="M5430" i="1"/>
  <c r="M5429" i="1"/>
  <c r="N5428" i="1"/>
  <c r="M5428" i="1"/>
  <c r="N5425" i="1"/>
  <c r="M5425" i="1"/>
  <c r="N5424" i="1"/>
  <c r="M5424" i="1"/>
  <c r="M5423" i="1"/>
  <c r="N5422" i="1"/>
  <c r="M5422" i="1"/>
  <c r="N5421" i="1"/>
  <c r="M5421" i="1"/>
  <c r="N5418" i="1"/>
  <c r="M5418" i="1"/>
  <c r="N5414" i="1"/>
  <c r="M5414" i="1"/>
  <c r="M5410" i="1"/>
  <c r="N5408" i="1"/>
  <c r="M5408" i="1"/>
  <c r="N5407" i="1"/>
  <c r="M5407" i="1"/>
  <c r="N5402" i="1"/>
  <c r="M5402" i="1"/>
  <c r="N5401" i="1"/>
  <c r="M5401" i="1"/>
  <c r="M5400" i="1"/>
  <c r="R5397" i="1"/>
  <c r="Q5397" i="1"/>
  <c r="P5397" i="1"/>
  <c r="O5397" i="1"/>
  <c r="N5397" i="1"/>
  <c r="M5397" i="1"/>
  <c r="N5396" i="1"/>
  <c r="M5396" i="1"/>
  <c r="O5395" i="1"/>
  <c r="N5395" i="1"/>
  <c r="M5395" i="1"/>
  <c r="O5394" i="1"/>
  <c r="N5394" i="1"/>
  <c r="M5394" i="1"/>
  <c r="O5393" i="1"/>
  <c r="N5393" i="1"/>
  <c r="M5393" i="1"/>
  <c r="P5389" i="1"/>
  <c r="O5389" i="1"/>
  <c r="N5389" i="1"/>
  <c r="M5389" i="1"/>
  <c r="N5388" i="1"/>
  <c r="M5388" i="1"/>
  <c r="N5387" i="1"/>
  <c r="M5387" i="1"/>
  <c r="N5386" i="1"/>
  <c r="M5386" i="1"/>
  <c r="M5383" i="1"/>
  <c r="M5382" i="1"/>
  <c r="M5380" i="1"/>
  <c r="N5379" i="1"/>
  <c r="M5379" i="1"/>
  <c r="M5376" i="1"/>
  <c r="M5375" i="1"/>
  <c r="N5374" i="1"/>
  <c r="M5374" i="1"/>
  <c r="M5373" i="1"/>
  <c r="M5372" i="1"/>
  <c r="N5367" i="1"/>
  <c r="M5367" i="1"/>
  <c r="N5365" i="1"/>
  <c r="M5365" i="1"/>
  <c r="N5362" i="1"/>
  <c r="M5362" i="1"/>
  <c r="M5361" i="1"/>
  <c r="N5359" i="1"/>
  <c r="M5359" i="1"/>
  <c r="N5358" i="1"/>
  <c r="M5358" i="1"/>
  <c r="M5355" i="1"/>
  <c r="M5354" i="1"/>
  <c r="N5353" i="1"/>
  <c r="M5353" i="1"/>
  <c r="O5352" i="1"/>
  <c r="N5352" i="1"/>
  <c r="M5352" i="1"/>
  <c r="O5351" i="1"/>
  <c r="N5351" i="1"/>
  <c r="M5351" i="1"/>
  <c r="N5348" i="1"/>
  <c r="M5348" i="1"/>
  <c r="M5345" i="1"/>
  <c r="M5344" i="1"/>
  <c r="M5338" i="1"/>
  <c r="M5337" i="1"/>
  <c r="N5334" i="1"/>
  <c r="M5334" i="1"/>
  <c r="O5333" i="1"/>
  <c r="N5333" i="1"/>
  <c r="M5333" i="1"/>
  <c r="M5332" i="1"/>
  <c r="M5331" i="1"/>
  <c r="N5330" i="1"/>
  <c r="M5330" i="1"/>
  <c r="N5327" i="1"/>
  <c r="M5327" i="1"/>
  <c r="N5324" i="1"/>
  <c r="M5324" i="1"/>
  <c r="N5323" i="1"/>
  <c r="M5323" i="1"/>
  <c r="M5320" i="1"/>
  <c r="N5318" i="1"/>
  <c r="M5318" i="1"/>
  <c r="M5317" i="1"/>
  <c r="N5316" i="1"/>
  <c r="M5316" i="1"/>
  <c r="M5313" i="1"/>
  <c r="N5312" i="1"/>
  <c r="M5312" i="1"/>
  <c r="M5311" i="1"/>
  <c r="M5310" i="1"/>
  <c r="N5309" i="1"/>
  <c r="M5309" i="1"/>
  <c r="N5306" i="1"/>
  <c r="M5306" i="1"/>
  <c r="N5305" i="1"/>
  <c r="M5305" i="1"/>
  <c r="N5302" i="1"/>
  <c r="M5302" i="1"/>
  <c r="M5299" i="1"/>
  <c r="N5298" i="1"/>
  <c r="M5298" i="1"/>
  <c r="N5297" i="1"/>
  <c r="M5297" i="1"/>
  <c r="N5296" i="1"/>
  <c r="M5296" i="1"/>
  <c r="N5295" i="1"/>
  <c r="M5295" i="1"/>
  <c r="N5292" i="1"/>
  <c r="M5292" i="1"/>
  <c r="N5290" i="1"/>
  <c r="M5290" i="1"/>
  <c r="N5289" i="1"/>
  <c r="M5289" i="1"/>
  <c r="N5288" i="1"/>
  <c r="M5288" i="1"/>
  <c r="M5282" i="1"/>
  <c r="N5281" i="1"/>
  <c r="M5281" i="1"/>
  <c r="N5278" i="1"/>
  <c r="M5278" i="1"/>
  <c r="N5277" i="1"/>
  <c r="M5277" i="1"/>
  <c r="N5276" i="1"/>
  <c r="M5276" i="1"/>
  <c r="M5275" i="1"/>
  <c r="M5274" i="1"/>
  <c r="N5271" i="1"/>
  <c r="M5271" i="1"/>
  <c r="N5270" i="1"/>
  <c r="M5270" i="1"/>
  <c r="N5269" i="1"/>
  <c r="M5269" i="1"/>
  <c r="N5268" i="1"/>
  <c r="M5268" i="1"/>
  <c r="N5267" i="1"/>
  <c r="M5267" i="1"/>
  <c r="M5264" i="1"/>
  <c r="N5263" i="1"/>
  <c r="M5263" i="1"/>
  <c r="O5262" i="1"/>
  <c r="N5262" i="1"/>
  <c r="M5262" i="1"/>
  <c r="N5261" i="1"/>
  <c r="M5261" i="1"/>
  <c r="N5260" i="1"/>
  <c r="M5260" i="1"/>
  <c r="M5256" i="1"/>
  <c r="M5255" i="1"/>
  <c r="M5254" i="1"/>
  <c r="N5253" i="1"/>
  <c r="M5253" i="1"/>
  <c r="N5250" i="1"/>
  <c r="M5250" i="1"/>
  <c r="N5249" i="1"/>
  <c r="M5249" i="1"/>
  <c r="M5247" i="1"/>
  <c r="N5246" i="1"/>
  <c r="M5246" i="1"/>
  <c r="N5243" i="1"/>
  <c r="M5243" i="1"/>
  <c r="M5242" i="1"/>
  <c r="N5241" i="1"/>
  <c r="M5241" i="1"/>
  <c r="M5240" i="1"/>
  <c r="N5239" i="1"/>
  <c r="M5239" i="1"/>
  <c r="P5236" i="1"/>
  <c r="O5236" i="1"/>
  <c r="N5236" i="1"/>
  <c r="M5236" i="1"/>
  <c r="M5235" i="1"/>
  <c r="N5234" i="1"/>
  <c r="M5234" i="1"/>
  <c r="M5233" i="1"/>
  <c r="M5232" i="1"/>
  <c r="M5228" i="1"/>
  <c r="M5227" i="1"/>
  <c r="M5226" i="1"/>
  <c r="M5225" i="1"/>
  <c r="M5220" i="1"/>
  <c r="N5218" i="1"/>
  <c r="M5218" i="1"/>
  <c r="N5215" i="1"/>
  <c r="M5215" i="1"/>
  <c r="M5213" i="1"/>
  <c r="N5212" i="1"/>
  <c r="M5212" i="1"/>
  <c r="N5211" i="1"/>
  <c r="M5211" i="1"/>
  <c r="M5208" i="1"/>
  <c r="N5206" i="1"/>
  <c r="M5206" i="1"/>
  <c r="N5205" i="1"/>
  <c r="M5205" i="1"/>
  <c r="N5204" i="1"/>
  <c r="M5204" i="1"/>
  <c r="P5201" i="1"/>
  <c r="O5201" i="1"/>
  <c r="N5201" i="1"/>
  <c r="M5201" i="1"/>
  <c r="N5200" i="1"/>
  <c r="M5200" i="1"/>
  <c r="M5199" i="1"/>
  <c r="M5198" i="1"/>
  <c r="P5197" i="1"/>
  <c r="O5197" i="1"/>
  <c r="N5197" i="1"/>
  <c r="M5197" i="1"/>
  <c r="M5194" i="1"/>
  <c r="M5193" i="1"/>
  <c r="N5192" i="1"/>
  <c r="M5192" i="1"/>
  <c r="N5191" i="1"/>
  <c r="M5191" i="1"/>
  <c r="P5190" i="1"/>
  <c r="O5190" i="1"/>
  <c r="N5190" i="1"/>
  <c r="M5190" i="1"/>
  <c r="N5187" i="1"/>
  <c r="M5187" i="1"/>
  <c r="N5186" i="1"/>
  <c r="M5186" i="1"/>
  <c r="M5185" i="1"/>
  <c r="N5184" i="1"/>
  <c r="M5184" i="1"/>
  <c r="M5183" i="1"/>
  <c r="N5180" i="1"/>
  <c r="M5180" i="1"/>
  <c r="M5179" i="1"/>
  <c r="M5177" i="1"/>
  <c r="P5176" i="1"/>
  <c r="O5176" i="1"/>
  <c r="N5176" i="1"/>
  <c r="M5176" i="1"/>
  <c r="N5173" i="1"/>
  <c r="M5173" i="1"/>
  <c r="M5172" i="1"/>
  <c r="N5171" i="1"/>
  <c r="M5171" i="1"/>
  <c r="N5170" i="1"/>
  <c r="M5170" i="1"/>
  <c r="N5169" i="1"/>
  <c r="M5169" i="1"/>
  <c r="M5166" i="1"/>
  <c r="P5165" i="1"/>
  <c r="O5165" i="1"/>
  <c r="N5165" i="1"/>
  <c r="M5165" i="1"/>
  <c r="N5164" i="1"/>
  <c r="M5164" i="1"/>
  <c r="M5163" i="1"/>
  <c r="N5162" i="1"/>
  <c r="M5162" i="1"/>
  <c r="N5159" i="1"/>
  <c r="M5159" i="1"/>
  <c r="M5157" i="1"/>
  <c r="N5156" i="1"/>
  <c r="M5156" i="1"/>
  <c r="N5155" i="1"/>
  <c r="M5155" i="1"/>
  <c r="O5152" i="1"/>
  <c r="N5152" i="1"/>
  <c r="M5152" i="1"/>
  <c r="M5151" i="1"/>
  <c r="O5150" i="1"/>
  <c r="N5150" i="1"/>
  <c r="M5150" i="1"/>
  <c r="M5149" i="1"/>
  <c r="N5148" i="1"/>
  <c r="M5148" i="1"/>
  <c r="M5145" i="1"/>
  <c r="M5144" i="1"/>
  <c r="M5143" i="1"/>
  <c r="O5141" i="1"/>
  <c r="N5141" i="1"/>
  <c r="M5141" i="1"/>
  <c r="N5137" i="1"/>
  <c r="M5137" i="1"/>
  <c r="O5136" i="1"/>
  <c r="N5136" i="1"/>
  <c r="M5136" i="1"/>
  <c r="N5135" i="1"/>
  <c r="M5135" i="1"/>
  <c r="N5134" i="1"/>
  <c r="M5134" i="1"/>
  <c r="M5129" i="1"/>
  <c r="N5128" i="1"/>
  <c r="M5128" i="1"/>
  <c r="N5127" i="1"/>
  <c r="M5127" i="1"/>
  <c r="N5124" i="1"/>
  <c r="M5124" i="1"/>
  <c r="M5123" i="1"/>
  <c r="N5122" i="1"/>
  <c r="M5122" i="1"/>
  <c r="N5121" i="1"/>
  <c r="M5121" i="1"/>
  <c r="P5120" i="1"/>
  <c r="O5120" i="1"/>
  <c r="N5120" i="1"/>
  <c r="M5120" i="1"/>
  <c r="N5117" i="1"/>
  <c r="M5117" i="1"/>
  <c r="N5116" i="1"/>
  <c r="M5116" i="1"/>
  <c r="M5115" i="1"/>
  <c r="N5114" i="1"/>
  <c r="M5114" i="1"/>
  <c r="N5113" i="1"/>
  <c r="M5113" i="1"/>
  <c r="P5109" i="1"/>
  <c r="O5109" i="1"/>
  <c r="N5109" i="1"/>
  <c r="M5109" i="1"/>
  <c r="M5108" i="1"/>
  <c r="P5107" i="1"/>
  <c r="O5107" i="1"/>
  <c r="N5107" i="1"/>
  <c r="M5107" i="1"/>
  <c r="N5106" i="1"/>
  <c r="M5106" i="1"/>
  <c r="N5103" i="1"/>
  <c r="M5103" i="1"/>
  <c r="O5101" i="1"/>
  <c r="N5101" i="1"/>
  <c r="M5101" i="1"/>
  <c r="M5100" i="1"/>
  <c r="M5099" i="1"/>
  <c r="M5095" i="1"/>
  <c r="P5094" i="1"/>
  <c r="O5094" i="1"/>
  <c r="N5094" i="1"/>
  <c r="M5094" i="1"/>
  <c r="N5092" i="1"/>
  <c r="M5092" i="1"/>
  <c r="M5089" i="1"/>
  <c r="N5088" i="1"/>
  <c r="M5088" i="1"/>
  <c r="M5087" i="1"/>
  <c r="M5086" i="1"/>
  <c r="M5085" i="1"/>
  <c r="N5079" i="1"/>
  <c r="M5079" i="1"/>
  <c r="M5078" i="1"/>
  <c r="M5075" i="1"/>
  <c r="N5074" i="1"/>
  <c r="M5074" i="1"/>
  <c r="M5073" i="1"/>
  <c r="M5072" i="1"/>
  <c r="N5071" i="1"/>
  <c r="M5071" i="1"/>
  <c r="N5068" i="1"/>
  <c r="M5068" i="1"/>
  <c r="N5067" i="1"/>
  <c r="M5067" i="1"/>
  <c r="M5066" i="1"/>
  <c r="M5065" i="1"/>
  <c r="N5064" i="1"/>
  <c r="M5064" i="1"/>
  <c r="M5061" i="1"/>
  <c r="N5060" i="1"/>
  <c r="M5060" i="1"/>
  <c r="M5058" i="1"/>
  <c r="N5057" i="1"/>
  <c r="M5057" i="1"/>
  <c r="M5054" i="1"/>
  <c r="N5053" i="1"/>
  <c r="M5053" i="1"/>
  <c r="N5052" i="1"/>
  <c r="M5052" i="1"/>
  <c r="N5051" i="1"/>
  <c r="M5051" i="1"/>
  <c r="N5050" i="1"/>
  <c r="M5050" i="1"/>
  <c r="N5047" i="1"/>
  <c r="M5047" i="1"/>
  <c r="N5046" i="1"/>
  <c r="M5046" i="1"/>
  <c r="P5044" i="1"/>
  <c r="O5044" i="1"/>
  <c r="N5044" i="1"/>
  <c r="M5044" i="1"/>
  <c r="R5043" i="1"/>
  <c r="Q5043" i="1"/>
  <c r="P5043" i="1"/>
  <c r="O5043" i="1"/>
  <c r="N5043" i="1"/>
  <c r="M5043" i="1"/>
  <c r="M5040" i="1"/>
  <c r="N5039" i="1"/>
  <c r="M5039" i="1"/>
  <c r="M5037" i="1"/>
  <c r="M5036" i="1"/>
  <c r="N5033" i="1"/>
  <c r="M5033" i="1"/>
  <c r="N5032" i="1"/>
  <c r="M5032" i="1"/>
  <c r="M5031" i="1"/>
  <c r="M5030" i="1"/>
  <c r="O5029" i="1"/>
  <c r="N5029" i="1"/>
  <c r="M5029" i="1"/>
  <c r="M5024" i="1"/>
  <c r="N5023" i="1"/>
  <c r="M5023" i="1"/>
  <c r="O5022" i="1"/>
  <c r="N5022" i="1"/>
  <c r="M5022" i="1"/>
  <c r="M5018" i="1"/>
  <c r="O5017" i="1"/>
  <c r="N5017" i="1"/>
  <c r="M5017" i="1"/>
  <c r="M5016" i="1"/>
  <c r="M5012" i="1"/>
  <c r="N5010" i="1"/>
  <c r="M5010" i="1"/>
  <c r="N5009" i="1"/>
  <c r="M5009" i="1"/>
  <c r="P5008" i="1"/>
  <c r="O5008" i="1"/>
  <c r="N5008" i="1"/>
  <c r="M5008" i="1"/>
  <c r="N5005" i="1"/>
  <c r="M5005" i="1"/>
  <c r="N5003" i="1"/>
  <c r="M5003" i="1"/>
  <c r="M5002" i="1"/>
  <c r="N5001" i="1"/>
  <c r="M5001" i="1"/>
  <c r="M4998" i="1"/>
  <c r="M4997" i="1"/>
  <c r="M4996" i="1"/>
  <c r="M4995" i="1"/>
  <c r="O4994" i="1"/>
  <c r="N4994" i="1"/>
  <c r="M4994" i="1"/>
  <c r="N4991" i="1"/>
  <c r="M4991" i="1"/>
  <c r="N4989" i="1"/>
  <c r="M4989" i="1"/>
  <c r="N4988" i="1"/>
  <c r="M4988" i="1"/>
  <c r="N4987" i="1"/>
  <c r="M4987" i="1"/>
  <c r="M4984" i="1"/>
  <c r="M4982" i="1"/>
  <c r="M4981" i="1"/>
  <c r="M4980" i="1"/>
  <c r="N4977" i="1"/>
  <c r="M4977" i="1"/>
  <c r="N4976" i="1"/>
  <c r="M4976" i="1"/>
  <c r="N4975" i="1"/>
  <c r="M4975" i="1"/>
  <c r="M4974" i="1"/>
  <c r="N4970" i="1"/>
  <c r="M4970" i="1"/>
  <c r="N4969" i="1"/>
  <c r="M4969" i="1"/>
  <c r="N4968" i="1"/>
  <c r="M4968" i="1"/>
  <c r="N4967" i="1"/>
  <c r="M4967" i="1"/>
  <c r="N4966" i="1"/>
  <c r="M4966" i="1"/>
  <c r="M4963" i="1"/>
  <c r="M4961" i="1"/>
  <c r="M4960" i="1"/>
  <c r="P4959" i="1"/>
  <c r="O4959" i="1"/>
  <c r="N4959" i="1"/>
  <c r="M4959" i="1"/>
  <c r="N4956" i="1"/>
  <c r="M4956" i="1"/>
  <c r="N4954" i="1"/>
  <c r="M4954" i="1"/>
  <c r="N4952" i="1"/>
  <c r="M4952" i="1"/>
  <c r="N4949" i="1"/>
  <c r="M4949" i="1"/>
  <c r="N4948" i="1"/>
  <c r="M4948" i="1"/>
  <c r="M4947" i="1"/>
  <c r="M4946" i="1"/>
  <c r="N4945" i="1"/>
  <c r="M4945" i="1"/>
  <c r="M4942" i="1"/>
  <c r="M4940" i="1"/>
  <c r="N4938" i="1"/>
  <c r="M4938" i="1"/>
  <c r="M4935" i="1"/>
  <c r="M4934" i="1"/>
  <c r="N4933" i="1"/>
  <c r="M4933" i="1"/>
  <c r="N4932" i="1"/>
  <c r="M4932" i="1"/>
  <c r="N4931" i="1"/>
  <c r="M4931" i="1"/>
  <c r="N4927" i="1"/>
  <c r="M4927" i="1"/>
  <c r="N4925" i="1"/>
  <c r="M4925" i="1"/>
  <c r="N4924" i="1"/>
  <c r="M4924" i="1"/>
  <c r="N4921" i="1"/>
  <c r="M4921" i="1"/>
  <c r="N4919" i="1"/>
  <c r="M4919" i="1"/>
  <c r="N4918" i="1"/>
  <c r="M4918" i="1"/>
  <c r="M4917" i="1"/>
  <c r="N4914" i="1"/>
  <c r="M4914" i="1"/>
  <c r="N4913" i="1"/>
  <c r="M4913" i="1"/>
  <c r="M4912" i="1"/>
  <c r="M4911" i="1"/>
  <c r="M4910" i="1"/>
  <c r="N4907" i="1"/>
  <c r="M4907" i="1"/>
  <c r="N4905" i="1"/>
  <c r="M4905" i="1"/>
  <c r="M4904" i="1"/>
  <c r="P4903" i="1"/>
  <c r="O4903" i="1"/>
  <c r="N4903" i="1"/>
  <c r="M4903" i="1"/>
  <c r="M4900" i="1"/>
  <c r="N4899" i="1"/>
  <c r="M4899" i="1"/>
  <c r="N4898" i="1"/>
  <c r="M4898" i="1"/>
  <c r="N4897" i="1"/>
  <c r="M4897" i="1"/>
  <c r="N4896" i="1"/>
  <c r="M4896" i="1"/>
  <c r="M4893" i="1"/>
  <c r="N4892" i="1"/>
  <c r="M4892" i="1"/>
  <c r="M4890" i="1"/>
  <c r="M4889" i="1"/>
  <c r="M4886" i="1"/>
  <c r="M4885" i="1"/>
  <c r="N4884" i="1"/>
  <c r="M4884" i="1"/>
  <c r="N4883" i="1"/>
  <c r="M4883" i="1"/>
  <c r="O4882" i="1"/>
  <c r="N4882" i="1"/>
  <c r="M4882" i="1"/>
  <c r="O4879" i="1"/>
  <c r="N4879" i="1"/>
  <c r="M4879" i="1"/>
  <c r="N4878" i="1"/>
  <c r="M4878" i="1"/>
  <c r="N4877" i="1"/>
  <c r="M4877" i="1"/>
  <c r="M4876" i="1"/>
  <c r="P4875" i="1"/>
  <c r="O4875" i="1"/>
  <c r="N4875" i="1"/>
  <c r="M4875" i="1"/>
  <c r="N4872" i="1"/>
  <c r="M4872" i="1"/>
  <c r="N4871" i="1"/>
  <c r="M4871" i="1"/>
  <c r="N4870" i="1"/>
  <c r="M4870" i="1"/>
  <c r="M4869" i="1"/>
  <c r="N4868" i="1"/>
  <c r="M4868" i="1"/>
  <c r="N4865" i="1"/>
  <c r="M4865" i="1"/>
  <c r="M4862" i="1"/>
  <c r="N4861" i="1"/>
  <c r="M4861" i="1"/>
  <c r="M4858" i="1"/>
  <c r="M4857" i="1"/>
  <c r="N4855" i="1"/>
  <c r="M4855" i="1"/>
  <c r="M4854" i="1"/>
  <c r="N4851" i="1"/>
  <c r="M4851" i="1"/>
  <c r="N4850" i="1"/>
  <c r="M4850" i="1"/>
  <c r="N4848" i="1"/>
  <c r="M4848" i="1"/>
  <c r="P4847" i="1"/>
  <c r="O4847" i="1"/>
  <c r="N4847" i="1"/>
  <c r="M4847" i="1"/>
  <c r="N4843" i="1"/>
  <c r="M4843" i="1"/>
  <c r="M4842" i="1"/>
  <c r="N4841" i="1"/>
  <c r="M4841" i="1"/>
  <c r="N4840" i="1"/>
  <c r="M4840" i="1"/>
  <c r="M4837" i="1"/>
  <c r="M4836" i="1"/>
  <c r="N4835" i="1"/>
  <c r="M4835" i="1"/>
  <c r="M4834" i="1"/>
  <c r="M4833" i="1"/>
  <c r="N4830" i="1"/>
  <c r="M4830" i="1"/>
  <c r="N4829" i="1"/>
  <c r="M4829" i="1"/>
  <c r="N4828" i="1"/>
  <c r="M4828" i="1"/>
  <c r="N4827" i="1"/>
  <c r="M4827" i="1"/>
  <c r="M4826" i="1"/>
  <c r="M4823" i="1"/>
  <c r="N4822" i="1"/>
  <c r="M4822" i="1"/>
  <c r="M4821" i="1"/>
  <c r="M4820" i="1"/>
  <c r="M4819" i="1"/>
  <c r="M4816" i="1"/>
  <c r="M4815" i="1"/>
  <c r="P4814" i="1"/>
  <c r="O4814" i="1"/>
  <c r="N4814" i="1"/>
  <c r="M4814" i="1"/>
  <c r="M4813" i="1"/>
  <c r="M4809" i="1"/>
  <c r="M4808" i="1"/>
  <c r="M4806" i="1"/>
  <c r="N4805" i="1"/>
  <c r="M4805" i="1"/>
  <c r="N4802" i="1"/>
  <c r="M4802" i="1"/>
  <c r="N4801" i="1"/>
  <c r="M4801" i="1"/>
  <c r="N4800" i="1"/>
  <c r="M4800" i="1"/>
  <c r="N4799" i="1"/>
  <c r="M4799" i="1"/>
  <c r="N4798" i="1"/>
  <c r="M4798" i="1"/>
  <c r="N4795" i="1"/>
  <c r="M4795" i="1"/>
  <c r="N4792" i="1"/>
  <c r="M4792" i="1"/>
  <c r="N4791" i="1"/>
  <c r="M4791" i="1"/>
  <c r="N4787" i="1"/>
  <c r="M4787" i="1"/>
  <c r="N4786" i="1"/>
  <c r="M4786" i="1"/>
  <c r="N4785" i="1"/>
  <c r="M4785" i="1"/>
  <c r="N4784" i="1"/>
  <c r="M4784" i="1"/>
  <c r="M4781" i="1"/>
  <c r="N4780" i="1"/>
  <c r="M4780" i="1"/>
  <c r="M4779" i="1"/>
  <c r="M4778" i="1"/>
  <c r="N4777" i="1"/>
  <c r="M4777" i="1"/>
  <c r="N4774" i="1"/>
  <c r="M4774" i="1"/>
  <c r="N4773" i="1"/>
  <c r="M4773" i="1"/>
  <c r="N4772" i="1"/>
  <c r="M4772" i="1"/>
  <c r="N4771" i="1"/>
  <c r="M4771" i="1"/>
  <c r="N4770" i="1"/>
  <c r="M4770" i="1"/>
  <c r="M4767" i="1"/>
  <c r="O4766" i="1"/>
  <c r="N4766" i="1"/>
  <c r="M4766" i="1"/>
  <c r="N4765" i="1"/>
  <c r="M4765" i="1"/>
  <c r="N4764" i="1"/>
  <c r="M4764" i="1"/>
  <c r="M4763" i="1"/>
  <c r="N4760" i="1"/>
  <c r="M4760" i="1"/>
  <c r="O4759" i="1"/>
  <c r="N4759" i="1"/>
  <c r="M4759" i="1"/>
  <c r="N4758" i="1"/>
  <c r="M4758" i="1"/>
  <c r="M4757" i="1"/>
  <c r="M4756" i="1"/>
  <c r="N4751" i="1"/>
  <c r="M4751" i="1"/>
  <c r="N4749" i="1"/>
  <c r="M4749" i="1"/>
  <c r="N4746" i="1"/>
  <c r="M4746" i="1"/>
  <c r="N4745" i="1"/>
  <c r="M4745" i="1"/>
  <c r="N4744" i="1"/>
  <c r="M4744" i="1"/>
  <c r="M4743" i="1"/>
  <c r="N4742" i="1"/>
  <c r="M4742" i="1"/>
  <c r="N4739" i="1"/>
  <c r="M4739" i="1"/>
  <c r="N4738" i="1"/>
  <c r="M4738" i="1"/>
  <c r="N4735" i="1"/>
  <c r="M4735" i="1"/>
  <c r="N4732" i="1"/>
  <c r="M4732" i="1"/>
  <c r="M4730" i="1"/>
  <c r="M4729" i="1"/>
  <c r="M4728" i="1"/>
  <c r="N4725" i="1"/>
  <c r="M4725" i="1"/>
  <c r="N4724" i="1"/>
  <c r="M4724" i="1"/>
  <c r="N4723" i="1"/>
  <c r="M4723" i="1"/>
  <c r="M4722" i="1"/>
  <c r="N4721" i="1"/>
  <c r="M4721" i="1"/>
  <c r="M4718" i="1"/>
  <c r="P4717" i="1"/>
  <c r="O4717" i="1"/>
  <c r="N4717" i="1"/>
  <c r="M4717" i="1"/>
  <c r="N4716" i="1"/>
  <c r="M4716" i="1"/>
  <c r="O4715" i="1"/>
  <c r="N4715" i="1"/>
  <c r="M4715" i="1"/>
  <c r="M4714" i="1"/>
  <c r="N4711" i="1"/>
  <c r="M4711" i="1"/>
  <c r="N4709" i="1"/>
  <c r="M4709" i="1"/>
  <c r="N4707" i="1"/>
  <c r="M4707" i="1"/>
  <c r="M4704" i="1"/>
  <c r="M4703" i="1"/>
  <c r="M4702" i="1"/>
  <c r="M4701" i="1"/>
  <c r="M4700" i="1"/>
  <c r="M4697" i="1"/>
  <c r="M4696" i="1"/>
  <c r="N4693" i="1"/>
  <c r="M4693" i="1"/>
  <c r="N4690" i="1"/>
  <c r="M4690" i="1"/>
  <c r="N4689" i="1"/>
  <c r="M4689" i="1"/>
  <c r="M4688" i="1"/>
  <c r="N4687" i="1"/>
  <c r="M4687" i="1"/>
  <c r="N4686" i="1"/>
  <c r="M4686" i="1"/>
  <c r="N4683" i="1"/>
  <c r="M4683" i="1"/>
  <c r="M4682" i="1"/>
  <c r="O4681" i="1"/>
  <c r="N4681" i="1"/>
  <c r="M4681" i="1"/>
  <c r="N4680" i="1"/>
  <c r="M4680" i="1"/>
  <c r="N4679" i="1"/>
  <c r="M4679" i="1"/>
  <c r="N4676" i="1"/>
  <c r="M4676" i="1"/>
  <c r="M4675" i="1"/>
  <c r="N4674" i="1"/>
  <c r="M4674" i="1"/>
  <c r="N4672" i="1"/>
  <c r="M4672" i="1"/>
  <c r="N4665" i="1"/>
  <c r="M4665" i="1"/>
  <c r="N4662" i="1"/>
  <c r="M4662" i="1"/>
  <c r="N4661" i="1"/>
  <c r="M4661" i="1"/>
  <c r="N4659" i="1"/>
  <c r="M4659" i="1"/>
  <c r="O4658" i="1"/>
  <c r="N4658" i="1"/>
  <c r="M4658" i="1"/>
  <c r="M4655" i="1"/>
  <c r="O4654" i="1"/>
  <c r="N4654" i="1"/>
  <c r="M4654" i="1"/>
  <c r="N4653" i="1"/>
  <c r="M4653" i="1"/>
  <c r="N4651" i="1"/>
  <c r="M4651" i="1"/>
  <c r="M4647" i="1"/>
  <c r="M4646" i="1"/>
  <c r="N4645" i="1"/>
  <c r="M4645" i="1"/>
  <c r="N4644" i="1"/>
  <c r="M4644" i="1"/>
  <c r="M4639" i="1"/>
  <c r="M4638" i="1"/>
  <c r="N4637" i="1"/>
  <c r="M4637" i="1"/>
  <c r="N4634" i="1"/>
  <c r="M4634" i="1"/>
  <c r="N4632" i="1"/>
  <c r="M4632" i="1"/>
  <c r="N4631" i="1"/>
  <c r="M4631" i="1"/>
  <c r="P4630" i="1"/>
  <c r="O4630" i="1"/>
  <c r="N4630" i="1"/>
  <c r="M4630" i="1"/>
  <c r="N4627" i="1"/>
  <c r="M4627" i="1"/>
  <c r="N4625" i="1"/>
  <c r="M4625" i="1"/>
  <c r="N4624" i="1"/>
  <c r="M4624" i="1"/>
  <c r="M4623" i="1"/>
  <c r="N4620" i="1"/>
  <c r="M4620" i="1"/>
  <c r="O4617" i="1"/>
  <c r="N4617" i="1"/>
  <c r="M4617" i="1"/>
  <c r="O4616" i="1"/>
  <c r="N4616" i="1"/>
  <c r="M4616" i="1"/>
  <c r="N4613" i="1"/>
  <c r="M4613" i="1"/>
  <c r="M4611" i="1"/>
  <c r="P4610" i="1"/>
  <c r="O4610" i="1"/>
  <c r="N4610" i="1"/>
  <c r="M4610" i="1"/>
  <c r="N4609" i="1"/>
  <c r="M4609" i="1"/>
  <c r="N4606" i="1"/>
  <c r="M4606" i="1"/>
  <c r="N4605" i="1"/>
  <c r="M4605" i="1"/>
  <c r="N4604" i="1"/>
  <c r="M4604" i="1"/>
  <c r="M4603" i="1"/>
  <c r="M4602" i="1"/>
  <c r="O4599" i="1"/>
  <c r="N4599" i="1"/>
  <c r="M4599" i="1"/>
  <c r="M4598" i="1"/>
  <c r="M4597" i="1"/>
  <c r="M4596" i="1"/>
  <c r="M4595" i="1"/>
  <c r="N4592" i="1"/>
  <c r="M4592" i="1"/>
  <c r="M4591" i="1"/>
  <c r="N4590" i="1"/>
  <c r="M4590" i="1"/>
  <c r="M4589" i="1"/>
  <c r="N4588" i="1"/>
  <c r="M4588" i="1"/>
  <c r="N4584" i="1"/>
  <c r="M4584" i="1"/>
  <c r="N4583" i="1"/>
  <c r="M4583" i="1"/>
  <c r="N4582" i="1"/>
  <c r="M4582" i="1"/>
  <c r="N4581" i="1"/>
  <c r="M4581" i="1"/>
  <c r="M4578" i="1"/>
  <c r="M4577" i="1"/>
  <c r="N4574" i="1"/>
  <c r="M4574" i="1"/>
  <c r="M4571" i="1"/>
  <c r="P4570" i="1"/>
  <c r="O4570" i="1"/>
  <c r="N4570" i="1"/>
  <c r="M4570" i="1"/>
  <c r="N4569" i="1"/>
  <c r="M4569" i="1"/>
  <c r="N4568" i="1"/>
  <c r="M4568" i="1"/>
  <c r="P4567" i="1"/>
  <c r="O4567" i="1"/>
  <c r="N4567" i="1"/>
  <c r="M4567" i="1"/>
  <c r="M4564" i="1"/>
  <c r="P4563" i="1"/>
  <c r="O4563" i="1"/>
  <c r="N4563" i="1"/>
  <c r="M4563" i="1"/>
  <c r="O4562" i="1"/>
  <c r="N4562" i="1"/>
  <c r="M4562" i="1"/>
  <c r="M4561" i="1"/>
  <c r="N4560" i="1"/>
  <c r="M4560" i="1"/>
  <c r="M4557" i="1"/>
  <c r="P4556" i="1"/>
  <c r="O4556" i="1"/>
  <c r="N4556" i="1"/>
  <c r="M4556" i="1"/>
  <c r="N4555" i="1"/>
  <c r="M4555" i="1"/>
  <c r="M4554" i="1"/>
  <c r="N4550" i="1"/>
  <c r="M4550" i="1"/>
  <c r="N4549" i="1"/>
  <c r="M4549" i="1"/>
  <c r="N4548" i="1"/>
  <c r="M4548" i="1"/>
  <c r="N4547" i="1"/>
  <c r="M4547" i="1"/>
  <c r="N4546" i="1"/>
  <c r="M4546" i="1"/>
  <c r="N4543" i="1"/>
  <c r="M4543" i="1"/>
  <c r="N4541" i="1"/>
  <c r="M4541" i="1"/>
  <c r="M4540" i="1"/>
  <c r="O4539" i="1"/>
  <c r="N4539" i="1"/>
  <c r="M4539" i="1"/>
  <c r="M4533" i="1"/>
  <c r="M4532" i="1"/>
  <c r="N4529" i="1"/>
  <c r="M4529" i="1"/>
  <c r="M4528" i="1"/>
  <c r="N4526" i="1"/>
  <c r="M4526" i="1"/>
  <c r="N4525" i="1"/>
  <c r="M4525" i="1"/>
  <c r="O4522" i="1"/>
  <c r="N4522" i="1"/>
  <c r="M4522" i="1"/>
  <c r="N4521" i="1"/>
  <c r="M4521" i="1"/>
  <c r="N4520" i="1"/>
  <c r="M4520" i="1"/>
  <c r="M4519" i="1"/>
  <c r="N4518" i="1"/>
  <c r="M4518" i="1"/>
  <c r="M4515" i="1"/>
  <c r="N4514" i="1"/>
  <c r="M4514" i="1"/>
  <c r="M4513" i="1"/>
  <c r="O4511" i="1"/>
  <c r="N4511" i="1"/>
  <c r="M4511" i="1"/>
  <c r="N4508" i="1"/>
  <c r="M4508" i="1"/>
  <c r="N4507" i="1"/>
  <c r="M4507" i="1"/>
  <c r="N4506" i="1"/>
  <c r="M4506" i="1"/>
  <c r="M4505" i="1"/>
  <c r="N4504" i="1"/>
  <c r="M4504" i="1"/>
  <c r="N4501" i="1"/>
  <c r="M4501" i="1"/>
  <c r="N4500" i="1"/>
  <c r="M4500" i="1"/>
  <c r="N4499" i="1"/>
  <c r="M4499" i="1"/>
  <c r="N4498" i="1"/>
  <c r="M4498" i="1"/>
  <c r="N4497" i="1"/>
  <c r="M4497" i="1"/>
  <c r="M4494" i="1"/>
  <c r="O4492" i="1"/>
  <c r="N4492" i="1"/>
  <c r="M4492" i="1"/>
  <c r="M4491" i="1"/>
  <c r="N4490" i="1"/>
  <c r="M4490" i="1"/>
  <c r="N4486" i="1"/>
  <c r="M4486" i="1"/>
  <c r="M4484" i="1"/>
  <c r="N4483" i="1"/>
  <c r="M4483" i="1"/>
  <c r="M4480" i="1"/>
  <c r="O4479" i="1"/>
  <c r="N4479" i="1"/>
  <c r="M4479" i="1"/>
  <c r="P4478" i="1"/>
  <c r="O4478" i="1"/>
  <c r="N4478" i="1"/>
  <c r="M4478" i="1"/>
  <c r="M4477" i="1"/>
  <c r="O4476" i="1"/>
  <c r="N4476" i="1"/>
  <c r="M4476" i="1"/>
  <c r="N4473" i="1"/>
  <c r="M4473" i="1"/>
  <c r="M4472" i="1"/>
  <c r="M4470" i="1"/>
  <c r="M4469" i="1"/>
  <c r="M4466" i="1"/>
  <c r="M4465" i="1"/>
  <c r="N4464" i="1"/>
  <c r="M4464" i="1"/>
  <c r="M4463" i="1"/>
  <c r="N4462" i="1"/>
  <c r="M4462" i="1"/>
  <c r="N4459" i="1"/>
  <c r="M4459" i="1"/>
  <c r="N4458" i="1"/>
  <c r="M4458" i="1"/>
  <c r="N4457" i="1"/>
  <c r="M4457" i="1"/>
  <c r="N4456" i="1"/>
  <c r="M4456" i="1"/>
  <c r="M4455" i="1"/>
  <c r="M4452" i="1"/>
  <c r="M4449" i="1"/>
  <c r="N4448" i="1"/>
  <c r="M4448" i="1"/>
  <c r="O4441" i="1"/>
  <c r="N4441" i="1"/>
  <c r="M4441" i="1"/>
  <c r="P4434" i="1"/>
  <c r="O4434" i="1"/>
  <c r="N4434" i="1"/>
  <c r="M4434" i="1"/>
  <c r="N4431" i="1"/>
  <c r="M4431" i="1"/>
  <c r="N4430" i="1"/>
  <c r="M4430" i="1"/>
  <c r="M4429" i="1"/>
  <c r="N4428" i="1"/>
  <c r="M4428" i="1"/>
  <c r="N4427" i="1"/>
  <c r="M4427" i="1"/>
  <c r="M4423" i="1"/>
  <c r="N4422" i="1"/>
  <c r="M4422" i="1"/>
  <c r="N4420" i="1"/>
  <c r="M4420" i="1"/>
  <c r="N4415" i="1"/>
  <c r="M4415" i="1"/>
  <c r="N4414" i="1"/>
  <c r="M4414" i="1"/>
  <c r="M4413" i="1"/>
  <c r="M4410" i="1"/>
  <c r="M4409" i="1"/>
  <c r="O4408" i="1"/>
  <c r="N4408" i="1"/>
  <c r="M4408" i="1"/>
  <c r="M4407" i="1"/>
  <c r="N4406" i="1"/>
  <c r="M4406" i="1"/>
  <c r="N4402" i="1"/>
  <c r="M4402" i="1"/>
  <c r="N4401" i="1"/>
  <c r="M4401" i="1"/>
  <c r="M4400" i="1"/>
  <c r="N4399" i="1"/>
  <c r="M4399" i="1"/>
  <c r="N4396" i="1"/>
  <c r="M4396" i="1"/>
  <c r="P4395" i="1"/>
  <c r="O4395" i="1"/>
  <c r="N4395" i="1"/>
  <c r="M4395" i="1"/>
  <c r="N4394" i="1"/>
  <c r="M4394" i="1"/>
  <c r="M4393" i="1"/>
  <c r="N4392" i="1"/>
  <c r="M4392" i="1"/>
  <c r="O4389" i="1"/>
  <c r="N4389" i="1"/>
  <c r="M4389" i="1"/>
  <c r="N4388" i="1"/>
  <c r="M4388" i="1"/>
  <c r="N4386" i="1"/>
  <c r="M4386" i="1"/>
  <c r="P4385" i="1"/>
  <c r="O4385" i="1"/>
  <c r="N4385" i="1"/>
  <c r="M4385" i="1"/>
  <c r="N4381" i="1"/>
  <c r="M4381" i="1"/>
  <c r="N4378" i="1"/>
  <c r="M4378" i="1"/>
  <c r="N4375" i="1"/>
  <c r="M4375" i="1"/>
  <c r="N4373" i="1"/>
  <c r="M4373" i="1"/>
  <c r="N4372" i="1"/>
  <c r="M4372" i="1"/>
  <c r="M4371" i="1"/>
  <c r="M4368" i="1"/>
  <c r="M4367" i="1"/>
  <c r="N4366" i="1"/>
  <c r="M4366" i="1"/>
  <c r="N4365" i="1"/>
  <c r="M4365" i="1"/>
  <c r="N4364" i="1"/>
  <c r="M4364" i="1"/>
  <c r="N4361" i="1"/>
  <c r="M4361" i="1"/>
  <c r="M4360" i="1"/>
  <c r="M4359" i="1"/>
  <c r="N4358" i="1"/>
  <c r="M4358" i="1"/>
  <c r="N4357" i="1"/>
  <c r="M4357" i="1"/>
  <c r="M4353" i="1"/>
  <c r="M4352" i="1"/>
  <c r="N4350" i="1"/>
  <c r="M4350" i="1"/>
  <c r="M4347" i="1"/>
  <c r="N4345" i="1"/>
  <c r="M4345" i="1"/>
  <c r="N4344" i="1"/>
  <c r="M4344" i="1"/>
  <c r="M4343" i="1"/>
  <c r="N4340" i="1"/>
  <c r="M4340" i="1"/>
  <c r="N4336" i="1"/>
  <c r="M4336" i="1"/>
  <c r="N4333" i="1"/>
  <c r="M4333" i="1"/>
  <c r="N4332" i="1"/>
  <c r="M4332" i="1"/>
  <c r="N4331" i="1"/>
  <c r="M4331" i="1"/>
  <c r="N4330" i="1"/>
  <c r="M4330" i="1"/>
  <c r="N4329" i="1"/>
  <c r="M4329" i="1"/>
  <c r="N4325" i="1"/>
  <c r="M4325" i="1"/>
  <c r="M4324" i="1"/>
  <c r="N4323" i="1"/>
  <c r="M4323" i="1"/>
  <c r="N4322" i="1"/>
  <c r="M4322" i="1"/>
  <c r="M4319" i="1"/>
  <c r="P4318" i="1"/>
  <c r="O4318" i="1"/>
  <c r="N4318" i="1"/>
  <c r="M4318" i="1"/>
  <c r="N4316" i="1"/>
  <c r="M4316" i="1"/>
  <c r="P4315" i="1"/>
  <c r="O4315" i="1"/>
  <c r="N4315" i="1"/>
  <c r="M4315" i="1"/>
  <c r="M4312" i="1"/>
  <c r="M4311" i="1"/>
  <c r="N4310" i="1"/>
  <c r="M4310" i="1"/>
  <c r="M4309" i="1"/>
  <c r="N4308" i="1"/>
  <c r="M4308" i="1"/>
  <c r="M4303" i="1"/>
  <c r="M4302" i="1"/>
  <c r="P4301" i="1"/>
  <c r="O4301" i="1"/>
  <c r="N4301" i="1"/>
  <c r="M4301" i="1"/>
  <c r="N4298" i="1"/>
  <c r="M4298" i="1"/>
  <c r="M4297" i="1"/>
  <c r="N4296" i="1"/>
  <c r="M4296" i="1"/>
  <c r="N4295" i="1"/>
  <c r="M4295" i="1"/>
  <c r="N4294" i="1"/>
  <c r="M4294" i="1"/>
  <c r="M4291" i="1"/>
  <c r="N4290" i="1"/>
  <c r="M4290" i="1"/>
  <c r="N4289" i="1"/>
  <c r="M4289" i="1"/>
  <c r="M4288" i="1"/>
  <c r="M4287" i="1"/>
  <c r="N4284" i="1"/>
  <c r="M4284" i="1"/>
  <c r="N4283" i="1"/>
  <c r="M4283" i="1"/>
  <c r="N4282" i="1"/>
  <c r="M4282" i="1"/>
  <c r="N4281" i="1"/>
  <c r="M4281" i="1"/>
  <c r="P4280" i="1"/>
  <c r="O4280" i="1"/>
  <c r="N4280" i="1"/>
  <c r="M4280" i="1"/>
  <c r="M4277" i="1"/>
  <c r="M4276" i="1"/>
  <c r="M4275" i="1"/>
  <c r="N4274" i="1"/>
  <c r="M4274" i="1"/>
  <c r="N4273" i="1"/>
  <c r="M4273" i="1"/>
  <c r="N4267" i="1"/>
  <c r="M4267" i="1"/>
  <c r="N4266" i="1"/>
  <c r="M4266" i="1"/>
  <c r="M4263" i="1"/>
  <c r="N4262" i="1"/>
  <c r="M4262" i="1"/>
  <c r="M4261" i="1"/>
  <c r="N4260" i="1"/>
  <c r="M4260" i="1"/>
  <c r="N4259" i="1"/>
  <c r="M4259" i="1"/>
  <c r="N4256" i="1"/>
  <c r="M4256" i="1"/>
  <c r="M4255" i="1"/>
  <c r="M4254" i="1"/>
  <c r="M4253" i="1"/>
  <c r="M4252" i="1"/>
  <c r="N4249" i="1"/>
  <c r="M4249" i="1"/>
  <c r="N4248" i="1"/>
  <c r="M4248" i="1"/>
  <c r="M4247" i="1"/>
  <c r="N4246" i="1"/>
  <c r="M4246" i="1"/>
  <c r="M4245" i="1"/>
  <c r="M4242" i="1"/>
  <c r="M4241" i="1"/>
  <c r="N4240" i="1"/>
  <c r="M4240" i="1"/>
  <c r="N4238" i="1"/>
  <c r="M4238" i="1"/>
  <c r="M4234" i="1"/>
  <c r="M4233" i="1"/>
  <c r="N4231" i="1"/>
  <c r="M4231" i="1"/>
  <c r="N4228" i="1"/>
  <c r="M4228" i="1"/>
  <c r="N4224" i="1"/>
  <c r="M4224" i="1"/>
  <c r="N4221" i="1"/>
  <c r="M4221" i="1"/>
  <c r="P4220" i="1"/>
  <c r="O4220" i="1"/>
  <c r="N4220" i="1"/>
  <c r="M4220" i="1"/>
  <c r="N4218" i="1"/>
  <c r="M4218" i="1"/>
  <c r="M4217" i="1"/>
  <c r="M4214" i="1"/>
  <c r="N4213" i="1"/>
  <c r="M4213" i="1"/>
  <c r="N4212" i="1"/>
  <c r="M4212" i="1"/>
  <c r="N4210" i="1"/>
  <c r="M4210" i="1"/>
  <c r="M4207" i="1"/>
  <c r="N4206" i="1"/>
  <c r="M4206" i="1"/>
  <c r="M4205" i="1"/>
  <c r="N4204" i="1"/>
  <c r="M4204" i="1"/>
  <c r="O4203" i="1"/>
  <c r="N4203" i="1"/>
  <c r="M4203" i="1"/>
  <c r="M4200" i="1"/>
  <c r="M4199" i="1"/>
  <c r="N4198" i="1"/>
  <c r="M4198" i="1"/>
  <c r="N4197" i="1"/>
  <c r="M4197" i="1"/>
  <c r="N4196" i="1"/>
  <c r="M4196" i="1"/>
  <c r="N4192" i="1"/>
  <c r="M4192" i="1"/>
  <c r="M4190" i="1"/>
  <c r="M4189" i="1"/>
  <c r="N4186" i="1"/>
  <c r="N4184" i="1"/>
  <c r="M4184" i="1"/>
  <c r="N4183" i="1"/>
  <c r="M4183" i="1"/>
  <c r="N4182" i="1"/>
  <c r="M4182" i="1"/>
  <c r="M4179" i="1"/>
  <c r="M4178" i="1"/>
  <c r="N4176" i="1"/>
  <c r="M4176" i="1"/>
  <c r="N4172" i="1"/>
  <c r="M4172" i="1"/>
  <c r="M4171" i="1"/>
  <c r="N4170" i="1"/>
  <c r="M4170" i="1"/>
  <c r="N4169" i="1"/>
  <c r="M4169" i="1"/>
  <c r="N4168" i="1"/>
  <c r="M4168" i="1"/>
  <c r="N4165" i="1"/>
  <c r="M4165" i="1"/>
  <c r="M4164" i="1"/>
  <c r="M4163" i="1"/>
  <c r="N4162" i="1"/>
  <c r="M4162" i="1"/>
  <c r="N4161" i="1"/>
  <c r="M4161" i="1"/>
  <c r="N4158" i="1"/>
  <c r="M4158" i="1"/>
  <c r="M4157" i="1"/>
  <c r="M4156" i="1"/>
  <c r="N4154" i="1"/>
  <c r="M4154" i="1"/>
  <c r="N4151" i="1"/>
  <c r="M4151" i="1"/>
  <c r="N4150" i="1"/>
  <c r="M4150" i="1"/>
  <c r="M4148" i="1"/>
  <c r="M4147" i="1"/>
  <c r="M4144" i="1"/>
  <c r="N4143" i="1"/>
  <c r="M4143" i="1"/>
  <c r="M4142" i="1"/>
  <c r="N4141" i="1"/>
  <c r="M4141" i="1"/>
  <c r="N4140" i="1"/>
  <c r="M4140" i="1"/>
  <c r="M4137" i="1"/>
  <c r="P4136" i="1"/>
  <c r="O4136" i="1"/>
  <c r="N4136" i="1"/>
  <c r="M4136" i="1"/>
  <c r="O4135" i="1"/>
  <c r="N4135" i="1"/>
  <c r="M4135" i="1"/>
  <c r="N4133" i="1"/>
  <c r="M4133" i="1"/>
  <c r="N4130" i="1"/>
  <c r="M4130" i="1"/>
  <c r="N4128" i="1"/>
  <c r="M4128" i="1"/>
  <c r="M4127" i="1"/>
  <c r="N4126" i="1"/>
  <c r="M4126" i="1"/>
  <c r="N4123" i="1"/>
  <c r="M4123" i="1"/>
  <c r="N4122" i="1"/>
  <c r="M4122" i="1"/>
  <c r="M4120" i="1"/>
  <c r="N4119" i="1"/>
  <c r="M4119" i="1"/>
  <c r="O4116" i="1"/>
  <c r="N4116" i="1"/>
  <c r="M4116" i="1"/>
  <c r="M4115" i="1"/>
  <c r="N4113" i="1"/>
  <c r="M4113" i="1"/>
  <c r="O4112" i="1"/>
  <c r="N4112" i="1"/>
  <c r="M4112" i="1"/>
  <c r="N4109" i="1"/>
  <c r="M4109" i="1"/>
  <c r="M4108" i="1"/>
  <c r="O4107" i="1"/>
  <c r="N4107" i="1"/>
  <c r="M4107" i="1"/>
  <c r="M4106" i="1"/>
  <c r="M4105" i="1"/>
  <c r="M4102" i="1"/>
  <c r="N4101" i="1"/>
  <c r="M4101" i="1"/>
  <c r="N4100" i="1"/>
  <c r="M4100" i="1"/>
  <c r="N4099" i="1"/>
  <c r="M4099" i="1"/>
  <c r="M4098" i="1"/>
  <c r="M4094" i="1"/>
  <c r="N4093" i="1"/>
  <c r="M4093" i="1"/>
  <c r="P4091" i="1"/>
  <c r="O4091" i="1"/>
  <c r="N4091" i="1"/>
  <c r="M4091" i="1"/>
  <c r="N4088" i="1"/>
  <c r="M4088" i="1"/>
  <c r="N4087" i="1"/>
  <c r="M4087" i="1"/>
  <c r="N4086" i="1"/>
  <c r="M4086" i="1"/>
  <c r="M4085" i="1"/>
  <c r="N4084" i="1"/>
  <c r="M4084" i="1"/>
  <c r="N4081" i="1"/>
  <c r="M4081" i="1"/>
  <c r="P4080" i="1"/>
  <c r="O4080" i="1"/>
  <c r="N4080" i="1"/>
  <c r="M4080" i="1"/>
  <c r="M4079" i="1"/>
  <c r="N4078" i="1"/>
  <c r="M4078" i="1"/>
  <c r="N4077" i="1"/>
  <c r="M4077" i="1"/>
  <c r="M4074" i="1"/>
  <c r="M4073" i="1"/>
  <c r="M4072" i="1"/>
  <c r="M4071" i="1"/>
  <c r="N4070" i="1"/>
  <c r="M4070" i="1"/>
  <c r="N4067" i="1"/>
  <c r="M4067" i="1"/>
  <c r="N4066" i="1"/>
  <c r="M4066" i="1"/>
  <c r="N4065" i="1"/>
  <c r="M4065" i="1"/>
  <c r="N4064" i="1"/>
  <c r="M4064" i="1"/>
  <c r="N4063" i="1"/>
  <c r="M4063" i="1"/>
  <c r="M4059" i="1"/>
  <c r="M4058" i="1"/>
  <c r="N4057" i="1"/>
  <c r="M4057" i="1"/>
  <c r="N4056" i="1"/>
  <c r="M4056" i="1"/>
  <c r="N4053" i="1"/>
  <c r="M4053" i="1"/>
  <c r="N4051" i="1"/>
  <c r="M4051" i="1"/>
  <c r="N4050" i="1"/>
  <c r="M4050" i="1"/>
  <c r="M4049" i="1"/>
  <c r="N4046" i="1"/>
  <c r="M4046" i="1"/>
  <c r="N4045" i="1"/>
  <c r="M4045" i="1"/>
  <c r="M4044" i="1"/>
  <c r="M4043" i="1"/>
  <c r="M4042" i="1"/>
  <c r="N4039" i="1"/>
  <c r="M4039" i="1"/>
  <c r="N4038" i="1"/>
  <c r="M4038" i="1"/>
  <c r="N4037" i="1"/>
  <c r="M4037" i="1"/>
  <c r="N4036" i="1"/>
  <c r="M4036" i="1"/>
  <c r="N4035" i="1"/>
  <c r="M4035" i="1"/>
  <c r="N3899" i="1"/>
  <c r="M3899" i="1"/>
  <c r="R3898" i="1"/>
  <c r="O1797" i="1"/>
  <c r="N1797" i="1"/>
  <c r="M1797" i="1"/>
  <c r="R1796" i="1"/>
  <c r="M1084" i="1"/>
  <c r="R1083" i="1"/>
  <c r="M230" i="1"/>
  <c r="M228" i="1"/>
  <c r="M227" i="1"/>
  <c r="N224" i="1"/>
  <c r="M224" i="1"/>
  <c r="N223" i="1"/>
  <c r="M223" i="1"/>
  <c r="N222" i="1"/>
  <c r="M222" i="1"/>
  <c r="N221" i="1"/>
  <c r="M221" i="1"/>
  <c r="N220" i="1"/>
  <c r="M220" i="1"/>
  <c r="M217" i="1"/>
  <c r="M216" i="1"/>
  <c r="N215" i="1"/>
  <c r="M215" i="1"/>
  <c r="M214" i="1"/>
  <c r="N213" i="1"/>
  <c r="M213" i="1"/>
  <c r="N210" i="1"/>
  <c r="M210" i="1"/>
  <c r="N209" i="1"/>
  <c r="M209" i="1"/>
  <c r="M207" i="1"/>
  <c r="O206" i="1"/>
  <c r="N206" i="1"/>
  <c r="M206" i="1"/>
  <c r="N202" i="1"/>
  <c r="M202" i="1"/>
  <c r="M201" i="1"/>
  <c r="M200" i="1"/>
  <c r="M199" i="1"/>
  <c r="N196" i="1"/>
  <c r="M196" i="1"/>
  <c r="M195" i="1"/>
  <c r="N194" i="1"/>
  <c r="M194" i="1"/>
  <c r="M193" i="1"/>
  <c r="N192" i="1"/>
  <c r="M192" i="1"/>
  <c r="N189" i="1"/>
  <c r="M189" i="1"/>
  <c r="M188" i="1"/>
  <c r="M187" i="1"/>
  <c r="N186" i="1"/>
  <c r="M186" i="1"/>
  <c r="M185" i="1"/>
  <c r="M181" i="1"/>
  <c r="M180" i="1"/>
  <c r="M179" i="1"/>
  <c r="N178" i="1"/>
  <c r="M178" i="1"/>
  <c r="M175" i="1"/>
  <c r="M172" i="1"/>
  <c r="N171" i="1"/>
  <c r="M171" i="1"/>
  <c r="N166" i="1"/>
  <c r="M166" i="1"/>
  <c r="N165" i="1"/>
  <c r="M165" i="1"/>
  <c r="N164" i="1"/>
  <c r="M164" i="1"/>
  <c r="N161" i="1"/>
  <c r="M161" i="1"/>
  <c r="N160" i="1"/>
  <c r="M160" i="1"/>
  <c r="N159" i="1"/>
  <c r="M159" i="1"/>
  <c r="N157" i="1"/>
  <c r="M157" i="1"/>
  <c r="N153" i="1"/>
  <c r="M153" i="1"/>
  <c r="M152" i="1"/>
  <c r="N151" i="1"/>
  <c r="M151" i="1"/>
  <c r="N150" i="1"/>
  <c r="M150" i="1"/>
  <c r="M147" i="1"/>
  <c r="N146" i="1"/>
  <c r="M146" i="1"/>
  <c r="N145" i="1"/>
  <c r="M145" i="1"/>
  <c r="N144" i="1"/>
  <c r="M144" i="1"/>
  <c r="N143" i="1"/>
  <c r="M143" i="1"/>
  <c r="N139" i="1"/>
  <c r="M139" i="1"/>
  <c r="M138" i="1"/>
  <c r="M137" i="1"/>
  <c r="N136" i="1"/>
  <c r="M136" i="1"/>
  <c r="N131" i="1"/>
  <c r="M131" i="1"/>
  <c r="N130" i="1"/>
  <c r="M130" i="1"/>
  <c r="N129" i="1"/>
  <c r="M129" i="1"/>
  <c r="N124" i="1"/>
  <c r="M124" i="1"/>
  <c r="N123" i="1"/>
  <c r="M123" i="1"/>
  <c r="N122" i="1"/>
  <c r="M122" i="1"/>
  <c r="M119" i="1"/>
  <c r="N117" i="1"/>
  <c r="M117" i="1"/>
  <c r="N116" i="1"/>
  <c r="M116" i="1"/>
  <c r="N115" i="1"/>
  <c r="M115" i="1"/>
  <c r="M111" i="1"/>
  <c r="N110" i="1"/>
  <c r="M110" i="1"/>
  <c r="M109" i="1"/>
  <c r="N108" i="1"/>
  <c r="M108" i="1"/>
  <c r="N104" i="1"/>
  <c r="M104" i="1"/>
  <c r="N103" i="1"/>
  <c r="M103" i="1"/>
  <c r="N102" i="1"/>
  <c r="M102" i="1"/>
  <c r="N101" i="1"/>
  <c r="M101" i="1"/>
  <c r="N98" i="1"/>
  <c r="M98" i="1"/>
  <c r="N97" i="1"/>
  <c r="M97" i="1"/>
  <c r="N96" i="1"/>
  <c r="M96" i="1"/>
  <c r="N95" i="1"/>
  <c r="M95" i="1"/>
  <c r="M94" i="1"/>
  <c r="M91" i="1"/>
  <c r="N90" i="1"/>
  <c r="M90" i="1"/>
  <c r="N89" i="1"/>
  <c r="M89" i="1"/>
  <c r="N88" i="1"/>
  <c r="M88" i="1"/>
  <c r="N87" i="1"/>
  <c r="M87" i="1"/>
  <c r="N84" i="1"/>
  <c r="M84" i="1"/>
  <c r="M83" i="1"/>
  <c r="N82" i="1"/>
  <c r="M82" i="1"/>
  <c r="N81" i="1"/>
  <c r="M81" i="1"/>
  <c r="N80" i="1"/>
  <c r="M80" i="1"/>
  <c r="N77" i="1"/>
  <c r="M77" i="1"/>
  <c r="N76" i="1"/>
  <c r="M76" i="1"/>
  <c r="M75" i="1"/>
  <c r="N74" i="1"/>
  <c r="M74" i="1"/>
  <c r="N73" i="1"/>
  <c r="M73" i="1"/>
  <c r="M70" i="1"/>
  <c r="N69" i="1"/>
  <c r="M69" i="1"/>
  <c r="M68" i="1"/>
  <c r="M67" i="1"/>
  <c r="N66" i="1"/>
  <c r="M66" i="1"/>
  <c r="M62" i="1"/>
  <c r="M60" i="1"/>
  <c r="N59" i="1"/>
  <c r="M59" i="1"/>
  <c r="N56" i="1"/>
  <c r="M56" i="1"/>
  <c r="N55" i="1"/>
  <c r="M55" i="1"/>
  <c r="M54" i="1"/>
  <c r="M53" i="1"/>
  <c r="M52" i="1"/>
  <c r="N49" i="1"/>
  <c r="M49" i="1"/>
  <c r="N48" i="1"/>
  <c r="M48" i="1"/>
  <c r="M47" i="1"/>
  <c r="M46" i="1"/>
  <c r="P45" i="1"/>
  <c r="O45" i="1"/>
  <c r="N45" i="1"/>
  <c r="M45" i="1"/>
  <c r="N40" i="1"/>
  <c r="M40" i="1"/>
  <c r="N39" i="1"/>
  <c r="M39" i="1"/>
  <c r="N38" i="1"/>
  <c r="M38" i="1"/>
  <c r="M31" i="1"/>
  <c r="N27" i="1"/>
  <c r="M27" i="1"/>
  <c r="N26" i="1"/>
  <c r="M26" i="1"/>
  <c r="M25" i="1"/>
  <c r="N24" i="1"/>
  <c r="M24" i="1"/>
  <c r="M19" i="1"/>
  <c r="N18" i="1"/>
  <c r="M18" i="1"/>
  <c r="N17" i="1"/>
  <c r="M17" i="1"/>
  <c r="M14" i="1"/>
  <c r="M13" i="1"/>
  <c r="N12" i="1"/>
  <c r="M12" i="1"/>
  <c r="M11" i="1"/>
  <c r="M10" i="1"/>
  <c r="N7" i="1"/>
  <c r="M7" i="1"/>
  <c r="N5" i="1"/>
  <c r="M5" i="1"/>
  <c r="N4" i="1"/>
  <c r="M4" i="1"/>
  <c r="N3" i="1"/>
  <c r="M3" i="1"/>
</calcChain>
</file>

<file path=xl/sharedStrings.xml><?xml version="1.0" encoding="utf-8"?>
<sst xmlns="http://schemas.openxmlformats.org/spreadsheetml/2006/main" count="45731" uniqueCount="11648">
  <si>
    <t>Project Index</t>
  </si>
  <si>
    <t>Source</t>
  </si>
  <si>
    <t>Title</t>
  </si>
  <si>
    <t>Date</t>
  </si>
  <si>
    <t>State</t>
  </si>
  <si>
    <t>Agency</t>
  </si>
  <si>
    <t>Annotator_1</t>
  </si>
  <si>
    <t>Annotator_2</t>
  </si>
  <si>
    <t>Annotator_3</t>
  </si>
  <si>
    <t>Annotator_4</t>
  </si>
  <si>
    <t>Aggregate</t>
  </si>
  <si>
    <t>Documents</t>
  </si>
  <si>
    <t>project1007</t>
  </si>
  <si>
    <t>Ted</t>
  </si>
  <si>
    <t>teckla-osage-rapid city 230 kv transmission line project</t>
  </si>
  <si>
    <t>Draft(12/27/2013);Final(12/05/2014)</t>
  </si>
  <si>
    <t>WY</t>
  </si>
  <si>
    <t>USFS</t>
  </si>
  <si>
    <t>Meta</t>
  </si>
  <si>
    <t>Draft(12/27/2013)</t>
  </si>
  <si>
    <t>SD</t>
  </si>
  <si>
    <t>vantage to pomona heights 230 kv transmission line project</t>
  </si>
  <si>
    <t>Draft Supplement(01/02/2015)</t>
  </si>
  <si>
    <t>WA</t>
  </si>
  <si>
    <t>BLM</t>
  </si>
  <si>
    <t>bemidji - grand rapid 230 kv transmission line project propose to construct and operate beltrami hubbard cass itasca counties mn</t>
  </si>
  <si>
    <t>Draft(03/05/2010);Final(09/17/2010)</t>
  </si>
  <si>
    <t>MN</t>
  </si>
  <si>
    <t>RUS USDA</t>
  </si>
  <si>
    <t>conrad-shelby 230 kv transmission line project c/o/m ponderosa and toole counties mt</t>
  </si>
  <si>
    <t>Final(07/17/1987)</t>
  </si>
  <si>
    <t>MT</t>
  </si>
  <si>
    <t>DOE</t>
  </si>
  <si>
    <t>vantage to pomona heights 230 kv transmission line project grant brenton kittitas and yakima counties wa</t>
  </si>
  <si>
    <t>Draft(01/04/2013)</t>
  </si>
  <si>
    <t>project1038</t>
  </si>
  <si>
    <t>tracks project proposing forest vegetation management and related transportation system activities superior national forest laurentian ranger district st. louis and lake counties mn</t>
  </si>
  <si>
    <t>Draft(05/21/2010);Final(03/04/2011)</t>
  </si>
  <si>
    <t>Final(03/04/2011)</t>
  </si>
  <si>
    <t>tracks project proposing forest vegetation management and related transportation system activities superior national forest laurentian rangre district st. louis and lake counties mn</t>
  </si>
  <si>
    <t>Draft(05/21/2010)</t>
  </si>
  <si>
    <t>border project proposing forest vegetation management and related transportation system activities lacroix ranger district superior national forest st. louis county mn</t>
  </si>
  <si>
    <t>Final(10/23/2009);Draft(05/22/2009)</t>
  </si>
  <si>
    <t>echo trail area forest management project forest vegetation management and related transportation system superior national forest land and resource management plan lacroix ranger district and kawishiwi ranger district st. louis and lake counties mn</t>
  </si>
  <si>
    <t>Draft(04/14/2006)</t>
  </si>
  <si>
    <t>NM</t>
  </si>
  <si>
    <t>echo trail area forest management project forest vegetation management and related transportation system superior national forest land and resource management plan implementation lacroix ranger district and kawishiwi ranger district st. louis and lake counties mn</t>
  </si>
  <si>
    <t>Final(02/02/2007)</t>
  </si>
  <si>
    <t>project1103</t>
  </si>
  <si>
    <t>vestal project commercial and non-commercial vegetation treatments and prescribed burning to reduce mountain pine beetle risk and fire hazard hell canyon ranger district black hills national forest custer county sd</t>
  </si>
  <si>
    <t>Final(04/27/2012);Draft(12/30/2011)</t>
  </si>
  <si>
    <t>bugtown gulch mountain pine beetle and fuels projects to implement multiple resource management actions black hills national forest hell canyon ranger district custer county sd</t>
  </si>
  <si>
    <t>Final(11/25/2005);Draft(09/09/2005)</t>
  </si>
  <si>
    <t>south project area proposes multiple resource management actions hell canyon ranger district black hills national forest custer county sd</t>
  </si>
  <si>
    <t>Draft(06/06/2008)</t>
  </si>
  <si>
    <t>south project area proposes multiple resource management actions selected alternative 3 hell canyon ranger district black hills national forest custer county sd</t>
  </si>
  <si>
    <t>Final(11/21/2008)</t>
  </si>
  <si>
    <t>jasper fires value recovery area project implementation revised forest plan for the black hills national forest hell canyon and mystic ranger district custer and pennington counties sd</t>
  </si>
  <si>
    <t>Draft(12/22/2000);Final(04/20/2001)</t>
  </si>
  <si>
    <t>project1113</t>
  </si>
  <si>
    <t>wa-520 i-5 to medina bridge replacement and hov project to improve mobility for people and goods across lake washington in seattle king county wa</t>
  </si>
  <si>
    <t>Draft(08/18/2006);Final(06/17/2011)</t>
  </si>
  <si>
    <t>FHWA</t>
  </si>
  <si>
    <t>Draft Supplement(01/22/2010);Final(06/17/2011)</t>
  </si>
  <si>
    <t>wa-520 bridge replacement and hov project replace wa-520's portage bay and evergreen point bridges and improve roadway between i-5 in seattle and bellevue way or 108th avenue northeast on the eastside us coast guard permit and us army coe section 10 and 404 permits king county wa</t>
  </si>
  <si>
    <t>Draft(08/18/2006)</t>
  </si>
  <si>
    <t>UNCLEAR</t>
  </si>
  <si>
    <t>wa-520 bridge replacement and hov program to build the new pontoon construction facility gray harbor and pierce counties wa</t>
  </si>
  <si>
    <t>Draft(05/28/2010);Final(12/10/2010)</t>
  </si>
  <si>
    <t>blue water bridge plaza study and improve to the i-94/1-69 corridor to provide safe efficient and secure movement of people and goods across the canadian - us border port huron area st. clair county mi</t>
  </si>
  <si>
    <t>Final(04/03/2009);Draft(09/21/2007)</t>
  </si>
  <si>
    <t>MI</t>
  </si>
  <si>
    <t>seattle new federal courthouse construction king county wa</t>
  </si>
  <si>
    <t>Final(03/27/1998);Draft(09/05/1997)</t>
  </si>
  <si>
    <t>GSA</t>
  </si>
  <si>
    <t>project1124</t>
  </si>
  <si>
    <t>west of devers upgrade proect</t>
  </si>
  <si>
    <t>Final(08/05/2016);Draft(08/07/2015)</t>
  </si>
  <si>
    <t>CA</t>
  </si>
  <si>
    <t>Final(08/05/2016)</t>
  </si>
  <si>
    <t>devers-palo verde #2 500 kv transmission line project construction and operation right-of-way grant additional alternatives ca and az.</t>
  </si>
  <si>
    <t>Draft Supplement(05/15/1987)</t>
  </si>
  <si>
    <t>nan</t>
  </si>
  <si>
    <t>devers-palo verde no. 2 500 kv ransmission line project construction and operation and right-of- way grant additional alternatives riverside county ca and yuma and maricopa counties az</t>
  </si>
  <si>
    <t>Final Supplement(12/16/1988)</t>
  </si>
  <si>
    <t>grundy flood damage reduction/highway upgrade project implementation town of grundy buchanan county va</t>
  </si>
  <si>
    <t>Draft(03/31/1995);Final(09/08/1995)</t>
  </si>
  <si>
    <t>VA</t>
  </si>
  <si>
    <t>USACE</t>
  </si>
  <si>
    <t>adoption - grundy flood damage reduction/highway upgrade project implementation town of grundy buchanan county va</t>
  </si>
  <si>
    <t>Final(07/30/1999)</t>
  </si>
  <si>
    <t>project1157</t>
  </si>
  <si>
    <t>yesler terrace redevelopment project proposed redevelopment of yesler terrace to create a mixed income mixed-use-residential community on a 28 acre site to better serve existing and future residents city of seattle wa</t>
  </si>
  <si>
    <t>Draft(10/29/2010);Final(04/22/2011)</t>
  </si>
  <si>
    <t>HUD</t>
  </si>
  <si>
    <t>westpark redevelopment master plan redevelop of 82-acre site to create a mixed-use mixed-income pedestrian oriented urban community funding and us army coe section 10 permit city of bremerton kitsap county wa</t>
  </si>
  <si>
    <t>Final(05/25/2007);Draft(03/30/2007)</t>
  </si>
  <si>
    <t>sunset area community planned action proposal to redevelopment of the sunset terrace public housing community and associated neighborhood growth and revitalization city of renton wa</t>
  </si>
  <si>
    <t>Draft(12/17/2010);Final(04/01/2011)</t>
  </si>
  <si>
    <t>king county federal detention center site selection operation and construction city of seattle or the city of seatac king county wa</t>
  </si>
  <si>
    <t>Draft(07/23/1993);Final(11/12/1993)</t>
  </si>
  <si>
    <t>BOP</t>
  </si>
  <si>
    <t>project138</t>
  </si>
  <si>
    <t>california pacific electricity company 625 and 650 electrical line upgrade project</t>
  </si>
  <si>
    <t>Draft(11/08/2013);Final(10/03/2014)</t>
  </si>
  <si>
    <t>western energy company's rosebud mine area f</t>
  </si>
  <si>
    <t>Final(11/30/2018)</t>
  </si>
  <si>
    <t>Office of Surface Mining</t>
  </si>
  <si>
    <t>barren ridge renewable transmission project construct operate maintain and upgrade 220kv electrical transmission lines and switching stations kern and los angeles counties ca</t>
  </si>
  <si>
    <t>Final(08/10/2012)</t>
  </si>
  <si>
    <t>palen solar electrical generating system</t>
  </si>
  <si>
    <t>Draft Supplement(07/26/2013)</t>
  </si>
  <si>
    <t>calico solar project proposed solar thermal electricity generation facility located public lands construction and operation right-of-way grant san bernardino county ca</t>
  </si>
  <si>
    <t>Final(08/06/2010);Draft(04/02/2010)</t>
  </si>
  <si>
    <t>project151</t>
  </si>
  <si>
    <t>cedar-thom project</t>
  </si>
  <si>
    <t>Final(11/14/2014);Draft(01/28/2011)</t>
  </si>
  <si>
    <t>Final(11/14/2014)</t>
  </si>
  <si>
    <t>cedar-thom project desired landscapes conditions and current conditions related to forest vegetation fuels wildlife and aquatic habitat and recreation lolo national forest superior ranger district mineral county mt</t>
  </si>
  <si>
    <t>Draft(01/28/2011)</t>
  </si>
  <si>
    <t>dixie land and resource management plan implementation cedar city ranger district washington county ut</t>
  </si>
  <si>
    <t>Draft(11/09/1995);Final(09/18/1998)</t>
  </si>
  <si>
    <t>UT</t>
  </si>
  <si>
    <t>spruce ecosystem recovery project implementation dixie national forest cedar city ranger district iron county ut</t>
  </si>
  <si>
    <t>Final(03/13/1998);Draft(10/10/1997)</t>
  </si>
  <si>
    <t>thom-seider vegetation management and fuels reduction project to respond to the increasing density and fuels hazard evident along the klamath river between hamburg and happy camp klamath national forest siskiyou county ca</t>
  </si>
  <si>
    <t>Final(10/23/2009);Draft(04/10/2009)</t>
  </si>
  <si>
    <t>project178</t>
  </si>
  <si>
    <t>cle elum dam fish passage facilities and fish reintroduction project to restore connectivity biodiversity and natural production of anadromous salmonids kittitas county wa</t>
  </si>
  <si>
    <t>Draft(02/05/2010);Final(04/15/2011)</t>
  </si>
  <si>
    <t>BR</t>
  </si>
  <si>
    <t>DOI BR</t>
  </si>
  <si>
    <t>trinity river mainstem fishery restoration to restore and maintain the natural production of anadromous fish trinity and humboldt counties ca</t>
  </si>
  <si>
    <t>Final(11/17/2000)</t>
  </si>
  <si>
    <t>USFWS</t>
  </si>
  <si>
    <t>easton ridge timber sale and road construction implementation wenatchee national forest cle elum ranger district kittitas county wa</t>
  </si>
  <si>
    <t>Draft(06/05/1992)</t>
  </si>
  <si>
    <t>trinity river mainstem fishery restoration to restore and maintain the natural production of anadromous fishery trinity and humboldt counties ca</t>
  </si>
  <si>
    <t>Draft(10/25/1999)</t>
  </si>
  <si>
    <t>taneum/peaches road access project new information construction of i-90 south access projects plum creek north and south fork taneum cle elum ranger district kittitas county wa</t>
  </si>
  <si>
    <t>Draft Supplement(09/13/1996)</t>
  </si>
  <si>
    <t>project222</t>
  </si>
  <si>
    <t>cross harbor freight program</t>
  </si>
  <si>
    <t>Draft(11/21/2014);Final(09/25/2015)</t>
  </si>
  <si>
    <t>NY</t>
  </si>
  <si>
    <t>Final(09/25/2015)</t>
  </si>
  <si>
    <t>cross harbor freight movement project new jersey and southern new york funding kings richmond queens new york counties nj</t>
  </si>
  <si>
    <t>Draft(05/07/2004)</t>
  </si>
  <si>
    <t>NJ</t>
  </si>
  <si>
    <t>reno railroad corridor implementation of freight railroad grade separation in the central portion of the city of reno washoe county nv</t>
  </si>
  <si>
    <t>Draft(05/19/2000)</t>
  </si>
  <si>
    <t>NV</t>
  </si>
  <si>
    <t>detroit intermodal freight terminal (dift) project proposes improvement to intermodal freight terminals in wayne and oakland counties mi</t>
  </si>
  <si>
    <t>Final(12/11/2009);Draft(05/13/2005)</t>
  </si>
  <si>
    <t>reno railroad corrior implementation of the freight railroad grade separation improvements in the central portion of the city of reno washoe county nv</t>
  </si>
  <si>
    <t>Final(12/15/2000)</t>
  </si>
  <si>
    <t>project286</t>
  </si>
  <si>
    <t>energy gateway south transmission project</t>
  </si>
  <si>
    <t>Final(05/13/2016);Draft(02/21/2014)</t>
  </si>
  <si>
    <t>Multi</t>
  </si>
  <si>
    <t>UT Multi</t>
  </si>
  <si>
    <t>USFS BLM</t>
  </si>
  <si>
    <t>energy gateway south transmission project and land-use plan amendments</t>
  </si>
  <si>
    <t>Draft(02/21/2014)</t>
  </si>
  <si>
    <t>energy gateway south powerline (egs)</t>
  </si>
  <si>
    <t>Final(01/13/2017)</t>
  </si>
  <si>
    <t>gateway west transmission line project, segments 8 and 9</t>
  </si>
  <si>
    <t>Draft Supplement(03/11/2016)</t>
  </si>
  <si>
    <t>ID</t>
  </si>
  <si>
    <t>gateway west transmission line project wyoming and idaho</t>
  </si>
  <si>
    <t>Final(04/26/2013)</t>
  </si>
  <si>
    <t>project294</t>
  </si>
  <si>
    <t>exf thinning fuel reduction and research project proposal for vegetation management and fuel reduction within the lookout mountain unit of the pringle falls experimental forest bend/ft. rock ranger district deschates national forest deschutes county or</t>
  </si>
  <si>
    <t>Draft(09/18/2009);Final(04/02/2010)</t>
  </si>
  <si>
    <t>OR</t>
  </si>
  <si>
    <t>mt. bachelor ski area improvements project implementation bend-ft. rock ranger district deschutes national forest deschutes county or</t>
  </si>
  <si>
    <t>Draft(06/01/2012)</t>
  </si>
  <si>
    <t>ogden vegetation management project and forest plan amendment proposes to conduct vegetation and fuel management activities that will protect maintain and/or enhance the forests natural resources and recreational opportunities bend/ft. rock ranger district deschutes national forest deschutes county or</t>
  </si>
  <si>
    <t>Draft(07/22/2011);Final(09/28/2012)</t>
  </si>
  <si>
    <t>withdrawal- kapka butte sno-park project proposal to build a new sno-park to provide more high-elevation parking for winter recreationist bend-ft. rock ranger district deschutes national forest deschutes county or</t>
  </si>
  <si>
    <t>Draft(04/15/2011)</t>
  </si>
  <si>
    <t>metolius basin forest management project fuel reduction and forest health management activities implementation deschutes national forest sisters ranger district jefferson county or</t>
  </si>
  <si>
    <t>Draft(12/20/2002);Final(07/25/2003)</t>
  </si>
  <si>
    <t>project336</t>
  </si>
  <si>
    <t>fox canyon cluster allotment management plans</t>
  </si>
  <si>
    <t>Final(11/15/2013);Draft(07/05/2013)</t>
  </si>
  <si>
    <t>Draft(07/05/2013);Final(11/15/2013)</t>
  </si>
  <si>
    <t>south gravelly allotment management plans</t>
  </si>
  <si>
    <t>Draft(01/13/2017)</t>
  </si>
  <si>
    <t>north and west big hole allotment management plans</t>
  </si>
  <si>
    <t>Draft(03/28/2014)</t>
  </si>
  <si>
    <t>multiple reservoir land management plans</t>
  </si>
  <si>
    <t>Draft(12/02/2016)</t>
  </si>
  <si>
    <t>TVA</t>
  </si>
  <si>
    <t>north billings county range allotment management plan revision</t>
  </si>
  <si>
    <t>Final(03/14/2014)</t>
  </si>
  <si>
    <t>ND</t>
  </si>
  <si>
    <t>project411</t>
  </si>
  <si>
    <t>gulf of mexico ocs oil and gas lease sales: 2015 and 2016; western planning area lease sales 246 and 248</t>
  </si>
  <si>
    <t>Final(03/06/2015);Draft(09/05/2014)</t>
  </si>
  <si>
    <t>LA</t>
  </si>
  <si>
    <t>BOEM</t>
  </si>
  <si>
    <t>Second Draft Supplemental(09/05/2014)</t>
  </si>
  <si>
    <t>gulf of mexico ocs oil and gas lease sales: 2014-2016 western planning area lease sales 238 246 and 248</t>
  </si>
  <si>
    <t>Draft Supplement(10/25/2013)</t>
  </si>
  <si>
    <t>TX</t>
  </si>
  <si>
    <t>gulf of mexico ocs oil and gas lease sales: 2014-2016 western planning area lease sale 238 246 and 248</t>
  </si>
  <si>
    <t>Final Supplement(03/21/2014)</t>
  </si>
  <si>
    <t>gulf of mexico ocs oil and gas lease sales: 2014 and 2016 eastern planning area lease sales 225 and 226</t>
  </si>
  <si>
    <t>Draft(03/01/2013)</t>
  </si>
  <si>
    <t>gulf of mexico outer continental shelf (ocs) oil and gas lease sales: 2015-2017 central planning area lease sales 235 241 and 247</t>
  </si>
  <si>
    <t>Draft Supplement(03/21/2014)</t>
  </si>
  <si>
    <t>project445</t>
  </si>
  <si>
    <t>hi-grouse project proposes to treat ponderosa pine and mixed conifer stands to improve long-term forest health and reduce fuels within the goosenest adaptive management area goosenest ranger district klamath national forest siskiyou co ca</t>
  </si>
  <si>
    <t>Draft(05/28/2010);Final(01/07/2011)</t>
  </si>
  <si>
    <t>round valley fuels reduction and vegetation management project proposes to reduce fuel and manage vegetation funding goosenest ranger district klamath national forest siskiyou county ca</t>
  </si>
  <si>
    <t>Draft(09/12/2008);Final(05/01/2009)</t>
  </si>
  <si>
    <t>big pony project proposes to reduce fire hazard to permanent research plots and to areas within and adjacent to wildland urban interface near tennant goosenest ranger district klamath national forest siskiyou county ca</t>
  </si>
  <si>
    <t>Draft(09/10/2010);Final(05/27/2011)</t>
  </si>
  <si>
    <t>horse heli project harvest merchantable timber thin stands treat fuels and conduct associated activities klamath national forest oak knoll ranger district siskiyou county ca</t>
  </si>
  <si>
    <t>Draft(12/30/2005);Final(12/21/2007)</t>
  </si>
  <si>
    <t>klamath national forest land and resource management plan implementation siskiyou co. ca and jackson co. or</t>
  </si>
  <si>
    <t>Draft(10/08/1993);Final(07/14/1995)</t>
  </si>
  <si>
    <t>project454</t>
  </si>
  <si>
    <t>hycroft mine expansion project proposes to expand mining activities on blm managed public land and private land approval humboldt and pershing counties nv</t>
  </si>
  <si>
    <t>Draft(01/27/2012);Final(07/06/2012)</t>
  </si>
  <si>
    <t>millennium expansion project new facilities construction and existing gold mining operations expansion plan-of-operations approval winnemucca humboldt county nv</t>
  </si>
  <si>
    <t>Final Supplement(12/05/2003)</t>
  </si>
  <si>
    <t>marigold mine expansion project implementation coe section 404 permit special-use-permit humboldt county nv</t>
  </si>
  <si>
    <t>Draft(02/11/2000);Final(03/09/2001)</t>
  </si>
  <si>
    <t>winnemucca district office resource management plan humboldt pershing washoe lyon and churchill counties nv</t>
  </si>
  <si>
    <t>Draft(06/25/2010)</t>
  </si>
  <si>
    <t>lone tree gold mine expansion project plan of operations approval and permit issuance winnemucca district humboldt county nv</t>
  </si>
  <si>
    <t>Final(09/13/1996);Draft(12/15/1995)</t>
  </si>
  <si>
    <t>project511</t>
  </si>
  <si>
    <t>johnny o'neil late successional reserve habitat restoration and fuel reduction project proposal to retain and promote the development of late successional habitat and reduce the risk of large high severity wildfire happy camp and oak knoll ranger district klamath national forest siskiyou county. ca</t>
  </si>
  <si>
    <t>Final(08/03/2012);Draft(09/16/2011)</t>
  </si>
  <si>
    <t>mt. ashland late-successional reserve habitat restoration and fuels reduction project to promote and maintain late-successional habitat oak knoll ranger district klamath national forest siskiyou county ca and jackson county or</t>
  </si>
  <si>
    <t>Final(04/11/2008);Draft(06/15/2007)</t>
  </si>
  <si>
    <t>two bit vegetation management project happy camp ranger district klamath national forest siskiyou county ca</t>
  </si>
  <si>
    <t>Final(11/02/2012)</t>
  </si>
  <si>
    <t>baldy fire recovery project implementation klamath national forest happy camp ranger district siskiyou county ca</t>
  </si>
  <si>
    <t>Draft(02/02/1990);Final(08/10/1990)</t>
  </si>
  <si>
    <t>pettijohn late-successional reserve habitat improvement and fuels reduction project trinity river management unit of the shasta-trinity national forest and trinity unit of the shasta-trinity national recreation area trinity county ca</t>
  </si>
  <si>
    <t>Final(06/15/2012)</t>
  </si>
  <si>
    <t>project519</t>
  </si>
  <si>
    <t>kake to petersburg transmission line intertie project</t>
  </si>
  <si>
    <t>Final(07/07/2016);Draft(12/29/2014)</t>
  </si>
  <si>
    <t>AK</t>
  </si>
  <si>
    <t>Draft(12/29/2014)</t>
  </si>
  <si>
    <t>petersburg national battlefield general management plan implementation petersburg va</t>
  </si>
  <si>
    <t>Draft(05/28/2004);Final(03/11/2005)</t>
  </si>
  <si>
    <t>NPS</t>
  </si>
  <si>
    <t>southern intertie project construction and operation of a new 138kv transmission line between the kenai peninsula and anchorage right-of-way permit special-use permit and us army coe section 10 and 404 permits issuance kenai peninsula to anchorage ak</t>
  </si>
  <si>
    <t>Final(07/12/2002);Draft(10/05/2001)</t>
  </si>
  <si>
    <t>RUS</t>
  </si>
  <si>
    <t>northern intertie project construction of 230 kv transmission line from healy to fairbanks ak application for right-of-way grant gold valley electric association ak</t>
  </si>
  <si>
    <t>Final(06/19/1998);Draft(01/16/1998)</t>
  </si>
  <si>
    <t>petersburg local flood protection plan implementation grant county wv</t>
  </si>
  <si>
    <t>Draft(11/24/1989);Final(04/20/1990)</t>
  </si>
  <si>
    <t>WV</t>
  </si>
  <si>
    <t>project542</t>
  </si>
  <si>
    <t>lake superior national estuarine research reserves to be known as the lake superior reserve proposed designation to provide greater protection research and education opportunities to 16 697 acres of the st. louis river estuary wi</t>
  </si>
  <si>
    <t>Draft(05/28/2010);Final(09/03/2010)</t>
  </si>
  <si>
    <t>WI</t>
  </si>
  <si>
    <t>NOAA</t>
  </si>
  <si>
    <t>programmatic - texas national estuarine research reserve and management plan mission-aransas estuary site designation federal approval tx</t>
  </si>
  <si>
    <t>Final(03/17/2006);Draft(10/07/2005)</t>
  </si>
  <si>
    <t>heeia national estuarine research reserve</t>
  </si>
  <si>
    <t>Draft(09/02/2016)</t>
  </si>
  <si>
    <t>HI</t>
  </si>
  <si>
    <t>tijuana estuary tidal restoration project implementation tijuana river national estuarine research reserve section 10 and 404 permits and special use permit san diego county ca</t>
  </si>
  <si>
    <t>Draft(01/03/1992);Final(02/05/1993)</t>
  </si>
  <si>
    <t>delaware national estuarine research reserve management plan st. jones river and blackbird creek designation sites implementation and funding kent and new castle counties de</t>
  </si>
  <si>
    <t>Draft(08/23/1991);Final(02/05/1993)</t>
  </si>
  <si>
    <t>DE</t>
  </si>
  <si>
    <t>project600</t>
  </si>
  <si>
    <t>marine corps base camp pendleton basewide utilities infrastructure construct and operate six utility infrastructure project san diego county ca</t>
  </si>
  <si>
    <t>Final(08/06/2010);Draft(09/25/2009)</t>
  </si>
  <si>
    <t>USMC</t>
  </si>
  <si>
    <t>USN</t>
  </si>
  <si>
    <t>marine corps base camp pendleton project basewide water infrastructure construction and operation san diego county ca</t>
  </si>
  <si>
    <t>Final(08/24/2012)</t>
  </si>
  <si>
    <t>marine corps base camp pendleton project basewide water infrastructure and stuart mesa bridge replacement implementation san diego county ca</t>
  </si>
  <si>
    <t>Draft(12/02/2011)</t>
  </si>
  <si>
    <t>tertiary treatment plant and associated facilities construction and operation implementation marine corps base camp pendleton san diego county ca</t>
  </si>
  <si>
    <t>Draft(10/10/2003);Final(04/23/2004)</t>
  </si>
  <si>
    <t>sewage effluent compliance project implementation lower santa margarita basin marine corps base camp pendleton san diego county ca</t>
  </si>
  <si>
    <t>Draft(12/20/1996);Final(06/27/1997)</t>
  </si>
  <si>
    <t>project610</t>
  </si>
  <si>
    <t>melvin r. sampson hatchery, yakima basin coho project</t>
  </si>
  <si>
    <t>Draft(03/17/2017);Final(11/24/2017)</t>
  </si>
  <si>
    <t>BPA</t>
  </si>
  <si>
    <t>Final(11/24/2017)</t>
  </si>
  <si>
    <t>melvin r. sampson hatchery yakima basin coho project</t>
  </si>
  <si>
    <t>Draft(03/17/2017)</t>
  </si>
  <si>
    <t>walla walla basin spring chinook hatchery program</t>
  </si>
  <si>
    <t>Draft(10/03/2014)</t>
  </si>
  <si>
    <t>crystal springs hatchery program</t>
  </si>
  <si>
    <t>Draft(05/12/2017)</t>
  </si>
  <si>
    <t>klickitat hatchery complex program proposed changes to production programs for four anadromous fish species klickitat river subbasin klickitat and yakima counties wa</t>
  </si>
  <si>
    <t>Draft(07/29/2011)</t>
  </si>
  <si>
    <t>project618</t>
  </si>
  <si>
    <t>middle kyle canyon complex project construction and operation of a recreation complex within the spring mountains national recreation area humboldt-toiyabe national forest clark county nv</t>
  </si>
  <si>
    <t>Final(01/15/2010);Draft(10/02/2009)</t>
  </si>
  <si>
    <t>spring mountains national recreation area general management plan toiyabe national forest land and resource management plan amendment implementation clark and nye counties nv</t>
  </si>
  <si>
    <t>Final(10/18/1996);Draft(05/10/1996)</t>
  </si>
  <si>
    <t>jarbidge canyon project road management plan implementation construction of water projects along the charleston-jarbidge road and south sanyon road humboldt-toiyabe national forest jarbidge ranger district elko county nv</t>
  </si>
  <si>
    <t>Draft(05/09/2003)</t>
  </si>
  <si>
    <t>mountain city ruby mountains and jarbidge ranger districts combined travel management project implementation humboldt-toiyabe national forest elko and white pine counties nv</t>
  </si>
  <si>
    <t>Final(08/19/2011);Draft(05/07/2010)</t>
  </si>
  <si>
    <t>griffon mining project implementation issuance plan of operations approval humboldt-toiyabe national forest white pine county nv</t>
  </si>
  <si>
    <t>Final(05/02/1997)</t>
  </si>
  <si>
    <t>project634</t>
  </si>
  <si>
    <t>monocacy national battlefield general management plan implementation frederick county md</t>
  </si>
  <si>
    <t>Draft(05/01/2009);Final(08/27/2010)</t>
  </si>
  <si>
    <t>MD</t>
  </si>
  <si>
    <t>NPS DOI</t>
  </si>
  <si>
    <t>antietam national battlefield general management plan implementation washington county md</t>
  </si>
  <si>
    <t>Final(06/19/1992);Draft(04/26/1991)</t>
  </si>
  <si>
    <t>antietam national battlefield monocacy national battlefield manassas national battlefield park final white-tailed deer management plan</t>
  </si>
  <si>
    <t>Final(08/01/2014)</t>
  </si>
  <si>
    <t>antietam national battlefield monocacy national battlefield and manassas national battlefield park draft white-tailed deer management plan</t>
  </si>
  <si>
    <t>Draft(07/26/2013)</t>
  </si>
  <si>
    <t>project646</t>
  </si>
  <si>
    <t>morganza to the gulf of mexico hurrricane and storm damage risk reduction system project improvements and changes terrebonne parish and lafourche parish la</t>
  </si>
  <si>
    <t>Final(05/24/2013);Draft(01/04/2013)</t>
  </si>
  <si>
    <t>Revised Draft(01/04/2013)</t>
  </si>
  <si>
    <t>morganza to the gulf of mexico hurricane and storm damage risk reduction system project</t>
  </si>
  <si>
    <t>Revised Final(05/24/2013)</t>
  </si>
  <si>
    <t>west shore lake pontchartrain hurricane and storm damage risk reduction</t>
  </si>
  <si>
    <t>Final(01/02/2015)</t>
  </si>
  <si>
    <t>port fourchon navigation channel project channel deepening implementation lafourche parish la</t>
  </si>
  <si>
    <t>Final(10/21/1994);Draft(07/08/1994)</t>
  </si>
  <si>
    <t>programmatic - mississippi river and tributaries morganza louisiana to the gulf of mexico hurricane protection plan flood damage reduction from tropical storms and hurricane induced tidal flooding along louisiana to the gulf of mexico</t>
  </si>
  <si>
    <t>Final(05/03/2002)</t>
  </si>
  <si>
    <t>project647</t>
  </si>
  <si>
    <t>mount hope project molybdenum mining and processing operation eureka county nv</t>
  </si>
  <si>
    <t>Draft(12/02/2011);Final(10/12/2012)</t>
  </si>
  <si>
    <t>Final(10/12/2012)</t>
  </si>
  <si>
    <t>mount hope project molybdenum mining and processing operation in eureka county nv</t>
  </si>
  <si>
    <t>robinson mining project construction operation and expansion plan of operation approval white pine elko and eureka counties nv</t>
  </si>
  <si>
    <t>Draft(04/29/1994);Final(09/09/1994)</t>
  </si>
  <si>
    <t>mount hope pumped storage hydroelectric project construction operation and maintenance license section 404 permit morris county nj</t>
  </si>
  <si>
    <t>Final(03/06/1992);Draft(11/24/1989)</t>
  </si>
  <si>
    <t>FERC</t>
  </si>
  <si>
    <t>newmont gold mining south operations area project amendment operation and expansion plan of operations elko and eureka counties nv</t>
  </si>
  <si>
    <t>Final(04/26/2002)</t>
  </si>
  <si>
    <t>project688</t>
  </si>
  <si>
    <t>newberg dundee bypass project proposal to build a four lane expressway and reduce congestion on or 99 w from or 99w/or/8 to the top of rex hill usace 404/removal fill permits funding yamhill and washington counties or</t>
  </si>
  <si>
    <t>Draft(06/04/2010);Final(04/27/2012)</t>
  </si>
  <si>
    <t>newberg-dundee transportation improvement project (tea 121 project #37) proposal to relieve congestion on or-99w through the cities of newberg and dundee bypass element location (tier 1) funding yamhill county or</t>
  </si>
  <si>
    <t>Draft(10/18/2002)</t>
  </si>
  <si>
    <t>newberg-dundee transportation improvement project (tea 21 prog. #37) proposal to relieve congestion on or-9w through the cities of newberg and dundee bypass element location (tier 1) yamhill county or</t>
  </si>
  <si>
    <t>Final(06/17/2005)</t>
  </si>
  <si>
    <t>salem river crossing project proposes to build a modified or new crossing of the williamette river in salem funding usace section 10 and 404 permits marion and polk counties or</t>
  </si>
  <si>
    <t>Draft(04/20/2012)</t>
  </si>
  <si>
    <t>tualatin-sherwood/edy road improvements i-5 to or-99w funding and 404 permit washington county or</t>
  </si>
  <si>
    <t>Draft(05/27/1988)</t>
  </si>
  <si>
    <t>project826</t>
  </si>
  <si>
    <t>final programmatic environmental impact statement (peis) for solar energy development in six southwestern states</t>
  </si>
  <si>
    <t>Draft(12/17/2010);Final(07/27/2012)</t>
  </si>
  <si>
    <t>final programmatic environmental impact statement for revision of the coronado national forest land and resource management plan</t>
  </si>
  <si>
    <t>Final(06/22/2018)</t>
  </si>
  <si>
    <t>nationwide public safety broadband network final programmatic environmental impact statement for the southern united states</t>
  </si>
  <si>
    <t>Final(09/29/2017)</t>
  </si>
  <si>
    <t>Department of Commerce</t>
  </si>
  <si>
    <t>final environmental impact statement for glade rangeland management</t>
  </si>
  <si>
    <t>Final(05/11/2018)</t>
  </si>
  <si>
    <t>CO</t>
  </si>
  <si>
    <t>programmatic - solar energy development in six southwestern states to identifying and prioritizing specific location best suited for utility-scale solar energy development on public land az ca nv co ut and nm</t>
  </si>
  <si>
    <t>Draft(10/28/2011)</t>
  </si>
  <si>
    <t>final environmental impact statement/environmental impact report for the south sacramento habitat conservation plan</t>
  </si>
  <si>
    <t>Final(05/21/2018)</t>
  </si>
  <si>
    <t>project834</t>
  </si>
  <si>
    <t>proposed resource management plan amendment for oil and gas development in the white river field office</t>
  </si>
  <si>
    <t>Final(03/27/2015);Draft(09/14/2012)</t>
  </si>
  <si>
    <t>Final(03/27/2015)</t>
  </si>
  <si>
    <t>white river field office oil and gas development resource management plan amendment rio blanco garfield moffat counties co</t>
  </si>
  <si>
    <t>Draft(09/14/2012)</t>
  </si>
  <si>
    <t>miles city field office proposed resource management plan</t>
  </si>
  <si>
    <t>Final(05/29/2015)</t>
  </si>
  <si>
    <t>south dakota field office proposed resource management plan</t>
  </si>
  <si>
    <t>grand junction field office proposed resource management plan</t>
  </si>
  <si>
    <t>Final(04/10/2015)</t>
  </si>
  <si>
    <t>project862</t>
  </si>
  <si>
    <t>restoration of the mariposa grove of giant sequoias</t>
  </si>
  <si>
    <t>Final(11/01/2013);Draft(03/08/2013)</t>
  </si>
  <si>
    <t xml:space="preserve">
6036,project862,Meta,sequoia national forest plan amendment giant sequoia national monument comprehensive management plan implementation ca,Draft(08/06/2010),CA,USFS,TRUE,=HYPERLINK(""https://arizona.app.box.com/file/389151193705"")"</t>
  </si>
  <si>
    <t>sequoia national forest plan amendment giant sequoia national monument comprehensive management plan implementation ca</t>
  </si>
  <si>
    <t>Draft(08/06/2010)</t>
  </si>
  <si>
    <t>giant sequoia national monument sequoia national forest plan amendment tulare kerns fresno counties ca</t>
  </si>
  <si>
    <t>Final(09/07/2012)</t>
  </si>
  <si>
    <t>giant sequoia national monument management plan implementation to establish management direction for the land and resources sequoia national forest fresno kern and tulare counties ca</t>
  </si>
  <si>
    <t>Final(01/16/2004);Draft(12/13/2002)</t>
  </si>
  <si>
    <t>yosemite national park general management plan yosemite housing project implementation yosemite national park mariposa county ca</t>
  </si>
  <si>
    <t>Third Draft Supplemental(07/31/1992)</t>
  </si>
  <si>
    <t>project918</t>
  </si>
  <si>
    <t>sh 249 extension</t>
  </si>
  <si>
    <t>Final(01/29/2016);Draft(01/23/2015)</t>
  </si>
  <si>
    <t>grand parkway (state highway 99) updated information segment f-2 from sh 249 to ih 45 right-of-way permit and us army coe section 404 permit harris county tx</t>
  </si>
  <si>
    <t>Revised Draft(06/09/2006)</t>
  </si>
  <si>
    <t>grand parkway (state highway 99) selected the preferred alternative alignment segment f-2 from sh 249 to ih 45 right-of-way permit and us army coe section 404 permit harris county tx</t>
  </si>
  <si>
    <t>Final(08/08/2008)</t>
  </si>
  <si>
    <t>sh 68 from i-2/us 83 to i-69c/us 281</t>
  </si>
  <si>
    <t>Draft(03/30/2018)</t>
  </si>
  <si>
    <t>trinity parkway from ih-35e/sh-183 to us-17/sh-310</t>
  </si>
  <si>
    <t>Final(03/21/2014)</t>
  </si>
  <si>
    <t>project964</t>
  </si>
  <si>
    <t>southern flow corridor project</t>
  </si>
  <si>
    <t>Final(10/30/2015);Draft(05/29/2015)</t>
  </si>
  <si>
    <t>FEMA</t>
  </si>
  <si>
    <t>Draft(05/29/2015)</t>
  </si>
  <si>
    <t>adoption - southern flow corridor project</t>
  </si>
  <si>
    <t>Adoption(12/18/2015)</t>
  </si>
  <si>
    <t>west lake corridor project</t>
  </si>
  <si>
    <t>Draft(12/16/2016)</t>
  </si>
  <si>
    <t>FTA</t>
  </si>
  <si>
    <t>central and southern florida project tamiami trail modifications modified water deliveries to everglades national park authorized flow of water from wca-38 and the l-29 canal north of the tamiami trail dade county fl</t>
  </si>
  <si>
    <t>Third Final Supplemental(12/09/2005)</t>
  </si>
  <si>
    <t>FL</t>
  </si>
  <si>
    <t>central and southern florida project tamiami trail modifications modified water deliveries to everglades national park authorized flow of water from wca-3b and the l-29 canal north of the tamiami trail dade county fl</t>
  </si>
  <si>
    <t>Third Draft Supplemental(08/26/2005)</t>
  </si>
  <si>
    <t>project968</t>
  </si>
  <si>
    <t>southwest light rail transit</t>
  </si>
  <si>
    <t>Final(05/13/2016);Draft(10/12/2012)</t>
  </si>
  <si>
    <t>southwest transitway construction and operation light rail transit hennepin county mn</t>
  </si>
  <si>
    <t>Draft(10/12/2012)</t>
  </si>
  <si>
    <t>southwest corridor light rail project draft environmental impact statement</t>
  </si>
  <si>
    <t>Draft(06/15/2018)</t>
  </si>
  <si>
    <t>red line project implementation of a new east-west light rail transit alignment baltimore county md</t>
  </si>
  <si>
    <t>Final(12/14/2012)</t>
  </si>
  <si>
    <t>mid-jordan transit corridor project proposed light rail transit service funding salt lake county ut</t>
  </si>
  <si>
    <t>Draft(08/05/2005);Final(07/27/2007)</t>
  </si>
  <si>
    <t>link light rail operations and maintenance facility</t>
  </si>
  <si>
    <t>Final(10/02/2015)</t>
  </si>
  <si>
    <t>project976</t>
  </si>
  <si>
    <t>st. lucie county south beach and dune restoration project to restore recreational beach restore beach and habitat and reduce storm damage due to beach erosion st. lucie county fl</t>
  </si>
  <si>
    <t>Draft(06/03/2011);Final(03/02/2012)</t>
  </si>
  <si>
    <t>Final(03/02/2012)</t>
  </si>
  <si>
    <t>st lucie county south beach and dune restoration project to restore recreational beach restore beach and habitat and reduce storm damage due to beach erosion st. lucie county fl</t>
  </si>
  <si>
    <t>Draft(06/03/2011)</t>
  </si>
  <si>
    <t>brevard county beach erosion control project updated information implementation brevard county fl</t>
  </si>
  <si>
    <t>Draft Supplement(09/29/1989)</t>
  </si>
  <si>
    <t>delaware coast from cape henlopen to fenwick island feasibility study and bethany beach and south bethany interim feasibility study storm damage reduction and construct a protective berm and dune sussex county de</t>
  </si>
  <si>
    <t>Final(09/18/1998);Draft(08/29/1997)</t>
  </si>
  <si>
    <t>coast of florida erosion and storm effects study region iii construction operation and maintenance shore protection project palm beach broward and dade counties fl published fr - 11-15- 96 - due date correction.</t>
  </si>
  <si>
    <t>Final(11/15/1996);Draft(08/23/1996)</t>
  </si>
  <si>
    <t>project100</t>
  </si>
  <si>
    <t>biomass power plant project application for financial assistance to construction 100 megawatt (mw) biomass plant and related facilities warren county ga</t>
  </si>
  <si>
    <t>Final(12/09/2011);Draft(04/15/2011)</t>
  </si>
  <si>
    <t>GA</t>
  </si>
  <si>
    <t>https://arizona.app.box.com/file/386264061036</t>
  </si>
  <si>
    <t>https://arizona.app.box.com/file/386264746042</t>
  </si>
  <si>
    <t>adoption - kemper county integrated gasification combined cycle project to provide financial assistance kemper county ms</t>
  </si>
  <si>
    <t>Final(06/29/2012)</t>
  </si>
  <si>
    <t>MS</t>
  </si>
  <si>
    <t>https://arizona.app.box.com/file/386264334694</t>
  </si>
  <si>
    <t>sutter power plant project operation and maintenance of a high-voltage electric transmission 500 megawatt (mw) gas fueled sutter county ca</t>
  </si>
  <si>
    <t>Final(04/23/1999);Draft(10/30/1998)</t>
  </si>
  <si>
    <t>rocky creek hydroelectric project (ferc no. 10311-002) construction and operation 8.3 megawatt (mw) project application for license rocky creek skagit county wa</t>
  </si>
  <si>
    <t>Second Draft Supplemental(05/03/2002)</t>
  </si>
  <si>
    <t>https://arizona.app.box.com/file/386245438967</t>
  </si>
  <si>
    <t>rocky creek hydroelectric project (ferc no. 10311-002) construction and operation of a 8.3-megawatt (mw) project application for license rocky creek skagit county wa</t>
  </si>
  <si>
    <t>Second Final Supplemental(10/18/2002)</t>
  </si>
  <si>
    <t>https://arizona.app.box.com/file/386240862710</t>
  </si>
  <si>
    <t>project1000</t>
  </si>
  <si>
    <t>swan falls hydroelectric project application for a new license for the 25-megawatt hydroelectric facility (ferc project no. 503-048) snake river ada and owyhee counties id</t>
  </si>
  <si>
    <t>Draft(03/12/2010);Final(09/03/2010)</t>
  </si>
  <si>
    <t>https://arizona.app.box.com/file/386244148297</t>
  </si>
  <si>
    <t>https://arizona.app.box.com/file/386239900887</t>
  </si>
  <si>
    <t>c.j. strike hydroelectric project (no. 2055) application for a new license located on the snake river and bruneau river owyhee and elmore counties id</t>
  </si>
  <si>
    <t>Draft(05/24/2002)</t>
  </si>
  <si>
    <t>https://arizona.app.box.com/file/386212851258</t>
  </si>
  <si>
    <t>c.j. strike hydroelectric project (ferc no. 2055) new license issuance snake and bruneau rivers owyhee and elmore counties id</t>
  </si>
  <si>
    <t>Final(11/08/2002)</t>
  </si>
  <si>
    <t>https://arizona.app.box.com/file/386243511910</t>
  </si>
  <si>
    <t>shelley (ferc. no. 5090) hydroelectric project on the snake river construction license city of idaho falls bingham county id</t>
  </si>
  <si>
    <t>Draft(03/06/1992);Final(02/11/1994)</t>
  </si>
  <si>
    <t>owyhee resource management plan implementation lower snake river district owyhee county id</t>
  </si>
  <si>
    <t>Draft(08/16/1996);Final(07/02/1999)</t>
  </si>
  <si>
    <t>https://arizona.app.box.com/file/386242130207</t>
  </si>
  <si>
    <t>https://arizona.app.box.com/file/386242077525</t>
  </si>
  <si>
    <t>project1002</t>
  </si>
  <si>
    <t>tahoe national forest motorized travel management project proposed changes to the national forest transportation system implementation nevada placer plumas sierra and yuba counties ca</t>
  </si>
  <si>
    <t>Final(10/15/2010);Draft(10/03/2008)</t>
  </si>
  <si>
    <t>Final(10/15/2010)</t>
  </si>
  <si>
    <t>https://arizona.app.box.com/file/389162419964</t>
  </si>
  <si>
    <t>tahoe national forest motorized travel management implementation sierra nevada mountains nevada placer plumas sierra and yuba counties ca</t>
  </si>
  <si>
    <t>Draft(10/03/2008)</t>
  </si>
  <si>
    <t>https://arizona.app.box.com/file/389162021512</t>
  </si>
  <si>
    <t>tahoe national forest motorized travel management implementation corrections to the national forest transportation system data sierra nevada mountains nevada placer plumas sierra and yuba counties ca</t>
  </si>
  <si>
    <t>Draft Supplement(02/26/2010)</t>
  </si>
  <si>
    <t>https://arizona.app.box.com/file/389158408310</t>
  </si>
  <si>
    <t>tahoe national forest land and resource management plan implementation nevada placer plumas sierra and yuba counties ca</t>
  </si>
  <si>
    <t>Final(07/20/1990)</t>
  </si>
  <si>
    <t>plumas national forest public motorized travel management implementation plumas national forest plumas lassen yuba butte and sierra counties ca</t>
  </si>
  <si>
    <t>Final(11/05/2010)</t>
  </si>
  <si>
    <t>https://arizona.app.box.com/file/389137369612</t>
  </si>
  <si>
    <t>project1003</t>
  </si>
  <si>
    <t>taos regional airport layout plan improvements construction and operation of various improvements town of taos taos county nm</t>
  </si>
  <si>
    <t>Final(06/29/2012);Draft(10/13/2006)</t>
  </si>
  <si>
    <t>FAA</t>
  </si>
  <si>
    <t>taos regional airport (skx) airport layout plan improvements construction and operation town of taos taos county nm</t>
  </si>
  <si>
    <t>Draft(10/13/2006)</t>
  </si>
  <si>
    <t>https://arizona.app.box.com/file/386238219458</t>
  </si>
  <si>
    <t>taos resource area resource mgmt. plan nm.</t>
  </si>
  <si>
    <t>Draft(03/27/1987)</t>
  </si>
  <si>
    <t>lambert-st. louis international airport (lambert) improvements construction and operation airport layout plan approval city of st. louis st. louis county mo</t>
  </si>
  <si>
    <t>Final(01/02/1998);Draft(10/04/1996)</t>
  </si>
  <si>
    <t>MO</t>
  </si>
  <si>
    <t>molycorp guadalupe mountain tailings disposal facility construction operation and closure plan of operation approval taos county nm</t>
  </si>
  <si>
    <t>Draft(12/09/1988);Final(11/17/1989)</t>
  </si>
  <si>
    <t>project1005</t>
  </si>
  <si>
    <t>taos ski valley's 2010 master development plan - phase 1 projects questa ranger district carson national forest taos county nm</t>
  </si>
  <si>
    <t>Final(09/07/2012);Draft(01/13/2012)</t>
  </si>
  <si>
    <t>taos ski valley 2010 master development plan phase 1 project implementation carson national forest taos county nm</t>
  </si>
  <si>
    <t>Draft(01/13/2012)</t>
  </si>
  <si>
    <t>https://arizona.app.box.com/file/389161677912</t>
  </si>
  <si>
    <t>sipapu ski area expansion master development plan approval and special use permit carson national forest camino real ranger district taos county nm</t>
  </si>
  <si>
    <t>Final(03/31/1995);Draft(04/30/1993)</t>
  </si>
  <si>
    <t>agua/caballos timber sale harvesting timber and managing existing vegetation implementation carson national forest el rito ranger district taos county nm</t>
  </si>
  <si>
    <t>Final Supplement(06/04/2004);Draft(04/21/1995);Second Draft Supplemental(07/18/2003);Second Draft(02/19/1999)</t>
  </si>
  <si>
    <t>https://arizona.app.box.com/file/389137264324</t>
  </si>
  <si>
    <t>project1006</t>
  </si>
  <si>
    <t>tappan zee hudson river crossing project to provide an improved hudson river crossing between rockland and westchester counties funding usace section 10 and 404 permits rockland and westchester counties ny</t>
  </si>
  <si>
    <t>Draft(01/27/2012);Final(08/03/2012)</t>
  </si>
  <si>
    <t>Final(08/03/2012)</t>
  </si>
  <si>
    <t>https://arizona.app.box.com/file/386240580925</t>
  </si>
  <si>
    <t>tappan zee hudson river crossing project to provide an improved hudson river crossing between rockland and westchester counties funding usacoe section 10 and 404 permits rockland and westchester counties ny</t>
  </si>
  <si>
    <t>Draft(01/27/2012)</t>
  </si>
  <si>
    <t>https://arizona.app.box.com/file/386241384502</t>
  </si>
  <si>
    <t>i-287 cross westchester expressway (cwe) transportation improvements new york state thruway route 303 to route 120 funding right-of- way acquisition coe section 10 and 404 permits rockland and westchester counties ny</t>
  </si>
  <si>
    <t>Final(07/11/1997);Draft(06/23/1995)</t>
  </si>
  <si>
    <t>https://arizona.app.box.com/file/386216943536</t>
  </si>
  <si>
    <t>passaic river basin flood control plan implementation passaic bergen morris essex and hudson counties nj and rockland and orange counties ny</t>
  </si>
  <si>
    <t>Draft(04/17/1987);Final(12/16/1988)</t>
  </si>
  <si>
    <t>project1010</t>
  </si>
  <si>
    <t>telegraph vegetation project</t>
  </si>
  <si>
    <t>Draft(08/24/2015);Final(07/12/2016)</t>
  </si>
  <si>
    <t>Draft(07/10/2015)</t>
  </si>
  <si>
    <t>https://arizona.app.box.com/file/389163307562</t>
  </si>
  <si>
    <t>https://arizona.app.box.com/file/386237411113</t>
  </si>
  <si>
    <t>telegraph project area proposes to implement multiple resource management actions northern hills ranger district black hills national forest lawrence and pennington counties sd</t>
  </si>
  <si>
    <t>Draft(02/20/2009);Final(07/10/2009)</t>
  </si>
  <si>
    <t>https://arizona.app.box.com/file/389164099737</t>
  </si>
  <si>
    <t>https://arizona.app.box.com/file/389161641018</t>
  </si>
  <si>
    <t>harris vegetation management project</t>
  </si>
  <si>
    <t>Final(11/08/2013);Revised Draft(03/07/2014)</t>
  </si>
  <si>
    <t>https://arizona.app.box.com/file/389267170499</t>
  </si>
  <si>
    <t>https://arizona.app.box.com/file/389265433672</t>
  </si>
  <si>
    <t>https://arizona.app.box.com/file/389152970720</t>
  </si>
  <si>
    <t>west bend vegetation management project</t>
  </si>
  <si>
    <t>Final(08/09/2013)</t>
  </si>
  <si>
    <t>https://arizona.app.box.com/file/389266797751</t>
  </si>
  <si>
    <t>harris vegetation management</t>
  </si>
  <si>
    <t>Revised Final(07/18/2014)</t>
  </si>
  <si>
    <t>https://arizona.app.box.com/file/389263138828</t>
  </si>
  <si>
    <t>project1012</t>
  </si>
  <si>
    <t>tennessee valley authority (tva) integrated resource plan (irp) to address the demand for power in the tva service area ky</t>
  </si>
  <si>
    <t>Draft(09/24/2010);Final(03/11/2011)</t>
  </si>
  <si>
    <t>KY</t>
  </si>
  <si>
    <t>https://arizona.app.box.com/file/386242454474</t>
  </si>
  <si>
    <t>https://arizona.app.box.com/file/386216711370</t>
  </si>
  <si>
    <t>programmatic - tennessee valley authority reservoir operations study implementation tn al ky ga ms nc and va</t>
  </si>
  <si>
    <t>Final(02/27/2004);Draft(07/03/2003)</t>
  </si>
  <si>
    <t>TN Multi</t>
  </si>
  <si>
    <t>https://arizona.app.box.com/file/386264929184</t>
  </si>
  <si>
    <t>https://arizona.app.box.com/file/386219138782</t>
  </si>
  <si>
    <t>land between the lakes national recreation area proposes to revise tva's 1994 natural resources management plan to develop an land management resource plan or area plan gold pond trigg and lyon counties ky and stewart county in</t>
  </si>
  <si>
    <t>Final(12/10/2004)</t>
  </si>
  <si>
    <t>https://arizona.app.box.com/file/389135264800</t>
  </si>
  <si>
    <t>adoption - watts bar nuclear plant unit 1 operations facility operating license issuance rhea county tn the tennessee valley authority (tva) has adopted the us nuclear regulatory commission's final supplemental eis filed 4-28-95. tva was not a cooperating agency</t>
  </si>
  <si>
    <t>Final Supplement(07/07/1995)</t>
  </si>
  <si>
    <t>TN</t>
  </si>
  <si>
    <t>i-65 to us 31 w access improvement project to meet the existing and future transportation demand in northeast bowling green warren county ky</t>
  </si>
  <si>
    <t>Final(08/17/2009);Draft(06/29/2007)</t>
  </si>
  <si>
    <t>https://arizona.app.box.com/file/386214972392</t>
  </si>
  <si>
    <t>https://arizona.app.box.com/file/386241148125</t>
  </si>
  <si>
    <t>project1014</t>
  </si>
  <si>
    <t>tex rail corridor commuter rail project</t>
  </si>
  <si>
    <t>Draft(10/31/2008);Final(05/16/2014)</t>
  </si>
  <si>
    <t>Final(05/16/2014)</t>
  </si>
  <si>
    <t>east corridor project proposes commuter rail transit from downtown denver to international airport (dia) denver adams arapahoe jefferson and douglas counties co</t>
  </si>
  <si>
    <t>Draft(01/30/2009);Final(09/04/2009)</t>
  </si>
  <si>
    <t>https://arizona.app.box.com/file/386234914540</t>
  </si>
  <si>
    <t>https://arizona.app.box.com/file/386219085755</t>
  </si>
  <si>
    <t>kenosha-racine-milwaukee commuter rail extension alternative analysis us coe section 404 permit funding kenosha racine and milwaukee counties wi</t>
  </si>
  <si>
    <t>Draft(08/21/2009)</t>
  </si>
  <si>
    <t>https://arizona.app.box.com/file/386242873758</t>
  </si>
  <si>
    <t>north metro corridor project proposed a commuter rail transit from downtown denver colorado north to state highway (sh) 7 in the cities of denver commerce city thornton northglenn and adams county co</t>
  </si>
  <si>
    <t>Draft(11/20/2009);Final(01/28/2011)</t>
  </si>
  <si>
    <t>https://arizona.app.box.com/file/386246372345</t>
  </si>
  <si>
    <t>https://arizona.app.box.com/file/386239182749</t>
  </si>
  <si>
    <t>south coast rail project</t>
  </si>
  <si>
    <t>Final(10/04/2013)</t>
  </si>
  <si>
    <t>MA</t>
  </si>
  <si>
    <t>https://arizona.app.box.com/file/389261048939</t>
  </si>
  <si>
    <t>https://arizona.app.box.com/file/389164431528</t>
  </si>
  <si>
    <t>project1015</t>
  </si>
  <si>
    <t>texas clean energy project construction and operation of a coal-based electric power generation and chemicals production plant odessa ector county tx</t>
  </si>
  <si>
    <t>Final(08/05/2011);Draft(03/18/2011)</t>
  </si>
  <si>
    <t>https://arizona.app.box.com/file/386217697689</t>
  </si>
  <si>
    <t>https://arizona.app.box.com/file/386239611325</t>
  </si>
  <si>
    <t>white pine energy station project construction and operation coal-fired electric power generating plant white pine county nv</t>
  </si>
  <si>
    <t>Final(10/03/2008);Draft(04/20/2007)</t>
  </si>
  <si>
    <t>https://arizona.app.box.com/file/386243424598</t>
  </si>
  <si>
    <t>https://arizona.app.box.com/file/386240547187</t>
  </si>
  <si>
    <t>futuregen project planning design construction and operation of a coal fueled electric power and hydrogen gas production plant four alternative sites: mattoon il tuscola il jewett tx and odessa tx</t>
  </si>
  <si>
    <t>Final(11/16/2007);Draft(06/01/2007)</t>
  </si>
  <si>
    <t>https://arizona.app.box.com/file/386241314806</t>
  </si>
  <si>
    <t>https://arizona.app.box.com/file/386243319407</t>
  </si>
  <si>
    <t>tenaska - washington ii generation electric power plant construction operation and npdes permit pierce county wa</t>
  </si>
  <si>
    <t>Draft(08/20/1993);Final(02/25/1994)</t>
  </si>
  <si>
    <t>gilberton coal-to-clean fuels and power project construction and operation a new demonstration plant schuylkill county pa</t>
  </si>
  <si>
    <t>Draft(12/09/2005)</t>
  </si>
  <si>
    <t>PA</t>
  </si>
  <si>
    <t>https://arizona.app.box.com/file/386217442189</t>
  </si>
  <si>
    <t>project1017</t>
  </si>
  <si>
    <t>th 60</t>
  </si>
  <si>
    <t>Draft(11/01/2011);Final(07/26/2012)</t>
  </si>
  <si>
    <t>mn th-14 corridor reconstruction mn th-60 to i-35 funding and coe section 404 permit issuance blue earth waseca and steele counties mn</t>
  </si>
  <si>
    <t>Draft(12/27/1996);Final(07/30/1999)</t>
  </si>
  <si>
    <t>https://arizona.app.box.com/file/386216227925</t>
  </si>
  <si>
    <t>mankato south route (blue earth c.s.a.h 90) roadway construction th-169/th-60 on the west to th-83 funding right-of-way and coe section 404 permits minnesota le sueur and blue earth rivers blue earth county mn</t>
  </si>
  <si>
    <t>Final(03/25/1994);Draft(04/16/1993)</t>
  </si>
  <si>
    <t>sterling highway mp 45 - 60 project</t>
  </si>
  <si>
    <t>Draft Supplement(03/27/2015)</t>
  </si>
  <si>
    <t>https://arizona.app.box.com/file/389268509669</t>
  </si>
  <si>
    <t>https://arizona.app.box.com/file/389165809332</t>
  </si>
  <si>
    <t>interstate 43 north-south freeway silver spring drive to wi 60</t>
  </si>
  <si>
    <t>https://arizona.app.box.com/file/389266601982</t>
  </si>
  <si>
    <t>https://arizona.app.box.com/file/389141123877</t>
  </si>
  <si>
    <t>interstate 215 (i-215) transportation improvements from ca-60 and ca-91 in the cities of riverside and moreno valley funding riverside county ca</t>
  </si>
  <si>
    <t>https://arizona.app.box.com/file/386241988716</t>
  </si>
  <si>
    <t>project1018</t>
  </si>
  <si>
    <t>the modernization and repair of piers 2 and 3 at military ocean terminal concord</t>
  </si>
  <si>
    <t>Draft(11/22/2013);Final(03/06/2015)</t>
  </si>
  <si>
    <t>USA</t>
  </si>
  <si>
    <t>Final(03/06/2015)</t>
  </si>
  <si>
    <t>https://arizona.app.box.com/file/389269459499</t>
  </si>
  <si>
    <t>https://arizona.app.box.com/file/389165081225</t>
  </si>
  <si>
    <t>modernization and repair of piers 2 and 3 at military ocean terminal concord</t>
  </si>
  <si>
    <t>Draft(11/22/2013)</t>
  </si>
  <si>
    <t>https://arizona.app.box.com/file/389262340178</t>
  </si>
  <si>
    <t>https://arizona.app.box.com/file/389165259413</t>
  </si>
  <si>
    <t>military ocean terminal (motby) disposal and reuse implementation in the city of bayonne bergen essex and hudson counties nj</t>
  </si>
  <si>
    <t>Final(12/23/1999)</t>
  </si>
  <si>
    <t>otay mesa modernization and expansion</t>
  </si>
  <si>
    <t>Draft(08/24/2018)</t>
  </si>
  <si>
    <t>https://arizona.app.box.com/file/389170802813</t>
  </si>
  <si>
    <t>https://arizona.app.box.com/file/386241591927</t>
  </si>
  <si>
    <t>military ocean terminal navigation basins and entrance channels improvements implementation sunny point brunswick and new hanover counties nc</t>
  </si>
  <si>
    <t>Final(04/21/1995);Draft(07/08/1994)</t>
  </si>
  <si>
    <t>NC</t>
  </si>
  <si>
    <t>project102</t>
  </si>
  <si>
    <t>bitterroot national forest travel management planning</t>
  </si>
  <si>
    <t>Draft(08/07/2009);Final(03/08/2016)</t>
  </si>
  <si>
    <t>Final(03/11/2016)</t>
  </si>
  <si>
    <t>https://arizona.app.box.com/file/389170761262</t>
  </si>
  <si>
    <t>bitterroot national forest travel management planning to address conflicts between motorized and non-motorized users ravalli county mt</t>
  </si>
  <si>
    <t>Draft(08/07/2009)</t>
  </si>
  <si>
    <t>https://arizona.app.box.com/file/389151681742</t>
  </si>
  <si>
    <t>eldorado national forest travel management</t>
  </si>
  <si>
    <t>Final Supplement(07/12/2013);Draft Supplement(02/22/2013)</t>
  </si>
  <si>
    <t>https://arizona.app.box.com/file/389266248328</t>
  </si>
  <si>
    <t>https://arizona.app.box.com/file/389138391869</t>
  </si>
  <si>
    <t>https://arizona.app.box.com/file/389261561102</t>
  </si>
  <si>
    <t>tonto national forest travel management</t>
  </si>
  <si>
    <t>Draft(07/03/2014)</t>
  </si>
  <si>
    <t>AZ</t>
  </si>
  <si>
    <t>https://arizona.app.box.com/file/389258487959</t>
  </si>
  <si>
    <t>https://arizona.app.box.com/file/389151919044</t>
  </si>
  <si>
    <t>salmon-challis national forest travel planning and ohv route designation project</t>
  </si>
  <si>
    <t>Final Supplement(02/07/2014)</t>
  </si>
  <si>
    <t>https://arizona.app.box.com/file/389258466579</t>
  </si>
  <si>
    <t>https://arizona.app.box.com/file/389151869615</t>
  </si>
  <si>
    <t>project1020</t>
  </si>
  <si>
    <t>theodore francis green airport improvement program proposing improvements to enhance safety and the efficiency of the airport and the new england regional airport system city of warwick kent county ri</t>
  </si>
  <si>
    <t>Draft(07/16/2010);Final(07/08/2011)</t>
  </si>
  <si>
    <t>RI</t>
  </si>
  <si>
    <t>https://arizona.app.box.com/file/386228315794</t>
  </si>
  <si>
    <t>https://arizona.app.box.com/file/386213327012</t>
  </si>
  <si>
    <t>t.f. green airport project to implement the part 150 noise abatement procedures in a safe and efficient manner warwick county ri</t>
  </si>
  <si>
    <t>https://arizona.app.box.com/file/386245169432</t>
  </si>
  <si>
    <t>t. f. green airport implementing part 150 noise abatement procedures in a safe and efficient manner warwick county ri</t>
  </si>
  <si>
    <t>Draft(03/17/2000)</t>
  </si>
  <si>
    <t>atlantic city international airport air service improvements economic development and efficiency and safety enhancements airport layout plan approval atlantic county nj</t>
  </si>
  <si>
    <t>Draft(09/13/2002);Final(11/21/2003)</t>
  </si>
  <si>
    <t>https://arizona.app.box.com/file/386243528684</t>
  </si>
  <si>
    <t>https://arizona.app.box.com/file/386240930256</t>
  </si>
  <si>
    <t>new bedford regional airport improvements project to enhance aviation capacity air traffic jet traffic air cargo and general aviation traffic southeastern massachusetts region city of new bedford bristol county ma</t>
  </si>
  <si>
    <t>Final(01/30/2009);Draft(02/25/2005)</t>
  </si>
  <si>
    <t>https://arizona.app.box.com/file/386245699743</t>
  </si>
  <si>
    <t>https://arizona.app.box.com/file/386243487008</t>
  </si>
  <si>
    <t>project1025</t>
  </si>
  <si>
    <t>thunder bay national marine sanctuary boundary expansion</t>
  </si>
  <si>
    <t>Draft(06/14/2013);Final(08/01/2014)</t>
  </si>
  <si>
    <t>https://arizona.app.box.com/file/389265335203</t>
  </si>
  <si>
    <t>https://arizona.app.box.com/file/389164014523</t>
  </si>
  <si>
    <t>thunder bay national marine sanctuary: boundary expansion</t>
  </si>
  <si>
    <t>Draft(06/14/2013)</t>
  </si>
  <si>
    <t>https://arizona.app.box.com/file/389263749619</t>
  </si>
  <si>
    <t>https://arizona.app.box.com/file/389171725733</t>
  </si>
  <si>
    <t>flower garden banks national marine sanctuary boundary expansion: draft environmental impact statement</t>
  </si>
  <si>
    <t>Draft(06/10/2016)</t>
  </si>
  <si>
    <t>https://arizona.app.box.com/file/389168893858</t>
  </si>
  <si>
    <t>https://arizona.app.box.com/file/386240999279</t>
  </si>
  <si>
    <t>monterey bay national marine sanctuary establishment designation and management plan san mateo santa cruz and monterey counties ca</t>
  </si>
  <si>
    <t>Final(06/19/1992);Draft(08/03/1990)</t>
  </si>
  <si>
    <t>fagatele bay national marine sanctuary management plan implementation tutuila island american samoa</t>
  </si>
  <si>
    <t>Final(06/22/2012)</t>
  </si>
  <si>
    <t>AS</t>
  </si>
  <si>
    <t>https://arizona.app.box.com/file/389257320662</t>
  </si>
  <si>
    <t>project1027</t>
  </si>
  <si>
    <t>tier 1 - elgin o'hare - west bypass study to identify multimodal transportation solutions cook and dupage counties il</t>
  </si>
  <si>
    <t>Draft(09/11/2009);Final(05/14/2010)</t>
  </si>
  <si>
    <t>IL</t>
  </si>
  <si>
    <t>https://arizona.app.box.com/file/386242601503</t>
  </si>
  <si>
    <t>https://arizona.app.box.com/file/386229764355</t>
  </si>
  <si>
    <t>tier 2 - elgin o'hare - west bypass extending the planning period from 2030 to 2040 federal approvals and funding cook and dupage counties il</t>
  </si>
  <si>
    <t>Second Final(11/09/2012);Second Draft(03/30/2012)</t>
  </si>
  <si>
    <t>https://arizona.app.box.com/file/386248220510</t>
  </si>
  <si>
    <t>https://arizona.app.box.com/file/389171109948</t>
  </si>
  <si>
    <t>https://arizona.app.box.com/file/386213755632</t>
  </si>
  <si>
    <t>elgin-o-hare highway/fap route 426 improvement u.s. 20/lake street and lovell road to the proposed west o'hare expressway near yord road and thorndale avenue funding and coe section 404 permit cook and dupage counties il</t>
  </si>
  <si>
    <t>Final(07/06/1990)</t>
  </si>
  <si>
    <t>elgin-o'hare highway/fap route 426 improvement us 20/lake street and lovell road to the proposed west o'hare expressway near york road and thorndale avenue terminus change funding and section 404 permit cook and dupage counties il</t>
  </si>
  <si>
    <t>Draft Supplement(02/09/1990)</t>
  </si>
  <si>
    <t>fap route 340 transportation project construction from i-55 to i-80 funding us coast guard permit and coe section 404 permit cook dupage and will counties il.</t>
  </si>
  <si>
    <t>Draft(08/19/1994);Final(03/01/1996)</t>
  </si>
  <si>
    <t>project1029</t>
  </si>
  <si>
    <t>tier 1 - us 220 national highway system(nhs) between i-68 and corridor h (us 220)</t>
  </si>
  <si>
    <t>Draft(07/29/2011);Final(04/11/2014)</t>
  </si>
  <si>
    <t>Final(04/11/2014)</t>
  </si>
  <si>
    <t>https://arizona.app.box.com/file/389260862045</t>
  </si>
  <si>
    <t>https://arizona.app.box.com/file/389169140356</t>
  </si>
  <si>
    <t>tier 1 - national highway system (nhs) corridor propose to develop an improved transportation connecting (us-220) between i-68 and corridor h grant hardy hampshire mineral counties wv and allegany county md</t>
  </si>
  <si>
    <t>https://arizona.app.box.com/file/386218045215</t>
  </si>
  <si>
    <t>appalachian development highway system corridor k (relocated highway us 64) improvements from west of the ocoee river to tn-68 near ducktown funding us army corps section 10 and 404 permits polk county tn</t>
  </si>
  <si>
    <t>Draft(10/03/2003)</t>
  </si>
  <si>
    <t>https://arizona.app.box.com/file/386217984589</t>
  </si>
  <si>
    <t>manzanar national historic site (nhs) general management plan implementation inyo county ca</t>
  </si>
  <si>
    <t>Draft(02/23/1996);Final(10/25/1996)</t>
  </si>
  <si>
    <t>https://arizona.app.box.com/file/386239767774</t>
  </si>
  <si>
    <t>https://arizona.app.box.com/file/386241113911</t>
  </si>
  <si>
    <t>illiana corridor project tier twotransportation system improvements</t>
  </si>
  <si>
    <t>Second Draft(01/24/2014)</t>
  </si>
  <si>
    <t>https://arizona.app.box.com/file/389261946393</t>
  </si>
  <si>
    <t>https://arizona.app.box.com/file/389137671086</t>
  </si>
  <si>
    <t>project103</t>
  </si>
  <si>
    <t>black fork salvage project proposal to treat timer harvest prescribe fire and mechanical thinning uinta-wasatch-cache national forest summit county ut</t>
  </si>
  <si>
    <t>Final(11/18/2011);Draft(04/08/2011)</t>
  </si>
  <si>
    <t>https://arizona.app.box.com/file/389137188397</t>
  </si>
  <si>
    <t>https://arizona.app.box.com/file/389137248678</t>
  </si>
  <si>
    <t>east fork fire salvage project timber harvesting of dead and dying timber evanston ranger district wasatch-cache national forest summit county ut</t>
  </si>
  <si>
    <t>Draft(01/09/2004)</t>
  </si>
  <si>
    <t>https://arizona.app.box.com/file/386249611007</t>
  </si>
  <si>
    <t>east fork black forks multiple use management project implementation wasatch-cache national forest evanston ranger district summit county ut</t>
  </si>
  <si>
    <t>Final(07/17/1992);Draft(08/02/1991)</t>
  </si>
  <si>
    <t>east fork black forks multiple use management project updated information implementation wasatch-cache national forest evanston ranger district summit county ut</t>
  </si>
  <si>
    <t>Draft Supplement(11/25/1994)</t>
  </si>
  <si>
    <t>east fork fire salvage project timber harvesting of dead and dying trees implementations evanston ranger district wasatch-cache national forest summit county ut</t>
  </si>
  <si>
    <t>Final(06/25/2004)</t>
  </si>
  <si>
    <t>https://arizona.app.box.com/file/389150126275</t>
  </si>
  <si>
    <t>project1030</t>
  </si>
  <si>
    <t>Draft(03/30/2012);Final(11/09/2012)</t>
  </si>
  <si>
    <t>project1033</t>
  </si>
  <si>
    <t>tongass land and resource management plan amendment</t>
  </si>
  <si>
    <t>Final(07/01/2016);Draft(11/21/2015)</t>
  </si>
  <si>
    <t>Draft(11/20/2015)</t>
  </si>
  <si>
    <t>USDA</t>
  </si>
  <si>
    <t>https://arizona.app.box.com/file/389163774227</t>
  </si>
  <si>
    <t>https://arizona.app.box.com/file/386216460417</t>
  </si>
  <si>
    <t>tongass land and resource management plan plan amendment implementation tongass national forest ak</t>
  </si>
  <si>
    <t>Draft(01/12/2007);Final(02/15/2008)</t>
  </si>
  <si>
    <t>https://arizona.app.box.com/file/389165625389</t>
  </si>
  <si>
    <t>https://arizona.app.box.com/file/389169134570</t>
  </si>
  <si>
    <t>tongass land management plan implementation tongass national forest ak</t>
  </si>
  <si>
    <t>Draft(07/06/1990);Final(06/27/1997)</t>
  </si>
  <si>
    <t>https://arizona.app.box.com/file/386247050280</t>
  </si>
  <si>
    <t>tongass land management plan revision new information tongass national forest ak</t>
  </si>
  <si>
    <t>Draft Supplement(09/06/1991)</t>
  </si>
  <si>
    <t>hoosier national forest land and resource management plan amendment implementation several counties in</t>
  </si>
  <si>
    <t>Final(04/19/1991);Draft(04/20/1990)</t>
  </si>
  <si>
    <t>IN</t>
  </si>
  <si>
    <t>project1034</t>
  </si>
  <si>
    <t>tonka timber sale project timber harvesting, petersburg ranger district, tongass national forest</t>
  </si>
  <si>
    <t>Draft(10/28/2011);Final(04/27/2012)</t>
  </si>
  <si>
    <t>tonka timber sale project proposed timber harvesting petersburg ranger district tongass national forest petersburg ak</t>
  </si>
  <si>
    <t>https://arizona.app.box.com/file/389153277674</t>
  </si>
  <si>
    <t>https://arizona.app.box.com/file/389165905485</t>
  </si>
  <si>
    <t>threemile timber sale implementation petersburg ranger district tongass national forest ak</t>
  </si>
  <si>
    <t>Final(07/09/2004);Draft(01/19/2001)</t>
  </si>
  <si>
    <t>https://arizona.app.box.com/file/389132914845</t>
  </si>
  <si>
    <t>scott peak project area harvesting timber and development of road management tongass national forest petersburg ranger district northeast of kupreanof island ak</t>
  </si>
  <si>
    <t>Final(01/20/2006);Draft(07/01/2005)</t>
  </si>
  <si>
    <t>https://arizona.app.box.com/file/389160862511</t>
  </si>
  <si>
    <t>https://arizona.app.box.com/file/386274240153</t>
  </si>
  <si>
    <t>woodpecker project area timber harvesting dispersed recreation opportunities and watershed improvements implementation tongass national forest petersburg ranger district mitkof island petersburg ak</t>
  </si>
  <si>
    <t>Final(09/21/2001)</t>
  </si>
  <si>
    <t>https://arizona.app.box.com/file/386242952378</t>
  </si>
  <si>
    <t>woodpecker project area timber harvesting dispered recreation opportunities and watershed improvements implementation tongass national forest petersburg ranger district mitkof island petersburg ak</t>
  </si>
  <si>
    <t>Draft(08/18/2000)</t>
  </si>
  <si>
    <t>https://arizona.app.box.com/file/386246880678</t>
  </si>
  <si>
    <t>project1039</t>
  </si>
  <si>
    <t>transwest express powerline (twe)</t>
  </si>
  <si>
    <t>Draft(12/06/2013);Final(01/13/2017)</t>
  </si>
  <si>
    <t>transwest express transmission project</t>
  </si>
  <si>
    <t>Draft(06/28/2013)</t>
  </si>
  <si>
    <t>https://arizona.app.box.com/file/389268287438</t>
  </si>
  <si>
    <t>https://arizona.app.box.com/file/389139242498</t>
  </si>
  <si>
    <t>adoption - transwest express transmission project</t>
  </si>
  <si>
    <t>Draft(12/06/2013)</t>
  </si>
  <si>
    <t>https://arizona.app.box.com/file/389261015461</t>
  </si>
  <si>
    <t>void - transwest express transmission project</t>
  </si>
  <si>
    <t>https://arizona.app.box.com/file/389174125441</t>
  </si>
  <si>
    <t>project1041</t>
  </si>
  <si>
    <t>trestle forest health project</t>
  </si>
  <si>
    <t>Draft(07/17/2015);Final(08/04/2017)</t>
  </si>
  <si>
    <t>https://arizona.app.box.com/file/389172555982</t>
  </si>
  <si>
    <t>https://arizona.app.box.com/file/386237346429</t>
  </si>
  <si>
    <t>https://arizona.app.box.com/file/389174877698</t>
  </si>
  <si>
    <t>blacksmith forest health project</t>
  </si>
  <si>
    <t>https://arizona.app.box.com/file/389261089613</t>
  </si>
  <si>
    <t>https://arizona.app.box.com/file/389167486206</t>
  </si>
  <si>
    <t>ca-92/san mateo hayward bridge improvements to the east approach and the trestle portion of the bridge coast gurad bridge permit and coe section 404 permit alameda and san mateo counties ca</t>
  </si>
  <si>
    <t>Draft(03/28/1997)</t>
  </si>
  <si>
    <t>U.S. Coast Guard</t>
  </si>
  <si>
    <t>ca-92/san mateo hayward bridge improvements to the east approach and the trestle portion of the bridge coast guard bridge and uscoe section 404 permits issuance alameda and san mateo counties ca</t>
  </si>
  <si>
    <t>Final(11/06/1998)</t>
  </si>
  <si>
    <t>como forest health project (fhp)</t>
  </si>
  <si>
    <t>Final(06/12/2015);Draft(09/26/2014)</t>
  </si>
  <si>
    <t>https://arizona.app.box.com/file/389267407185</t>
  </si>
  <si>
    <t>https://arizona.app.box.com/file/389166979478</t>
  </si>
  <si>
    <t>https://arizona.app.box.com/file/389169192933</t>
  </si>
  <si>
    <t>project1043</t>
  </si>
  <si>
    <t>Final(03/21/2014);Draft(02/18/2005)</t>
  </si>
  <si>
    <t>https://arizona.app.box.com/file/389263541925</t>
  </si>
  <si>
    <t>https://arizona.app.box.com/file/389138174039</t>
  </si>
  <si>
    <t>trinity parkway project construction of limited access toll facility from ih-35 e/tx-183 to us-175/tx-310 us army coe section 10 and 404 permits dallas county tx</t>
  </si>
  <si>
    <t>Draft(02/18/2005)</t>
  </si>
  <si>
    <t>https://arizona.app.box.com/file/386217976298</t>
  </si>
  <si>
    <t>trinity parkway project new and additional information construction of a six-lane controlled access toll facility from ih-35 e/tx-183 to us-175/tx-310 us army coe section 10 and 404 permits dallas county tx</t>
  </si>
  <si>
    <t>Draft Supplement(03/20/2009)</t>
  </si>
  <si>
    <t>https://arizona.app.box.com/file/386245054771</t>
  </si>
  <si>
    <t>trinity parkway project construction of a six-lane controlled access toll facility from ih-35 e/tx-183 to us-175/tx-310 additional information on the compatibility with levee remediation plans for the dallas floodway and new information on historic resources us army coe section 10 and 404 permits dallas county tx</t>
  </si>
  <si>
    <t>Second Draft Supplemental(03/23/2012)</t>
  </si>
  <si>
    <t>https://arizona.app.box.com/file/386242607503</t>
  </si>
  <si>
    <t>https://arizona.app.box.com/file/386247708110</t>
  </si>
  <si>
    <t>project1045</t>
  </si>
  <si>
    <t>tropic to hatch 138kv transmission line project, grand staircase-escalante national monument management plan amendment garfield county ut</t>
  </si>
  <si>
    <t>Draft(12/11/2009);Final(04/08/2011)</t>
  </si>
  <si>
    <t>tropic to hatch 138kv transmission line project proposing construction of a new 138 kv transmission line that would replace some or all the existing 69 kv transmission line applications for special-use permits and/or right-of-way grants grand staircase-escalante national monument management plan amendment garfield county ut</t>
  </si>
  <si>
    <t>https://arizona.app.box.com/file/389136912676</t>
  </si>
  <si>
    <t>https://arizona.app.box.com/file/389163391737</t>
  </si>
  <si>
    <t>grand staircase-escalante national monument management plan implementation cedar city ut</t>
  </si>
  <si>
    <t>Draft(11/13/1998);Final(07/30/1999)</t>
  </si>
  <si>
    <t>https://arizona.app.box.com/file/386242302610</t>
  </si>
  <si>
    <t>3r minerals coal bed canyon mine plan approval grand staircase-escalante national monument garfield county ut</t>
  </si>
  <si>
    <t>Draft(10/06/2000);Final(04/26/2002)</t>
  </si>
  <si>
    <t>https://arizona.app.box.com/file/386239720747</t>
  </si>
  <si>
    <t>grand staircase - escalante national monument (gsenm) draft monument management plan amendment &amp; draft rangeland health implementation portions of kane and garfield utah and coconino county az</t>
  </si>
  <si>
    <t>Draft(10/10/2008)</t>
  </si>
  <si>
    <t>DOI</t>
  </si>
  <si>
    <t>https://arizona.app.box.com/file/386246761645</t>
  </si>
  <si>
    <t>jacob/swale vegetation management project implementation dixie national forest escalante ranger district garfield county ut</t>
  </si>
  <si>
    <t>Draft(02/03/1995);Final(08/11/1995)</t>
  </si>
  <si>
    <t>project1048</t>
  </si>
  <si>
    <t>trunk highway 23 and us highway 71 project construction of one or more grade -separated bridge crossings dovre township northeast of wilmar county kandiyohi mn</t>
  </si>
  <si>
    <t>Final(08/06/2010);Draft(04/18/2008)</t>
  </si>
  <si>
    <t>https://arizona.app.box.com/file/386213550967</t>
  </si>
  <si>
    <t>https://arizona.app.box.com/file/386245224327</t>
  </si>
  <si>
    <t>trunk highway 23 improvements project from 0.25 miles west of csah 6 in kandiyohi county to 0.3 miles southwest of csah 123 stearns county city of paynesville kandiyohi and stearns counties mn</t>
  </si>
  <si>
    <t>Final(03/30/2007);Draft(06/03/2005)</t>
  </si>
  <si>
    <t>https://arizona.app.box.com/file/386246445032</t>
  </si>
  <si>
    <t>https://arizona.app.box.com/file/386242313503</t>
  </si>
  <si>
    <t>proposed rule for the use of locomotive horns at highway-rail grade crossings in the united states</t>
  </si>
  <si>
    <t>RD(01/21/2000)</t>
  </si>
  <si>
    <t>FRA</t>
  </si>
  <si>
    <t>interim final rule for the use of locomotive horns at highway-rail grade crossings in the united states</t>
  </si>
  <si>
    <t>RF(01/02/2004)</t>
  </si>
  <si>
    <t>https://arizona.app.box.com/file/386248433424</t>
  </si>
  <si>
    <t>mn trunk-highway-371 (mn th-371) relocation project new construction north of the entrance to the crow wing state park to the existing intersection of mn th-371 and mn th-210 in the city of baxter funding and us army coe section 10 permit issuance crow wing township crow wing county mn (tier 2 deis)</t>
  </si>
  <si>
    <t>Second Final(04/10/1998)</t>
  </si>
  <si>
    <t>project105</t>
  </si>
  <si>
    <t>black mesa vegetation management project rio grande national forest</t>
  </si>
  <si>
    <t>Final(04/05/2013);Draft(04/27/2012)</t>
  </si>
  <si>
    <t>Final(04/05/2013)</t>
  </si>
  <si>
    <t>https://arizona.app.box.com/file/389266669185</t>
  </si>
  <si>
    <t>black mesa vegetation management project implementation divide ranger district rio grande national forest hinsdale and mineral counties. co</t>
  </si>
  <si>
    <t>Draft(04/27/2012)</t>
  </si>
  <si>
    <t>https://arizona.app.box.com/file/389162638056</t>
  </si>
  <si>
    <t>rio grande forest plan revision</t>
  </si>
  <si>
    <t>Draft(09/29/2017)</t>
  </si>
  <si>
    <t>https://arizona.app.box.com/file/389169004177</t>
  </si>
  <si>
    <t>https://arizona.app.box.com/file/386237773651</t>
  </si>
  <si>
    <t>rio grande lng project</t>
  </si>
  <si>
    <t>Draft(10/19/2018)</t>
  </si>
  <si>
    <t>https://arizona.app.box.com/file/389175562367</t>
  </si>
  <si>
    <t>willow mountain area multiple-use management projects implementation special use permit rio grande national forest co</t>
  </si>
  <si>
    <t>Final(12/14/1990);Draft(05/11/1990)</t>
  </si>
  <si>
    <t>project1050</t>
  </si>
  <si>
    <t>tule river reservation protection project</t>
  </si>
  <si>
    <t>Final(08/15/2014);Draft(04/25/2014)</t>
  </si>
  <si>
    <t>https://arizona.app.box.com/file/389264247874</t>
  </si>
  <si>
    <t>https://arizona.app.box.com/file/389158956876</t>
  </si>
  <si>
    <t>https://arizona.app.box.com/file/389264300104</t>
  </si>
  <si>
    <t>red hill planning area timber sale implementation sequoia national forest tule river ranger district tulare county ca</t>
  </si>
  <si>
    <t>Revised Final(02/19/1993);Final(05/15/1992);Draft(02/14/1992)</t>
  </si>
  <si>
    <t>tule river basin investigation project plan to increase flood protection downstream of success dam and increase storage space in lake success for irrigation water tule river tulare and king counties ca</t>
  </si>
  <si>
    <t>Draft(04/30/1999)</t>
  </si>
  <si>
    <t>https://arizona.app.box.com/file/386244013445</t>
  </si>
  <si>
    <t>tule river basin investigation project plan to increase flood protection downstream of success dam and increase storage space in lake success for irrigation water tule river tulace and king counties ca</t>
  </si>
  <si>
    <t>Final(10/15/1999)</t>
  </si>
  <si>
    <t>draft environmental impact statement, tule river indian tribe - fee-to-trust and eagle mountain casino relocation project</t>
  </si>
  <si>
    <t>Draft(09/21/2018)</t>
  </si>
  <si>
    <t>Bureau of Indian Affairs</t>
  </si>
  <si>
    <t>https://arizona.app.box.com/file/389172986885</t>
  </si>
  <si>
    <t>https://arizona.app.box.com/file/386242188598</t>
  </si>
  <si>
    <t>project1055</t>
  </si>
  <si>
    <t>two bit vegetation management project happy camp ranger district klamath national forest</t>
  </si>
  <si>
    <t>Final(11/02/2012);Draft(05/07/2010)</t>
  </si>
  <si>
    <t>https://arizona.app.box.com/file/389264020874</t>
  </si>
  <si>
    <t>https://arizona.app.box.com/file/389150327422</t>
  </si>
  <si>
    <t>two bit vegetation management project to provide a programmed flow of timber products and to sustain diverse fire resilient ecosystems in keeping with historic conditions happy camp ranger district klamath national forest siskiyou county ca</t>
  </si>
  <si>
    <t>Draft(05/07/2010)</t>
  </si>
  <si>
    <t>https://arizona.app.box.com/file/389164192775</t>
  </si>
  <si>
    <t>https://arizona.app.box.com/file/389161715692</t>
  </si>
  <si>
    <t>https://arizona.app.box.com/file/389136876676</t>
  </si>
  <si>
    <t>https://arizona.app.box.com/file/389137145012</t>
  </si>
  <si>
    <t>https://arizona.app.box.com/file/389161935693</t>
  </si>
  <si>
    <t>project1056</t>
  </si>
  <si>
    <t>u.s. department of state foreign affairs security training center</t>
  </si>
  <si>
    <t>Final(04/24/2015);Draft(10/26/2012)</t>
  </si>
  <si>
    <t>Final(04/24/2015)</t>
  </si>
  <si>
    <t>https://arizona.app.box.com/file/389169136049</t>
  </si>
  <si>
    <t>https://arizona.app.box.com/file/386237125666</t>
  </si>
  <si>
    <t>u.s. department of state bureau of diplomatic security foreign affairs security training center (fastc) nottoway county va</t>
  </si>
  <si>
    <t>Draft(10/26/2012)</t>
  </si>
  <si>
    <t>https://arizona.app.box.com/file/389263772834</t>
  </si>
  <si>
    <t>https://arizona.app.box.com/file/386243276079</t>
  </si>
  <si>
    <t>usdos foreign affairs security training center (fastc)</t>
  </si>
  <si>
    <t>Draft Supplement(01/09/2015)</t>
  </si>
  <si>
    <t>https://arizona.app.box.com/file/389262468373</t>
  </si>
  <si>
    <t>https://arizona.app.box.com/file/389163155379</t>
  </si>
  <si>
    <t>san francisco veterans affairs medical center long range development plan</t>
  </si>
  <si>
    <t>Final(07/10/2015)</t>
  </si>
  <si>
    <t>https://arizona.app.box.com/file/389167970484</t>
  </si>
  <si>
    <t>https://arizona.app.box.com/file/386215155536</t>
  </si>
  <si>
    <t>foreign missions center at the former walter reed army medical center</t>
  </si>
  <si>
    <t>Draft(02/07/2014);Final(11/17/2017)</t>
  </si>
  <si>
    <t>DC</t>
  </si>
  <si>
    <t>DOS</t>
  </si>
  <si>
    <t>https://arizona.app.box.com/file/389262673000</t>
  </si>
  <si>
    <t>https://arizona.app.box.com/file/389162604042</t>
  </si>
  <si>
    <t>https://arizona.app.box.com/file/389171097474</t>
  </si>
  <si>
    <t>https://arizona.app.box.com/file/386239257187</t>
  </si>
  <si>
    <t>project1060</t>
  </si>
  <si>
    <t>uinta national forest oil and gas leasing implementation identify national forest systems lands with federal mineral rights wasatch utah juab tooele and sanpete counties ut</t>
  </si>
  <si>
    <t>Draft(02/22/2008);Final(03/04/2011)</t>
  </si>
  <si>
    <t>Revised Draft(06/25/2010);Final(03/04/2011)</t>
  </si>
  <si>
    <t>https://arizona.app.box.com/file/389161062983</t>
  </si>
  <si>
    <t>https://arizona.app.box.com/file/389137207015</t>
  </si>
  <si>
    <t>uinta national forest oil and gas leasing implementation identify national forest systems land with federal mineral rights wasatch utah juab tooele and sanpete counties ut</t>
  </si>
  <si>
    <t>Draft(02/22/2008)</t>
  </si>
  <si>
    <t>https://arizona.app.box.com/file/389152140808</t>
  </si>
  <si>
    <t>uinta national forest revised land and resource management plan implementation juab sanpete tooele utah and wasatch counties ut</t>
  </si>
  <si>
    <t>Draft(05/04/2001);Final(05/02/2003)</t>
  </si>
  <si>
    <t>uinta national forest plan amendment rangeland ecosystem management plan implementation sanpete wasatch utah toole and juab counties ut</t>
  </si>
  <si>
    <t>Final(08/14/1992);Draft(10/04/1991)</t>
  </si>
  <si>
    <t>manti-la sal national forest oil and gas leasing implementation sanpete utah sevier juab emery carbon grand and san juan counties ut and mesa and montrose counties co</t>
  </si>
  <si>
    <t>Second Draft(03/27/1992)</t>
  </si>
  <si>
    <t>project1061</t>
  </si>
  <si>
    <t>umatilla national forest invasive plants treatment propose to treat invasive plants and restore treated sites asotin columbia garfield walla walla counties wa and grant morrow umatilla union wallowa wheeler counties or</t>
  </si>
  <si>
    <t>Draft(06/22/2007);Final(08/13/2010)</t>
  </si>
  <si>
    <t>nan WA</t>
  </si>
  <si>
    <t>https://arizona.app.box.com/file/389163608532</t>
  </si>
  <si>
    <t>https://arizona.app.box.com/file/389150892986</t>
  </si>
  <si>
    <t>umatilla national forest land and resource management plan implementation baker grant morrow umatilla union wallowa and wheeler counties or and asotin columbia walla walla andand garfield counties wa</t>
  </si>
  <si>
    <t>Draft(11/13/1987)</t>
  </si>
  <si>
    <t>baker field office resource management plan implementation baker union wallowa malheur morrow and umatilla counties or and asotin county wa</t>
  </si>
  <si>
    <t>Draft(11/25/2011)</t>
  </si>
  <si>
    <t>https://arizona.app.box.com/file/386227407009</t>
  </si>
  <si>
    <t>wallowa-whitman national forest invasive plants treatment project</t>
  </si>
  <si>
    <t>Final Supplement(01/15/2016)</t>
  </si>
  <si>
    <t>https://arizona.app.box.com/file/389172851689</t>
  </si>
  <si>
    <t>https://arizona.app.box.com/file/386214477198</t>
  </si>
  <si>
    <t>buzzard project area timber sale and road construction implementation umatilla national forest walla walla ranger district union and wallowa counties or</t>
  </si>
  <si>
    <t>Final(01/13/1995);Draft(07/24/1992)</t>
  </si>
  <si>
    <t>project1066</t>
  </si>
  <si>
    <t>university corridor fixed guideway project to implement transit improvements from hillcroft transit center to the vicinity of the university of houston (uh) - central campus or the eastwood transit center city of houston harris county tx</t>
  </si>
  <si>
    <t>Draft(08/03/2007);Final(01/29/2010)</t>
  </si>
  <si>
    <t>https://arizona.app.box.com/file/386242856991</t>
  </si>
  <si>
    <t>north corridor fixed guideway project propose transit improvements from university of houston (uh)-downtown station to northline mall harris county tx</t>
  </si>
  <si>
    <t>Final(12/29/2006);Draft(07/03/2006)</t>
  </si>
  <si>
    <t>https://arizona.app.box.com/file/386247497661</t>
  </si>
  <si>
    <t>https://arizona.app.box.com/file/386240284739</t>
  </si>
  <si>
    <t>north corridor fixed guideway project updated/additional information on the locally preferred alternative propose transit improvements from university of houston (uh)-downtown station to northline mall harris county tx</t>
  </si>
  <si>
    <t>Final Supplement(05/09/2008)</t>
  </si>
  <si>
    <t>https://arizona.app.box.com/file/386218595899</t>
  </si>
  <si>
    <t>southeast corridor project proposed fixed-guideway transit system funding metropolitan transit authority (metro) of harris county houston harris county tx</t>
  </si>
  <si>
    <t>Final(01/05/2007);Draft(07/28/2006)</t>
  </si>
  <si>
    <t>https://arizona.app.box.com/file/386242764900</t>
  </si>
  <si>
    <t>https://arizona.app.box.com/file/386214050764</t>
  </si>
  <si>
    <t>southeast corridor project preferred alternative is the light rail alternative proposed fixed-guideway transit system funding metropolitan transit authority (metro) of harris county houston harris county tx</t>
  </si>
  <si>
    <t>https://arizona.app.box.com/file/386246061097</t>
  </si>
  <si>
    <t>project1067</t>
  </si>
  <si>
    <t>update of the water control manual for the alabama-coosa-tallapoosa river basin in georgia and alabama</t>
  </si>
  <si>
    <t>Draft(03/01/2013);Final(11/07/2014)</t>
  </si>
  <si>
    <t>AL</t>
  </si>
  <si>
    <t>nan AL</t>
  </si>
  <si>
    <t>https://arizona.app.box.com/file/389170118193</t>
  </si>
  <si>
    <t>https://arizona.app.box.com/file/389264284151</t>
  </si>
  <si>
    <t>https://arizona.app.box.com/file/389162941818</t>
  </si>
  <si>
    <t>update of the water control manual for the apalachicola-chattahoochee-flint river basin in alabama, florida, and georgia and water supply storage assessment</t>
  </si>
  <si>
    <t>Draft(10/02/2015)</t>
  </si>
  <si>
    <t>https://arizona.app.box.com/file/389173691457</t>
  </si>
  <si>
    <t>https://arizona.app.box.com/file/386237510447</t>
  </si>
  <si>
    <t>update of the water control manual for the apalachicola-chattahoochee-flint river basin in alabama, florida, and georgia and a water supply storage assessment</t>
  </si>
  <si>
    <t>Final(12/16/2016)</t>
  </si>
  <si>
    <t>https://arizona.app.box.com/file/389164797075</t>
  </si>
  <si>
    <t>https://arizona.app.box.com/file/386238571660</t>
  </si>
  <si>
    <t>alabama-coosa-tallapoosa (act) river basin compact water allocation several counties al and ga</t>
  </si>
  <si>
    <t>Draft(10/09/1998)</t>
  </si>
  <si>
    <t>alabama coosa rivers navigation channel operation and maintenance implementation alabama and georgia</t>
  </si>
  <si>
    <t>Second Draft Supplemental(05/22/1987)</t>
  </si>
  <si>
    <t>project107</t>
  </si>
  <si>
    <t>blackfoot travel plan (non-winter)</t>
  </si>
  <si>
    <t>Draft(01/25/2013);Final(02/05/2016)</t>
  </si>
  <si>
    <t>blackfoot travel plan lincoln ranger district helena national forest lewis and clark and powell counties mt</t>
  </si>
  <si>
    <t>Draft(01/25/2013)</t>
  </si>
  <si>
    <t>https://arizona.app.box.com/file/389152397272</t>
  </si>
  <si>
    <t>yellowstone national park winter use plan</t>
  </si>
  <si>
    <t>Final Supplement(03/15/2013)</t>
  </si>
  <si>
    <t>https://arizona.app.box.com/file/389265575739</t>
  </si>
  <si>
    <t>https://arizona.app.box.com/file/389162758822</t>
  </si>
  <si>
    <t>divide travel plan</t>
  </si>
  <si>
    <t>Final(08/21/2015)</t>
  </si>
  <si>
    <t>https://arizona.app.box.com/file/389163365530</t>
  </si>
  <si>
    <t>divide travel plan helena national forest</t>
  </si>
  <si>
    <t>Draft(03/14/2014)</t>
  </si>
  <si>
    <t>https://arizona.app.box.com/file/389266125644</t>
  </si>
  <si>
    <t>https://arizona.app.box.com/file/389162119774</t>
  </si>
  <si>
    <t>project1070</t>
  </si>
  <si>
    <t>upper great plains wind energy project</t>
  </si>
  <si>
    <t>Draft(03/22/2013);Final(05/01/2015)</t>
  </si>
  <si>
    <t>WAPA</t>
  </si>
  <si>
    <t>programmatic- upper great plains wind energy</t>
  </si>
  <si>
    <t>Draft(03/22/2013)</t>
  </si>
  <si>
    <t>https://arizona.app.box.com/file/389264473175</t>
  </si>
  <si>
    <t>https://arizona.app.box.com/file/389152485767</t>
  </si>
  <si>
    <t>cape wind energy project</t>
  </si>
  <si>
    <t>Final Supplement(08/04/2017)</t>
  </si>
  <si>
    <t>https://arizona.app.box.com/file/389176707386</t>
  </si>
  <si>
    <t>https://arizona.app.box.com/file/386216525498</t>
  </si>
  <si>
    <t>vineyard wind offshore wind energy project</t>
  </si>
  <si>
    <t>Draft(12/07/2018)</t>
  </si>
  <si>
    <t>https://arizona.app.box.com/file/389174639905</t>
  </si>
  <si>
    <t>wilton iv wind energy center</t>
  </si>
  <si>
    <t>https://arizona.app.box.com/file/389261970564</t>
  </si>
  <si>
    <t>https://arizona.app.box.com/file/389170376460</t>
  </si>
  <si>
    <t>plains and eastern clean line transmission line project</t>
  </si>
  <si>
    <t>Final(11/13/2015)</t>
  </si>
  <si>
    <t>https://arizona.app.box.com/file/389173873603</t>
  </si>
  <si>
    <t>project1074</t>
  </si>
  <si>
    <t>upper ohio navigation study</t>
  </si>
  <si>
    <t>Final(06/17/2016);Draft(04/18/2014)</t>
  </si>
  <si>
    <t>https://arizona.app.box.com/file/389152762238</t>
  </si>
  <si>
    <t>https://arizona.app.box.com/file/389170891736</t>
  </si>
  <si>
    <t>https://arizona.app.box.com/file/386239229237</t>
  </si>
  <si>
    <t>ohio creek watershed project</t>
  </si>
  <si>
    <t>Draft(09/28/2018)</t>
  </si>
  <si>
    <t>https://arizona.app.box.com/file/389165958515</t>
  </si>
  <si>
    <t>https://arizona.app.box.com/file/386216778261</t>
  </si>
  <si>
    <t>lorain harbor. ohio federal navigation project dredged material management plan implementation lorain harbor lorain county ohio</t>
  </si>
  <si>
    <t>Draft(12/12/2008)</t>
  </si>
  <si>
    <t>OH</t>
  </si>
  <si>
    <t>https://arizona.app.box.com/file/386241564709</t>
  </si>
  <si>
    <t>lorain harbor ohio federal navigation project dredged material management plan implementation lorain harbor lorain county ohio</t>
  </si>
  <si>
    <t>Final(05/08/2009)</t>
  </si>
  <si>
    <t>https://arizona.app.box.com/file/386264867328</t>
  </si>
  <si>
    <t>lower ohio river navigation study area improvements locks and dams 52 &amp; 53 (olmsted locks and dams) replacement and additional modifications cumberland river to mississippi river several counties ky and il</t>
  </si>
  <si>
    <t>Final Supplement(04/02/1993)</t>
  </si>
  <si>
    <t>project1075</t>
  </si>
  <si>
    <t>us 113 north/south study millsboro-south area</t>
  </si>
  <si>
    <t>Final(11/03/2017);Draft(08/16/2013)</t>
  </si>
  <si>
    <t>us 113 north south study millsboro south area sdeis</t>
  </si>
  <si>
    <t>Draft Supplement(01/13/2017)</t>
  </si>
  <si>
    <t>https://arizona.app.box.com/file/389164720256</t>
  </si>
  <si>
    <t>https://arizona.app.box.com/file/386238647998</t>
  </si>
  <si>
    <t>us-13 relief route construction de-7 to us 113/</t>
  </si>
  <si>
    <t>Final(06/19/1987)</t>
  </si>
  <si>
    <t>us 113 planning study transportation improvement from south of snow hil maryland to delaware state line funding and coe section 404 permit worcester county md</t>
  </si>
  <si>
    <t>Draft(05/30/1997);Final(02/27/1998)</t>
  </si>
  <si>
    <t>wi-113 wisconsin river crossing at merrimac improvements us coast guard and coe section 10 and 404 permits columbia and sauk counties wi</t>
  </si>
  <si>
    <t>Draft(04/30/1999);Final(10/06/2000)</t>
  </si>
  <si>
    <t>https://arizona.app.box.com/file/386254945140</t>
  </si>
  <si>
    <t>https://arizona.app.box.com/file/386238507950</t>
  </si>
  <si>
    <t>bald mountain mine north and south operations area project</t>
  </si>
  <si>
    <t>Final(06/24/2016)</t>
  </si>
  <si>
    <t>https://arizona.app.box.com/file/389173504352</t>
  </si>
  <si>
    <t>https://arizona.app.box.com/file/386241005505</t>
  </si>
  <si>
    <t>project1076</t>
  </si>
  <si>
    <t>us 181 harbor bridge</t>
  </si>
  <si>
    <t>Draft(01/03/2014);Final(12/05/2014)</t>
  </si>
  <si>
    <t>us 181 harbor bridge project</t>
  </si>
  <si>
    <t>Draft(01/03/2014)</t>
  </si>
  <si>
    <t>https://arizona.app.box.com/file/389261935250</t>
  </si>
  <si>
    <t>https://arizona.app.box.com/file/389169993252</t>
  </si>
  <si>
    <t>us 10 improvement st. croix river bridge</t>
  </si>
  <si>
    <t>Final(05/08/1987)</t>
  </si>
  <si>
    <t>eastern planning area outer continental shelf oil and gas lease sale 181 (december 2001) gulf of mexico offshore marine environment and coastal counties/parishes of la ms al and northwestern fl</t>
  </si>
  <si>
    <t>Draft(12/08/2000)</t>
  </si>
  <si>
    <t>Minerals Management Service</t>
  </si>
  <si>
    <t>https://arizona.app.box.com/file/386240929198</t>
  </si>
  <si>
    <t>eastern planning area outer continental shelf oil and gas lease sale 181 (december 2001) gulf of mexico offshore marine environment and coastal counties/parishes of la mi al and northwestern fl</t>
  </si>
  <si>
    <t>Final(07/13/2001)</t>
  </si>
  <si>
    <t>https://arizona.app.box.com/file/386214027069</t>
  </si>
  <si>
    <t>jacksonville harbor navigation</t>
  </si>
  <si>
    <t>Draft Supplement(05/31/2013);Final Supplement(03/07/2014)</t>
  </si>
  <si>
    <t>https://arizona.app.box.com/file/389168558133</t>
  </si>
  <si>
    <t>https://arizona.app.box.com/file/389260808375</t>
  </si>
  <si>
    <t>https://arizona.app.box.com/file/389151868289</t>
  </si>
  <si>
    <t>https://arizona.app.box.com/file/389259229779</t>
  </si>
  <si>
    <t>https://arizona.app.box.com/file/389164466929</t>
  </si>
  <si>
    <t>project1078</t>
  </si>
  <si>
    <t>us 290 corridor propose to construct roadway improvements from farm-to-market (fm) 2920 to interstate highway (ih) 610 funding and right-of-way grant harris county tx</t>
  </si>
  <si>
    <t>Final(04/16/2010);Draft(06/15/2007)</t>
  </si>
  <si>
    <t>https://arizona.app.box.com/file/386228949781</t>
  </si>
  <si>
    <t>grand parkway/tx-99 improvement project ih-10 to us 290 funding right-of-way grant and us army coe section 404 permit issuance harris county tx</t>
  </si>
  <si>
    <t>Draft(02/14/2003)</t>
  </si>
  <si>
    <t>https://arizona.app.box.com/file/386216843308</t>
  </si>
  <si>
    <t>grand parkway/tx-99 segment e improvement project ih-10 to us 290 funding right-of-way grant and us army coe section 404 permit issuance harris county tx</t>
  </si>
  <si>
    <t>Final(12/14/2007)</t>
  </si>
  <si>
    <t>https://arizona.app.box.com/file/386241185325</t>
  </si>
  <si>
    <t>tx-45 highway southeast study from interstate highway (ih) 35 south at farm-to-market (fm) 1327 to tx-130/us 183 proposal to enhance the local regional and national transportation systems right-of-way permit travis county tx</t>
  </si>
  <si>
    <t>Draft(07/11/2003)</t>
  </si>
  <si>
    <t>https://arizona.app.box.com/file/386244335110</t>
  </si>
  <si>
    <t>grand parkway/state highway 99 improvement project segment g from interstate highway (ih) 45 to us 59 funding right-of-way grant us army coe section 404 permit harris and montgomery counties tx</t>
  </si>
  <si>
    <t>Draft(02/02/2007);Final(02/06/2009)</t>
  </si>
  <si>
    <t>https://arizona.app.box.com/file/386237424116</t>
  </si>
  <si>
    <t>https://arizona.app.box.com/file/386242113986</t>
  </si>
  <si>
    <t>project108</t>
  </si>
  <si>
    <t>blue ridge parkway general management plan implementation virginia and north carolina</t>
  </si>
  <si>
    <t>Draft(10/07/2011);Final(01/18/2013)</t>
  </si>
  <si>
    <t>https://arizona.app.box.com/file/386246952310</t>
  </si>
  <si>
    <t>https://arizona.app.box.com/file/389164254303</t>
  </si>
  <si>
    <t>buck springs range allotment rangeland management implementation blue ridge coconino national forest coconino county az</t>
  </si>
  <si>
    <t>Final(11/28/2003);Draft(10/12/2001)</t>
  </si>
  <si>
    <t>https://arizona.app.box.com/file/386249100328</t>
  </si>
  <si>
    <t>pea ridge national military park general management plan implementation ar</t>
  </si>
  <si>
    <t>Draft(11/25/2005);Final(08/04/2006)</t>
  </si>
  <si>
    <t>AR</t>
  </si>
  <si>
    <t>https://arizona.app.box.com/file/386240717416</t>
  </si>
  <si>
    <t>https://arizona.app.box.com/file/386230813155</t>
  </si>
  <si>
    <t>rock creek park and the rock creek and potomac parkway project general management plan implementation washington dc</t>
  </si>
  <si>
    <t>Final(12/09/2005);Draft(03/28/2003)</t>
  </si>
  <si>
    <t>https://arizona.app.box.com/file/386242409113</t>
  </si>
  <si>
    <t>https://arizona.app.box.com/file/386241906757</t>
  </si>
  <si>
    <t>figure eight island shoreline management project- figure eight island, north carolina</t>
  </si>
  <si>
    <t>Draft Supplement(07/10/2015)</t>
  </si>
  <si>
    <t>https://arizona.app.box.com/file/389163499300</t>
  </si>
  <si>
    <t>https://arizona.app.box.com/file/386238393687</t>
  </si>
  <si>
    <t>project1083</t>
  </si>
  <si>
    <t>us 69/loop 49 north lindale reliever route from ih 20 southwest of lindale to us 69 north of lindale</t>
  </si>
  <si>
    <t>Final(02/20/2015);Draft(11/15/2013)</t>
  </si>
  <si>
    <t>Final(02/20/2015)</t>
  </si>
  <si>
    <t>https://arizona.app.box.com/file/389268461622</t>
  </si>
  <si>
    <t>us 69 / loop 49 north lindale reliever route</t>
  </si>
  <si>
    <t>Draft(11/15/2013)</t>
  </si>
  <si>
    <t>https://arizona.app.box.com/file/389262333695</t>
  </si>
  <si>
    <t>https://arizona.app.box.com/file/389163543245</t>
  </si>
  <si>
    <t>tyler loop 49 west construction from the tx-155 highway to i-20 highway funding npdes and us army coe section 404 permits issuance smith county tx</t>
  </si>
  <si>
    <t>tyler loop 49 west construction from tx highway 155 to interstate highway 20 funding npdes and coe section 404 permits smith county tx</t>
  </si>
  <si>
    <t>Draft(02/18/2000)</t>
  </si>
  <si>
    <t>montgomery outer loop construction us 80 southwest of montgomery to i-85 east of montgomery funding and coe section 404 permit issuance montgomery county al</t>
  </si>
  <si>
    <t>Draft(09/01/1995);Final(07/12/1996)</t>
  </si>
  <si>
    <t>project1084</t>
  </si>
  <si>
    <t>us 70 havelock bypass</t>
  </si>
  <si>
    <t>Final(12/11/2015);Draft(09/30/2011)</t>
  </si>
  <si>
    <t>Final(12/11/2015)</t>
  </si>
  <si>
    <t>https://arizona.app.box.com/file/389171865781</t>
  </si>
  <si>
    <t>https://arizona.app.box.com/file/386226213378</t>
  </si>
  <si>
    <t>i-70 east</t>
  </si>
  <si>
    <t>Final(01/15/2016)</t>
  </si>
  <si>
    <t>https://arizona.app.box.com/file/389174534283</t>
  </si>
  <si>
    <t>https://arizona.app.box.com/file/386240803271</t>
  </si>
  <si>
    <t>us-70 havelock bypass project construction of a new location 10-mile four land divided controlled-access freeway for us-70 around the southwest side of the city of havelock and the cherry point u.s. marine corps air station (mcas) craven county nc</t>
  </si>
  <si>
    <t>Draft(09/30/2011)</t>
  </si>
  <si>
    <t>https://arizona.app.box.com/file/386229160438</t>
  </si>
  <si>
    <t>us 70 goldsboro bypass construction us 70 in the vicinity of nc-1237 to us 70 in the vicinity of nc-1731 funding and coe permits wayne county nc</t>
  </si>
  <si>
    <t>Final(04/03/1998);Draft(07/08/1994)</t>
  </si>
  <si>
    <t>in-641 terre haute bypass improvements from us 41 south to i-70 east of terre haute funding coe section 404 permit bigo county in</t>
  </si>
  <si>
    <t>Final(02/11/2000)</t>
  </si>
  <si>
    <t>https://arizona.app.box.com/file/386228083379</t>
  </si>
  <si>
    <t>project1086</t>
  </si>
  <si>
    <t>us highway 53 from virginia to eveleth minnesota</t>
  </si>
  <si>
    <t>Final(09/25/2015);Draft(12/19/2014)</t>
  </si>
  <si>
    <t>https://arizona.app.box.com/file/389162955984</t>
  </si>
  <si>
    <t>https://arizona.app.box.com/file/386236954836</t>
  </si>
  <si>
    <t>us highway 53 from virginia to eveleth</t>
  </si>
  <si>
    <t>Draft(12/19/2014)</t>
  </si>
  <si>
    <t>https://arizona.app.box.com/file/389268377438</t>
  </si>
  <si>
    <t>https://arizona.app.box.com/file/389164952825</t>
  </si>
  <si>
    <t>springfield bypass and extension va-7 to us 1 fairfax county virginia</t>
  </si>
  <si>
    <t>Final Supplement(02/27/1987)</t>
  </si>
  <si>
    <t>tier 1- deis - united states highway 8 project construction from wis 35 (n) to ush 53 funding and right-of-way permit polk and barron counties wi</t>
  </si>
  <si>
    <t>Draft(06/16/2006)</t>
  </si>
  <si>
    <t>https://arizona.app.box.com/file/386217886905</t>
  </si>
  <si>
    <t>tier 1 - deis - united states highway 8 project construction from wis 35 (n) to ush 53 funding and right-of-way permit polk and barron counties wi</t>
  </si>
  <si>
    <t>project1088</t>
  </si>
  <si>
    <t>us-1 transportation improvements updated information from sandhill road (nc 1971) to just north of fox road (nc 1606) to martson road (nc 1001) funding and coe section 404 permit city of rockingham richmond county nc</t>
  </si>
  <si>
    <t>Final(03/09/2012);Draft(08/13/1999)</t>
  </si>
  <si>
    <t>Final(03/09/2012)</t>
  </si>
  <si>
    <t>https://arizona.app.box.com/file/386243241516</t>
  </si>
  <si>
    <t>us-1 transportation improvements updated information from sandhill road (nc 1971) to just north of fox road (nc 1606) to martson road (nc 1001) associated with this extension funding and coe section 404 permit city of rockingham richmond county nc</t>
  </si>
  <si>
    <t>Draft Supplement(08/03/2001)</t>
  </si>
  <si>
    <t>https://arizona.app.box.com/file/386249544442</t>
  </si>
  <si>
    <t>us-1 transportation improvements from sandhill road (sr-1971) to north of fox road (sr-1606) funding and coe section 404 permit city of rockingham richmond county nc</t>
  </si>
  <si>
    <t>Draft(08/13/1999)</t>
  </si>
  <si>
    <t>https://arizona.app.box.com/file/386228664085</t>
  </si>
  <si>
    <t>harrisonburg southeast connector location study transportation improvements from us route 11 to us route 33 funding and us army coe section 404 permit city of harrisonburg rockingham county va</t>
  </si>
  <si>
    <t>Final(11/09/2007);Draft(04/07/2006)</t>
  </si>
  <si>
    <t>https://arizona.app.box.com/file/386246331767</t>
  </si>
  <si>
    <t>https://arizona.app.box.com/file/386248177342</t>
  </si>
  <si>
    <t>us 74 shelby bypass transportation improvements construction funding and coe section 404 permit cleveland county nc</t>
  </si>
  <si>
    <t>Draft(11/20/1998);Final(01/22/1999)</t>
  </si>
  <si>
    <t>project1089</t>
  </si>
  <si>
    <t>us-14 reconstruction project improvements to truck highway 14 from front street in new ulm to nicollet county road 6 in north mankato funding usace section 10 and 404 permits brown and nicollet counties mn</t>
  </si>
  <si>
    <t>Draft(01/04/2008);Final(02/03/2012)</t>
  </si>
  <si>
    <t>Final(02/03/2012)</t>
  </si>
  <si>
    <t>https://arizona.app.box.com/file/386244875110</t>
  </si>
  <si>
    <t>us-14 reconstruction project improvement to truck highway 14 from front street in new ulm to nicollet county road 6 in north mankato brown and nicollet counties mn</t>
  </si>
  <si>
    <t>Draft(01/04/2008)</t>
  </si>
  <si>
    <t>https://arizona.app.box.com/file/386241071251</t>
  </si>
  <si>
    <t>mn th-14 improvements north mankato-mankato bypass and county road 193 to smiths mill funding and section 404 permit city of mankato blue earth county mn</t>
  </si>
  <si>
    <t>Draft(05/03/1991);Final(05/14/1993)</t>
  </si>
  <si>
    <t>trunk highway 371 corridor reconstruction us truck highway 10 to county state aid highway (csah) highway 48 funding morrison county mn</t>
  </si>
  <si>
    <t>Final(01/02/2004)</t>
  </si>
  <si>
    <t>https://arizona.app.box.com/file/386213515169</t>
  </si>
  <si>
    <t>trunk highway 14 (us 14) project proposed construction from interstate 35 to trunk highway 56 funding npdes and us army coe section 404 permits steele and doge counties mn</t>
  </si>
  <si>
    <t>https://arizona.app.box.com/file/386239036826</t>
  </si>
  <si>
    <t>project109</t>
  </si>
  <si>
    <t>blythe solar power project (09-afc-6) application for right-of way grant to construct and operate and decommission a solar thermal facility on public lands riverside county ca</t>
  </si>
  <si>
    <t>Draft(03/19/2010);Final(08/20/2010)</t>
  </si>
  <si>
    <t>https://arizona.app.box.com/file/386245898845</t>
  </si>
  <si>
    <t>https://arizona.app.box.com/file/386242545060</t>
  </si>
  <si>
    <t>genesis solar energy project application for a right-of-way grant to construct operate and decommission a solar thermal facility on public lands california desert conservation area plan riverside county ca</t>
  </si>
  <si>
    <t>Final(08/27/2010);Draft(04/09/2010)</t>
  </si>
  <si>
    <t>https://arizona.app.box.com/file/386239784114</t>
  </si>
  <si>
    <t>https://arizona.app.box.com/file/386234140318</t>
  </si>
  <si>
    <t>palen solar power plant project construction operation and decommission a solar thermal facility on public lands approval for right-of-way grant possible california desert conservation area plan amendment riverside county ca</t>
  </si>
  <si>
    <t>Final(05/13/2011);Draft(04/02/2010)</t>
  </si>
  <si>
    <t>https://arizona.app.box.com/file/386246480342</t>
  </si>
  <si>
    <t>https://arizona.app.box.com/file/386217107389</t>
  </si>
  <si>
    <t>https://arizona.app.box.com/file/386237734836</t>
  </si>
  <si>
    <t>https://arizona.app.box.com/file/386240410716</t>
  </si>
  <si>
    <t>searchlight wind energy project application for right-of-way grant on public land to develop construct operate maintain and decommission of a 200 megawatt wind energy facility usace section 404 permit clark county nv</t>
  </si>
  <si>
    <t>Draft(01/20/2012)</t>
  </si>
  <si>
    <t>https://arizona.app.box.com/file/386241647264</t>
  </si>
  <si>
    <t>project1092</t>
  </si>
  <si>
    <t>us-95 thorncreek road to moscow</t>
  </si>
  <si>
    <t>Final(08/14/2015);Draft(01/04/2013)</t>
  </si>
  <si>
    <t>Final(08/14/2015)</t>
  </si>
  <si>
    <t>https://arizona.app.box.com/file/389163227410</t>
  </si>
  <si>
    <t>https://arizona.app.box.com/file/386216452699</t>
  </si>
  <si>
    <t>us-95 thorncreek road to moscow from milepost 337.67 to milepost 344.00 latah county id</t>
  </si>
  <si>
    <t>https://arizona.app.box.com/file/389187335542</t>
  </si>
  <si>
    <t>https://arizona.app.box.com/file/386229226981</t>
  </si>
  <si>
    <t>md-100 extension us 29 to i-95 funding and 404 permit howard county md</t>
  </si>
  <si>
    <t>Final(08/25/1989);Draft(01/29/1988)</t>
  </si>
  <si>
    <t>us-95 improvements summerlin parkway to the local and arterial road network in the northwest region of las vegas construction and operation clark county nv</t>
  </si>
  <si>
    <t>Draft(05/07/1999)</t>
  </si>
  <si>
    <t>https://arizona.app.box.com/file/386228680368</t>
  </si>
  <si>
    <t>md-22 improvements bel air to i-95 funding</t>
  </si>
  <si>
    <t>Draft(03/20/1987)</t>
  </si>
  <si>
    <t>project1093</t>
  </si>
  <si>
    <t>ut i-80 and state street interchange</t>
  </si>
  <si>
    <t>Draft(02/05/2016);Final(08/04/2017)</t>
  </si>
  <si>
    <t>i-80 and state street interchange</t>
  </si>
  <si>
    <t>https://arizona.app.box.com/file/389163674140</t>
  </si>
  <si>
    <t>https://arizona.app.box.com/file/386225900227</t>
  </si>
  <si>
    <t>https://arizona.app.box.com/file/389176656034</t>
  </si>
  <si>
    <t>interstate 80/interstate 680/state route 12 interchange project improvements solano county ca</t>
  </si>
  <si>
    <t>Final(10/19/2012)</t>
  </si>
  <si>
    <t>https://arizona.app.box.com/file/389181364123</t>
  </si>
  <si>
    <t>https://arizona.app.box.com/file/386238865286</t>
  </si>
  <si>
    <t>i-15/state street corridor highway and transit improvements funding salt lake county ut</t>
  </si>
  <si>
    <t>Draft(03/16/1990);Final(10/14/1994)</t>
  </si>
  <si>
    <t>Urban Mass Transportation Administration</t>
  </si>
  <si>
    <t>i-15/state street corridor highway and transit improvements funding updated information salt lake county ut</t>
  </si>
  <si>
    <t>Draft Supplement(04/15/1994)</t>
  </si>
  <si>
    <t>interstate 80/interstate 580/us highway 395 freeway-to-freeway interchange and connecting road improvements</t>
  </si>
  <si>
    <t>Draft(11/16/2018)</t>
  </si>
  <si>
    <t>https://arizona.app.box.com/file/389174331584</t>
  </si>
  <si>
    <t>project1096</t>
  </si>
  <si>
    <t>vail mountain recreation enhancement project</t>
  </si>
  <si>
    <t>Final(08/22/2014);Draft(03/07/2014)</t>
  </si>
  <si>
    <t>Final(08/22/2014)</t>
  </si>
  <si>
    <t>vail mountain recreation enhancements project</t>
  </si>
  <si>
    <t>Draft(03/07/2014)</t>
  </si>
  <si>
    <t>https://arizona.app.box.com/file/389263569861</t>
  </si>
  <si>
    <t>northeast supply enhancement project</t>
  </si>
  <si>
    <t>https://arizona.app.box.com/file/389166954381</t>
  </si>
  <si>
    <t>https://arizona.app.box.com/file/386226280368</t>
  </si>
  <si>
    <t>pine mountain late-successional reserve habitat protection and enhancement</t>
  </si>
  <si>
    <t>Draft(05/05/2017)</t>
  </si>
  <si>
    <t>https://arizona.app.box.com/file/389172458778</t>
  </si>
  <si>
    <t>https://arizona.app.box.com/file/386237083442</t>
  </si>
  <si>
    <t>vail ski area's 2007 improvement project proposed on-mountain restaurant from the top of vail mountain to mid vail special-use-permit eagle/holy cross ranger district white river national forest eagle county co</t>
  </si>
  <si>
    <t>Draft Supplement(06/26/2009);Final(12/24/2009)</t>
  </si>
  <si>
    <t>https://arizona.app.box.com/file/389161800359</t>
  </si>
  <si>
    <t>project1097</t>
  </si>
  <si>
    <t>valles caldera national preserve - landscape restoration and stewardship plan</t>
  </si>
  <si>
    <t>Final(07/11/2014);Draft(08/09/2013)</t>
  </si>
  <si>
    <t>Final(07/11/2014)</t>
  </si>
  <si>
    <t>https://arizona.app.box.com/file/389164322350</t>
  </si>
  <si>
    <t>valles caldera national preserve public use and access plan implementation sandoval and arriba counties nm</t>
  </si>
  <si>
    <t>Draft(06/15/2012)</t>
  </si>
  <si>
    <t>https://arizona.app.box.com/file/389263644657</t>
  </si>
  <si>
    <t>https://arizona.app.box.com/file/386234517000</t>
  </si>
  <si>
    <t>valles caldera national preserve public access and use plan sandoval and rio arriba counties nm</t>
  </si>
  <si>
    <t>https://arizona.app.box.com/file/389265382656</t>
  </si>
  <si>
    <t>https://arizona.app.box.com/file/389162751975</t>
  </si>
  <si>
    <t>gap landscape restoration project</t>
  </si>
  <si>
    <t>Draft(12/24/2015)</t>
  </si>
  <si>
    <t>https://arizona.app.box.com/file/389170151327</t>
  </si>
  <si>
    <t>https://arizona.app.box.com/file/386237581247</t>
  </si>
  <si>
    <t>upper monument creek landscape restoration</t>
  </si>
  <si>
    <t>Draft(11/04/2016)</t>
  </si>
  <si>
    <t>https://arizona.app.box.com/file/389168126825</t>
  </si>
  <si>
    <t>https://arizona.app.box.com/file/386244367824</t>
  </si>
  <si>
    <t>project1098</t>
  </si>
  <si>
    <t>Final(11/02/2012);Draft(06/15/2012)</t>
  </si>
  <si>
    <t>farmington field office riparian and aquatic habitat restoration and protection management plan implementation san juan mckinley rio arriba and sandoval counties nm</t>
  </si>
  <si>
    <t>Draft(10/15/1999)</t>
  </si>
  <si>
    <t>farmington field office riparian and aquatic habitat management to restore and protect farmington riparian and aquatic habitat management plan san juan mckinley rio arriba and sandoval counties nm</t>
  </si>
  <si>
    <t>Final(09/08/2000)</t>
  </si>
  <si>
    <t>project1101</t>
  </si>
  <si>
    <t>vegetation treatments using aminopyralid, fluroxypyr, and rimsulfuron on bureau of land management lands in 17 western states</t>
  </si>
  <si>
    <t>Final(04/08/2016);Draft(06/19/2015)</t>
  </si>
  <si>
    <t>Final(04/08/2016)</t>
  </si>
  <si>
    <t>https://arizona.app.box.com/file/389173261335</t>
  </si>
  <si>
    <t>programmatic - vegetation treatments using aminopyralid, fluroxypyr, and rimsulfuron on bureau of land management lands in 17 western states</t>
  </si>
  <si>
    <t>Draft(06/19/2015)</t>
  </si>
  <si>
    <t>https://arizona.app.box.com/file/389166523295</t>
  </si>
  <si>
    <t>https://arizona.app.box.com/file/386219278001</t>
  </si>
  <si>
    <t>vegetation treatments using herbicides on bureau of land management (blm) lands in oregon implementation or</t>
  </si>
  <si>
    <t>Final(07/30/2010);Draft(10/02/2009)</t>
  </si>
  <si>
    <t>https://arizona.app.box.com/file/386227161695</t>
  </si>
  <si>
    <t>https://arizona.app.box.com/file/386227112076</t>
  </si>
  <si>
    <t>programmatic - vegetation treatments using herbicides on bureau of land management public lands in 17 westerns including alaska</t>
  </si>
  <si>
    <t>Final(06/29/2007);Draft(11/10/2005)</t>
  </si>
  <si>
    <t>https://arizona.app.box.com/file/386216897482</t>
  </si>
  <si>
    <t>https://arizona.app.box.com/file/386217123090</t>
  </si>
  <si>
    <t>thirteen western states vegetation treatment on bureau of land management lands implementation az co id mt nv nm nd ok or sd ut wa and wy</t>
  </si>
  <si>
    <t>Final(06/14/1991);Draft(03/09/1990)</t>
  </si>
  <si>
    <t>project1104</t>
  </si>
  <si>
    <t>village at wolf creek access project</t>
  </si>
  <si>
    <t>Final(11/28/2014);Draft(08/17/2012)</t>
  </si>
  <si>
    <t>village at wolf creek access project conveyance of non-federal land to the u.s. in exchange for national forest system lands managed by the rio grande national forest mineral county co</t>
  </si>
  <si>
    <t>Draft(08/17/2012)</t>
  </si>
  <si>
    <t>https://arizona.app.box.com/file/389150730622</t>
  </si>
  <si>
    <t>village at wolf creek project application for transportation and utility systems and facilities proposed development and use of road and utility corridors crossing national forest system lands to access 287.5 acres of private property land mineral county co</t>
  </si>
  <si>
    <t>Draft(10/08/2004);Final(04/14/2006)</t>
  </si>
  <si>
    <t>https://arizona.app.box.com/file/389150533234</t>
  </si>
  <si>
    <t>https://arizona.app.box.com/file/389150396778</t>
  </si>
  <si>
    <t>wolf fuels and vegetation management project</t>
  </si>
  <si>
    <t>Draft(01/31/2014);Final(06/20/2014)</t>
  </si>
  <si>
    <t>https://arizona.app.box.com/file/389259852256</t>
  </si>
  <si>
    <t>https://arizona.app.box.com/file/389151932186</t>
  </si>
  <si>
    <t>jamul indian village</t>
  </si>
  <si>
    <t>Draft Supplement(04/08/2016)</t>
  </si>
  <si>
    <t>https://arizona.app.box.com/file/389163772427</t>
  </si>
  <si>
    <t>https://arizona.app.box.com/file/386238393723</t>
  </si>
  <si>
    <t>juneau access improvements project</t>
  </si>
  <si>
    <t>Final Supplement(07/27/2018);Second Draft Supplemental(09/26/2014)</t>
  </si>
  <si>
    <t>https://arizona.app.box.com/file/389178393937</t>
  </si>
  <si>
    <t>https://arizona.app.box.com/file/386242017097</t>
  </si>
  <si>
    <t>https://arizona.app.box.com/file/389263642366</t>
  </si>
  <si>
    <t>https://arizona.app.box.com/file/389165334987</t>
  </si>
  <si>
    <t>project1105</t>
  </si>
  <si>
    <t>village of bald head island shoreline stabilization project</t>
  </si>
  <si>
    <t>Draft(01/10/2014);Final(08/01/2014)</t>
  </si>
  <si>
    <t>https://arizona.app.box.com/file/389265230340</t>
  </si>
  <si>
    <t>https://arizona.app.box.com/file/389166997055</t>
  </si>
  <si>
    <t>village of bald head island shoreline protection project</t>
  </si>
  <si>
    <t>Draft(01/10/2014)</t>
  </si>
  <si>
    <t>https://arizona.app.box.com/file/389256781591</t>
  </si>
  <si>
    <t>https://arizona.app.box.com/file/389162765290</t>
  </si>
  <si>
    <t>southern palm beach island comprehensive shoreline stabilization project</t>
  </si>
  <si>
    <t>Draft(12/12/2014);Final(06/17/2016)</t>
  </si>
  <si>
    <t>https://arizona.app.box.com/file/389267534255</t>
  </si>
  <si>
    <t>https://arizona.app.box.com/file/389162699638</t>
  </si>
  <si>
    <t>https://arizona.app.box.com/file/389175376702</t>
  </si>
  <si>
    <t>https://arizona.app.box.com/file/386216376839</t>
  </si>
  <si>
    <t>bald mountain mine north and south operations area projects</t>
  </si>
  <si>
    <t>Draft(08/14/2015)</t>
  </si>
  <si>
    <t>https://arizona.app.box.com/file/389173366951</t>
  </si>
  <si>
    <t>https://arizona.app.box.com/file/386240750230</t>
  </si>
  <si>
    <t>project1106</t>
  </si>
  <si>
    <t>virgil c. summer nuclear station units 2 and 3 application for combined license to construct and operate a new nuclear reactors fairfield county sc</t>
  </si>
  <si>
    <t>Final(04/22/2011);Draft(04/26/2010)</t>
  </si>
  <si>
    <t>SC</t>
  </si>
  <si>
    <t>NRC</t>
  </si>
  <si>
    <t>Nuclear Regulatory Commission</t>
  </si>
  <si>
    <t>https://arizona.app.box.com/file/386231035097</t>
  </si>
  <si>
    <t>https://arizona.app.box.com/file/386239921286</t>
  </si>
  <si>
    <t>generic - license renewal of nuclear plants virgil c. summer nuclear station supplement 15 fairfield county sc</t>
  </si>
  <si>
    <t>Draft(07/18/2003);Final(03/05/2004)</t>
  </si>
  <si>
    <t>https://arizona.app.box.com/file/386219134815</t>
  </si>
  <si>
    <t>https://arizona.app.box.com/file/386247473210</t>
  </si>
  <si>
    <t>generic - license renewal of nuclear plants for the oconee nuclear station units 1 2 and 3 implementation oconee county sc</t>
  </si>
  <si>
    <t>https://arizona.app.box.com/file/386242817266</t>
  </si>
  <si>
    <t>calvert cliffs nuclear power plant unit 3 application for combined license for construct and operate a new nuclear unit nureg 1936 calvert county md</t>
  </si>
  <si>
    <t>Draft(04/26/2010);Final(05/20/2011)</t>
  </si>
  <si>
    <t>https://arizona.app.box.com/file/386219264299</t>
  </si>
  <si>
    <t>https://arizona.app.box.com/file/386249452534</t>
  </si>
  <si>
    <t>generic - license renewal of nuclear plants for the oconee nuclear station units 1 2 and 3 updated and additonal information implementation oconee county sc</t>
  </si>
  <si>
    <t>Draft(06/04/1999)</t>
  </si>
  <si>
    <t>project1108</t>
  </si>
  <si>
    <t>visual resource management (vrm) plan amendment class designation carbon county wy</t>
  </si>
  <si>
    <t>Draft(07/22/2011);Final(06/29/2012)</t>
  </si>
  <si>
    <t>draft visual resource management (vrm) plan amendment implementation carbon county wy</t>
  </si>
  <si>
    <t>Draft(07/22/2011)</t>
  </si>
  <si>
    <t>https://arizona.app.box.com/file/386227154579</t>
  </si>
  <si>
    <t>lookout mountain forest and rangeland health project and baker resource management plan (rmp) amendment involving changes to visual resources management (vrm) and decommissioning of roads implementation baker city baker county or</t>
  </si>
  <si>
    <t>Draft(10/25/2002)</t>
  </si>
  <si>
    <t>https://arizona.app.box.com/file/386238754847</t>
  </si>
  <si>
    <t>threemile area timber sale and road construction implementation medicine bow national forest land and resource management plan medicine bow national forest carbon county wy</t>
  </si>
  <si>
    <t>Second Final(06/14/1991)</t>
  </si>
  <si>
    <t>project111</t>
  </si>
  <si>
    <t>bogue banks coastal storm damage reduction</t>
  </si>
  <si>
    <t>Final(08/15/2014);Draft(08/16/2013)</t>
  </si>
  <si>
    <t>Final(08/15/2014)</t>
  </si>
  <si>
    <t>https://arizona.app.box.com/file/389256379553</t>
  </si>
  <si>
    <t>https://arizona.app.box.com/file/389152302107</t>
  </si>
  <si>
    <t>bogue banks master beach nourishment project</t>
  </si>
  <si>
    <t>https://arizona.app.box.com/file/389174225428</t>
  </si>
  <si>
    <t>https://arizona.app.box.com/file/386241580210</t>
  </si>
  <si>
    <t>encinitas-solana beach coastal storm damage reduction project san diego county ca</t>
  </si>
  <si>
    <t>Draft(12/31/2012)</t>
  </si>
  <si>
    <t>https://arizona.app.box.com/file/389262428628</t>
  </si>
  <si>
    <t>https://arizona.app.box.com/file/386265368238</t>
  </si>
  <si>
    <t>surf city and north topsail beach project to evaluate coastal storm damage reduction topsail island pender and onslow counties nc</t>
  </si>
  <si>
    <t>Final(10/08/2010);Draft(01/22/2010)</t>
  </si>
  <si>
    <t>https://arizona.app.box.com/file/386265446030</t>
  </si>
  <si>
    <t>https://arizona.app.box.com/file/386264874790</t>
  </si>
  <si>
    <t>https://arizona.app.box.com/file/389262415725</t>
  </si>
  <si>
    <t>https://arizona.app.box.com/file/389153271870</t>
  </si>
  <si>
    <t>project1112</t>
  </si>
  <si>
    <t>https://arizona.app.box.com/file/386243174489</t>
  </si>
  <si>
    <t>https://arizona.app.box.com/file/386229441497</t>
  </si>
  <si>
    <t>https://arizona.app.box.com/file/386241206209</t>
  </si>
  <si>
    <t>https://arizona.app.box.com/file/386242258418</t>
  </si>
  <si>
    <t>https://arizona.app.box.com/file/386247567703</t>
  </si>
  <si>
    <t>resource contingency program construction and operation site specific satsop combustion turbine unit 1 and chehalis generation facility lewis gray harbor and thurston counties wa</t>
  </si>
  <si>
    <t>Second Final(12/01/1995)</t>
  </si>
  <si>
    <t>resource investments landfill facility construction coe section 404 permit issuance pierce county wa</t>
  </si>
  <si>
    <t>Draft(12/08/1995)</t>
  </si>
  <si>
    <t>project1115</t>
  </si>
  <si>
    <t>wallowa-whitman national forest invasive plants treatment project to protect native vegetation by controlling containing or eradicating invasive plant wallowa baker malheur and grant counties or and adams and nez perce counties id</t>
  </si>
  <si>
    <t>Draft(03/06/2009);Final(05/21/2010)</t>
  </si>
  <si>
    <t>nan ID</t>
  </si>
  <si>
    <t>https://arizona.app.box.com/file/389168841905</t>
  </si>
  <si>
    <t>https://arizona.app.box.com/file/389138246397</t>
  </si>
  <si>
    <t>wallowa whitman national forest land and resource management plan additional alternative implementation baker union wallowa grant malheur and umatila counties or and adams nez perce and idaho counties id</t>
  </si>
  <si>
    <t>Final(05/04/1990)</t>
  </si>
  <si>
    <t>wallowa whitman national forest land and resource management plan additional alternative implementation baker union wallowa grant malheur and umatilla counties or and adams nez perce and idaho counties id published fr 9 9-88 - review period ext</t>
  </si>
  <si>
    <t>Draft Supplement(09/09/1988)</t>
  </si>
  <si>
    <t>malheur national forest site-specific invasive plants treatment project</t>
  </si>
  <si>
    <t>Draft(11/08/2013)</t>
  </si>
  <si>
    <t>https://arizona.app.box.com/file/389255639972</t>
  </si>
  <si>
    <t>https://arizona.app.box.com/file/389154291106</t>
  </si>
  <si>
    <t>project1116</t>
  </si>
  <si>
    <t>warner valley comprehensive site plan addressing natural and cultural resource conflicts parking and circulation improvements in warner valley implementation lassen volcanic national park plumas county ca</t>
  </si>
  <si>
    <t>Draft(08/21/2009);Final(09/24/2010)</t>
  </si>
  <si>
    <t>https://arizona.app.box.com/file/386244610889</t>
  </si>
  <si>
    <t>https://arizona.app.box.com/file/386242403332</t>
  </si>
  <si>
    <t>lassen volcanic national park general management plan implementation lassen plumas shasta and tehama counties ca</t>
  </si>
  <si>
    <t>Final(11/09/2001);Draft(08/25/2000)</t>
  </si>
  <si>
    <t>https://arizona.app.box.com/file/386256439171</t>
  </si>
  <si>
    <t>https://arizona.app.box.com/file/386246330205</t>
  </si>
  <si>
    <t>lassen volcanic national park general management plan traditional visitor use manzanita lake area implementation butte plumas lassen tehama and shasta counties ca</t>
  </si>
  <si>
    <t>Draft Supplement(12/22/1989)</t>
  </si>
  <si>
    <t>plumas national forest land and resource management plan implementation plumas lassen butte sierra and yuba counties ca</t>
  </si>
  <si>
    <t>Final(09/02/1988)</t>
  </si>
  <si>
    <t>lassen volcanic national park general management plan traditional visitor use manzanita lake area implementation butter plumas lassen tehana and shasta counties ca</t>
  </si>
  <si>
    <t>Final Supplement(07/13/1990)</t>
  </si>
  <si>
    <t>project1117</t>
  </si>
  <si>
    <t>water transfer program for the san joaquin river exchange contractors water authority 2014-2038 to execute agreements for water transfers/or exchanges san joaquin valley fresno madera merced and stanislaus counties ca</t>
  </si>
  <si>
    <t>Final(02/08/2013);Draft(05/04/2012)</t>
  </si>
  <si>
    <t>Second Draft(05/11/2012);Final(02/08/2013)</t>
  </si>
  <si>
    <t>https://arizona.app.box.com/file/389160895861</t>
  </si>
  <si>
    <t>https://arizona.app.box.com/file/386240084046</t>
  </si>
  <si>
    <t>san joaquin river exchange contractors water authority - 2005 to 2014 water transfer program stanislaus san joaquin merced madera fresno san benito santa clara kern and kings counties ca</t>
  </si>
  <si>
    <t>Final(12/17/2004);Draft(06/18/2004)</t>
  </si>
  <si>
    <t>https://arizona.app.box.com/file/386240394460</t>
  </si>
  <si>
    <t>https://arizona.app.box.com/file/386240354071</t>
  </si>
  <si>
    <t>san joaquin valley operations and maintenance program habitat conservation plan application for incidental take permits san joaquin stanislaus merced fresno kings kern mariposa madera and tulare counties ca</t>
  </si>
  <si>
    <t>Draft(06/30/2006);Final(03/23/2007)</t>
  </si>
  <si>
    <t>https://arizona.app.box.com/file/389162017743</t>
  </si>
  <si>
    <t>lower san joaquin river and tributaries flood control plan and channel clearing and snagging project implementation and modifications fresno merced stanislaus madera and san joaquin counties ca</t>
  </si>
  <si>
    <t>Second Draft(05/05/1989)</t>
  </si>
  <si>
    <t>san luis unit drainage program central valley project implementation funding and possible section 404 permit san joaquin river fresno merced and kings counties ca</t>
  </si>
  <si>
    <t>Draft(12/27/1991)</t>
  </si>
  <si>
    <t>project1120</t>
  </si>
  <si>
    <t>west butte wind power project construction and operation of access roads and a transmission line application for right-of-way (row) grant deschutes and crook counties or</t>
  </si>
  <si>
    <t>Final(10/01/2010);Draft(04/02/2010)</t>
  </si>
  <si>
    <t>https://arizona.app.box.com/file/386240384191</t>
  </si>
  <si>
    <t>https://arizona.app.box.com/file/386242470310</t>
  </si>
  <si>
    <t>north steens 230-kv transmission line project construction and operation of a transmission line and access roads associated with the echanis wind energy project authorizing right-of-way grant harney county or</t>
  </si>
  <si>
    <t>Final(10/21/2011);Draft(07/16/2010)</t>
  </si>
  <si>
    <t>https://arizona.app.box.com/file/386243887017</t>
  </si>
  <si>
    <t>https://arizona.app.box.com/file/386237688242</t>
  </si>
  <si>
    <t>coos county natural gas transmission pipeline construction operation and maintenance right-of-way grant coos bay district coos county or</t>
  </si>
  <si>
    <t>Draft(01/01/2002)</t>
  </si>
  <si>
    <t>gateway west transmission line project proposed to analyze the effects of authorizing the proponents (rocky mountain power and idaho power) to construct and operate the gateway west transmission line project application for right-of-way (row) grants to utilize portions of national system of public lands and special use permits to utilize portions of national forest system lands in southern wyoming southern idaho and possibly northern nevada</t>
  </si>
  <si>
    <t>https://arizona.app.box.com/file/386252251620</t>
  </si>
  <si>
    <t>yellowstone pipe line easement construction and operation renewal of right-of-way (row) grant for easement across the flathead indian reservation approval of trust and allotted lands and coe section 404 permit missoula lake and sanders counties mt</t>
  </si>
  <si>
    <t>Final(10/06/1995);Draft(04/21/1995)</t>
  </si>
  <si>
    <t>project1121</t>
  </si>
  <si>
    <t>west chocolate mountains renewable energy evaluation area proposed california desert conservation area plan amendment imperial county ca</t>
  </si>
  <si>
    <t>Final(12/14/2012);Draft(07/01/2011)</t>
  </si>
  <si>
    <t>https://arizona.app.box.com/file/389181781736</t>
  </si>
  <si>
    <t>https://arizona.app.box.com/file/386239977551</t>
  </si>
  <si>
    <t>desert renewable energy conservation plan proposed land use plan amendment</t>
  </si>
  <si>
    <t>https://arizona.app.box.com/file/386240677216</t>
  </si>
  <si>
    <t>imperial sand dunes recreation area management plan proposed amendment to the california desert conservation area plan imperial county ca</t>
  </si>
  <si>
    <t>Final(09/14/2012)</t>
  </si>
  <si>
    <t>https://arizona.app.box.com/file/386237877950</t>
  </si>
  <si>
    <t>west chocolate mountains renewable energy evaluation area evaluating allocated federal mineral estate (not including acquired lands) for leasing testing and development of geothermal power imperial county ca</t>
  </si>
  <si>
    <t>Draft(07/01/2011)</t>
  </si>
  <si>
    <t>https://arizona.app.box.com/file/386214859680</t>
  </si>
  <si>
    <t>desert renewable energy conservation plan (drecp)</t>
  </si>
  <si>
    <t>Draft(09/26/2014)</t>
  </si>
  <si>
    <t>https://arizona.app.box.com/file/389140453474</t>
  </si>
  <si>
    <t>project1122</t>
  </si>
  <si>
    <t>west davis corridor</t>
  </si>
  <si>
    <t>Draft(05/24/2013);Final(07/21/2017)</t>
  </si>
  <si>
    <t>Draft(05/24/2013)</t>
  </si>
  <si>
    <t>https://arizona.app.box.com/file/389152498072</t>
  </si>
  <si>
    <t>https://arizona.app.box.com/file/389164645836</t>
  </si>
  <si>
    <t>https://arizona.app.box.com/file/386217021755</t>
  </si>
  <si>
    <t>i-94 east-west corridor</t>
  </si>
  <si>
    <t>Draft(11/14/2014)</t>
  </si>
  <si>
    <t>https://arizona.app.box.com/file/389257044950</t>
  </si>
  <si>
    <t>https://arizona.app.box.com/file/389166835985</t>
  </si>
  <si>
    <t>fort davis national historic site general management plan implementation fort davis tx</t>
  </si>
  <si>
    <t>Draft(12/29/2000);Final(09/27/2002)</t>
  </si>
  <si>
    <t>https://arizona.app.box.com/file/386248292743</t>
  </si>
  <si>
    <t>syracuse road 1000 west to 2000 west transportation improvements funding and us army coe section 404 permit syracuse city davis county ut</t>
  </si>
  <si>
    <t>Final(09/15/2006)</t>
  </si>
  <si>
    <t>project1123</t>
  </si>
  <si>
    <t>west eugene wetlands resource management plan</t>
  </si>
  <si>
    <t>Draft(10/19/2012);Final(11/21/2014)</t>
  </si>
  <si>
    <t>west eugene wetlands resource management plan proposes to adopt a resource management plan for the blm-adminstered lands lane county or</t>
  </si>
  <si>
    <t>Draft(10/19/2012)</t>
  </si>
  <si>
    <t>https://arizona.app.box.com/file/389178358401</t>
  </si>
  <si>
    <t>https://arizona.app.box.com/file/386227729155</t>
  </si>
  <si>
    <t>delta wetlands project</t>
  </si>
  <si>
    <t>Draft Supplement(05/29/2015)</t>
  </si>
  <si>
    <t>https://arizona.app.box.com/file/389168808606</t>
  </si>
  <si>
    <t>https://arizona.app.box.com/file/386236659686</t>
  </si>
  <si>
    <t>eugene district resource management plan implementation lane linn douglas and benton counties or</t>
  </si>
  <si>
    <t>Final(11/25/1994);Draft(08/28/1992)</t>
  </si>
  <si>
    <t>eugene o'neill national historic site development and general management plan implementation contra costa county ca</t>
  </si>
  <si>
    <t>Draft(12/23/1988);Final(02/15/1991)</t>
  </si>
  <si>
    <t>ballona wetlands restoration project</t>
  </si>
  <si>
    <t>Draft(10/06/2017)</t>
  </si>
  <si>
    <t>https://arizona.app.box.com/file/389164958320</t>
  </si>
  <si>
    <t>https://arizona.app.box.com/file/386244450639</t>
  </si>
  <si>
    <t>project1127</t>
  </si>
  <si>
    <t>west tavaputs plateau natural gas full field development plan develop the natural gas resource on leased and unleased lands carbon county ut</t>
  </si>
  <si>
    <t>Final(07/23/2010);Draft(02/01/2008)</t>
  </si>
  <si>
    <t>Final(07/23/2010);Draft(02/01/2008);Final(07/30/2010)</t>
  </si>
  <si>
    <t>https://arizona.app.box.com/file/386235453716</t>
  </si>
  <si>
    <t>https://arizona.app.box.com/file/386229037673</t>
  </si>
  <si>
    <t>uinta basin natural gas development project to develop oil and natural gas resources within the monument butte-red wash and west tavaputs exploration and developments area applications for permit of drill and right-of-way grants uintah and duchesne counties ut</t>
  </si>
  <si>
    <t>Draft(10/01/2010);Final(03/16/2012)</t>
  </si>
  <si>
    <t>https://arizona.app.box.com/file/386226923986</t>
  </si>
  <si>
    <t>https://arizona.app.box.com/file/386245351562</t>
  </si>
  <si>
    <t>south baggs natural gas development area proposal to drill and develop 50 natural gas wells application for permit to drill and coe section 404 permit carbon county wy</t>
  </si>
  <si>
    <t>Draft(05/21/1999);Final(04/21/2000)</t>
  </si>
  <si>
    <t>https://arizona.app.box.com/file/389265338274</t>
  </si>
  <si>
    <t>https://arizona.app.box.com/file/389162873435</t>
  </si>
  <si>
    <t>price field resource management plan selected the preferred alternative d non-wilderness study area (wsa) lands with wilderness characteristics. implementation carbon and emery counties ut</t>
  </si>
  <si>
    <t>Final(08/29/2008)</t>
  </si>
  <si>
    <t>https://arizona.app.box.com/file/386240041001</t>
  </si>
  <si>
    <t>project1129</t>
  </si>
  <si>
    <t>west waukesha bypass</t>
  </si>
  <si>
    <t>Final(09/19/2014);Draft(10/26/2012)</t>
  </si>
  <si>
    <t>Final(09/19/2014)</t>
  </si>
  <si>
    <t>https://arizona.app.box.com/file/389256698493</t>
  </si>
  <si>
    <t>https://arizona.app.box.com/file/389138943698</t>
  </si>
  <si>
    <t>west waukesha bypass county tt from i-94 to wis 59 waukesha county wi</t>
  </si>
  <si>
    <t>https://arizona.app.box.com/file/389182364946</t>
  </si>
  <si>
    <t>https://arizona.app.box.com/file/386245045802</t>
  </si>
  <si>
    <t>wi-16 oconomowoc west bypass (rock river to wi-67) project improvement funding and coe section 404 permit city of oconomowoc jefferson and waukesha counties wi</t>
  </si>
  <si>
    <t>Final(06/20/1997);Draft(07/01/1994)</t>
  </si>
  <si>
    <t>wi-th 67/oconomowoc bypass corridor improvement and relocation summit avenue to existing wi-th 67 near lang road funding and section 404 permit city of oconomowoc waukesha county wi</t>
  </si>
  <si>
    <t>Final(01/31/1992);Draft(12/21/1990)</t>
  </si>
  <si>
    <t>wi-th-83 improvement i-94 to cardinal lane/ wi-th-16 funding and 404 permit waukesha county wi</t>
  </si>
  <si>
    <t>Draft(06/12/1987);Final(05/06/1988)</t>
  </si>
  <si>
    <t>project1130</t>
  </si>
  <si>
    <t>westbrook project</t>
  </si>
  <si>
    <t>Draft(05/31/2013);Final(04/18/2014)</t>
  </si>
  <si>
    <t>Final(04/18/2014)</t>
  </si>
  <si>
    <t>https://arizona.app.box.com/file/389261544944</t>
  </si>
  <si>
    <t>https://arizona.app.box.com/file/389153473085</t>
  </si>
  <si>
    <t>westbrook project (spk-2005-00938)</t>
  </si>
  <si>
    <t>Draft(05/31/2013)</t>
  </si>
  <si>
    <t>https://arizona.app.box.com/file/389257775461</t>
  </si>
  <si>
    <t>https://arizona.app.box.com/file/389152905142</t>
  </si>
  <si>
    <t>maritimes phase ii project construct and operate an interstate natural gas pipeline coe section 10 and 404 permits endangered species act (esa) and npde's permits us canada border at woodland (burleyville) maine and westbrook maine</t>
  </si>
  <si>
    <t>Draft(02/06/1998);Final(06/26/1998)</t>
  </si>
  <si>
    <t>ME</t>
  </si>
  <si>
    <t>east reservoir project</t>
  </si>
  <si>
    <t>Draft(06/14/2013);Final(03/21/2014)</t>
  </si>
  <si>
    <t>https://arizona.app.box.com/file/389260456445</t>
  </si>
  <si>
    <t>https://arizona.app.box.com/file/389169107956</t>
  </si>
  <si>
    <t>https://arizona.app.box.com/file/389255876241</t>
  </si>
  <si>
    <t>west sacramento project</t>
  </si>
  <si>
    <t>Final(01/22/2016);Draft(07/18/2014)</t>
  </si>
  <si>
    <t>https://arizona.app.box.com/file/389255419801</t>
  </si>
  <si>
    <t>https://arizona.app.box.com/file/389163324978</t>
  </si>
  <si>
    <t>https://arizona.app.box.com/file/389170626893</t>
  </si>
  <si>
    <t>https://arizona.app.box.com/file/386238294339</t>
  </si>
  <si>
    <t>project1134</t>
  </si>
  <si>
    <t>westside rangeland analysis project proposal to allocate forage for commercial livestock grazing on six alternatives mud and tope creeks wallowa valley ranger district wallowa-whitman national forest wallowa county or</t>
  </si>
  <si>
    <t>Final(05/28/2010);Draft(06/26/2009)</t>
  </si>
  <si>
    <t>https://arizona.app.box.com/file/389151554046</t>
  </si>
  <si>
    <t>https://arizona.app.box.com/file/389150979042</t>
  </si>
  <si>
    <t>joseph creek rangeland analysis project proposal to allocate forage for commercial livestock grazing on eleven allotments wallowa-whitman national forest wallowa valley ranger district wallowa county or</t>
  </si>
  <si>
    <t>Draft(09/24/2004)</t>
  </si>
  <si>
    <t>https://arizona.app.box.com/file/389136148981</t>
  </si>
  <si>
    <t>joseph creek rangeland analysis project proposal to allocate forage for commercial livestock grazing on eleven allotment wallowa-whitman national forests wallowa valley ranger district wallowa county or</t>
  </si>
  <si>
    <t>Final(10/07/2005)</t>
  </si>
  <si>
    <t>https://arizona.app.box.com/file/389150518419</t>
  </si>
  <si>
    <t>washington analysis area\baker city municipal watershed project implementation wallowa-whitman national forest baker ranger district baker county or</t>
  </si>
  <si>
    <t>Draft(06/10/1994);Final(03/03/1995)</t>
  </si>
  <si>
    <t>snow basin vegetation management project proposal to implementing commercial harvest of timber post harvest non-commercial thinning whitman ranger district wallowa-whitman forest baker county or</t>
  </si>
  <si>
    <t>Draft(04/15/2011);Final(03/30/2012)</t>
  </si>
  <si>
    <t>https://arizona.app.box.com/file/389133425952</t>
  </si>
  <si>
    <t>https://arizona.app.box.com/file/389163256129</t>
  </si>
  <si>
    <t>project114</t>
  </si>
  <si>
    <t>boundary hydroelectric project application for hydroelectric license ferc project no. 2144-038 and sullivan creek project application for surrender of hydropower ferc project no. 2225-015 pend oreille county wa</t>
  </si>
  <si>
    <t>Final(09/16/2011);Draft(04/15/2011)</t>
  </si>
  <si>
    <t>https://arizona.app.box.com/file/386246572466</t>
  </si>
  <si>
    <t>https://arizona.app.box.com/file/386216945769</t>
  </si>
  <si>
    <t>sullivan creek hydroelectric (ferc no. 2225) project an application for amendment of license public utility district no. 1 sullivan creek pend oreille county wa</t>
  </si>
  <si>
    <t>Draft(07/18/1997);Final(04/17/1998)</t>
  </si>
  <si>
    <t>box canyon (hydroelectric) project (ferc project no. 2042-013) application for a new license for existing 72-megawatt (mw) hydroelectric project public utility district no. 1 (pud) pend oreille river pend oreille county wa and bonner county id</t>
  </si>
  <si>
    <t>Draft(09/20/2002);Final(10/22/2004)</t>
  </si>
  <si>
    <t>https://arizona.app.box.com/file/386240522568</t>
  </si>
  <si>
    <t>https://arizona.app.box.com/file/386239943325</t>
  </si>
  <si>
    <t>leola sullivan timber sale implementation colville national forest sullivan lake ranger district pend oreille county wa</t>
  </si>
  <si>
    <t>Draft(02/02/1990);Final(07/31/1992)</t>
  </si>
  <si>
    <t>klamath hydroelectric project continued operation for hydropower license ferc no. 2082-27 klamath river klamath county or and siskiyou county ca</t>
  </si>
  <si>
    <t>Draft(10/06/2006);Final(11/23/2007)</t>
  </si>
  <si>
    <t>https://arizona.app.box.com/file/386233347340</t>
  </si>
  <si>
    <t>https://arizona.app.box.com/file/386217721898</t>
  </si>
  <si>
    <t>project1140</t>
  </si>
  <si>
    <t>white-tailed deer management plan to develop a white-trailed deer management that supports long-term protection preservation and restoration of native vegetation and other natural and cultural resource in rock creek park washington dc</t>
  </si>
  <si>
    <t>Final(01/13/2012);Draft(07/31/2009)</t>
  </si>
  <si>
    <t>https://arizona.app.box.com/file/386246630205</t>
  </si>
  <si>
    <t>https://arizona.app.box.com/file/386242300577</t>
  </si>
  <si>
    <t>white-tailed deer management plan development of a deer management strategy that supports protection preservation and restoration of native vegetation implementation valley forge national historical park chester and montgomery counties pa</t>
  </si>
  <si>
    <t>Final(08/28/2009)</t>
  </si>
  <si>
    <t>https://arizona.app.box.com/file/386240730551</t>
  </si>
  <si>
    <t>white-tailed deer management plan develop a deer management strategy that support protection preservation and restoration of native vegetation implementation valley forge national historical park king of prussia pa</t>
  </si>
  <si>
    <t>Draft(12/19/2008)</t>
  </si>
  <si>
    <t>https://arizona.app.box.com/file/386243907271</t>
  </si>
  <si>
    <t>cuyahoga valley national park white-tailed deer management plan</t>
  </si>
  <si>
    <t>https://arizona.app.box.com/file/389152773139</t>
  </si>
  <si>
    <t>white-tailed deer management plan implementation catocin mountain park frederick and washington counties md</t>
  </si>
  <si>
    <t>Draft(12/01/2006)</t>
  </si>
  <si>
    <t>https://arizona.app.box.com/file/386249465861</t>
  </si>
  <si>
    <t>project1141</t>
  </si>
  <si>
    <t>wi-15 expansion from new london to greenville funding us army coe 404 permit outagamie county wi</t>
  </si>
  <si>
    <t>Final(03/26/2010);Draft(01/26/2007)</t>
  </si>
  <si>
    <t>Draft(01/26/2007);Final(03/26/2010)</t>
  </si>
  <si>
    <t>https://arizona.app.box.com/file/386218055640</t>
  </si>
  <si>
    <t>https://arizona.app.box.com/file/386218175026</t>
  </si>
  <si>
    <t>us 45 bypass construction around the city of new london funding and 404 permit outagamie county wi</t>
  </si>
  <si>
    <t>Final(02/23/1990);Draft(02/19/1988)</t>
  </si>
  <si>
    <t>us 264/wilson bypass construction us 264 west of wilson to us 264 to greenville east of wilson funding section 404 permit wilson county nc</t>
  </si>
  <si>
    <t>Final(09/27/1991)</t>
  </si>
  <si>
    <t>i-15 corridor project transportation improvements from montana city to the lincoln road interchange funding and us army coe section 404 permit issuance jefferson and lewis &amp; clark counties mt</t>
  </si>
  <si>
    <t>Final(11/21/2003)</t>
  </si>
  <si>
    <t>https://arizona.app.box.com/file/386242560991</t>
  </si>
  <si>
    <t>interstate 15 corridor project transportation improvements from montana city to the lincoln road interchange funding and us army coe section 404 permit issuance jefferson and lewis &amp; clark counties mt</t>
  </si>
  <si>
    <t>Draft(02/21/2003)</t>
  </si>
  <si>
    <t>https://arizona.app.box.com/file/386229040953</t>
  </si>
  <si>
    <t>project1142</t>
  </si>
  <si>
    <t>wild cramer forest health and fuels reduction project flathead national forest</t>
  </si>
  <si>
    <t>Draft(08/24/2012);Final(06/21/2013)</t>
  </si>
  <si>
    <t>Final(06/21/2013)</t>
  </si>
  <si>
    <t>https://arizona.app.box.com/file/389153576695</t>
  </si>
  <si>
    <t>wild cramer forest health and fuels reduction project swan lake ranger district flathead national forest flathead county mt</t>
  </si>
  <si>
    <t>Draft(08/24/2012)</t>
  </si>
  <si>
    <t>https://arizona.app.box.com/file/389163484129</t>
  </si>
  <si>
    <t>big grizzly fuels reduction and forest health project proposes vegetation treatments eldorado national forest georgetown ranger district georgetown ca</t>
  </si>
  <si>
    <t>Draft(02/05/2010);Final(06/25/2010)</t>
  </si>
  <si>
    <t>https://arizona.app.box.com/file/389164160929</t>
  </si>
  <si>
    <t>https://arizona.app.box.com/file/389151911622</t>
  </si>
  <si>
    <t>cooney mckay forest health and fuels reduction project proposed to restore desirable vegetative conditions swan valley near condon swan lake ranger district flathead national forest lake and missoula counties mt</t>
  </si>
  <si>
    <t>Final(05/02/2008);Draft(12/14/2007)</t>
  </si>
  <si>
    <t>https://arizona.app.box.com/file/389163277516</t>
  </si>
  <si>
    <t>https://arizona.app.box.com/file/389151266838</t>
  </si>
  <si>
    <t>american and crooked rivers project forest health improvements and hazardous fuels reduction nez perce national forest red river ranger district idaho county id</t>
  </si>
  <si>
    <t>Draft(06/11/2004)</t>
  </si>
  <si>
    <t>https://arizona.app.box.com/file/389150836238</t>
  </si>
  <si>
    <t>project1143</t>
  </si>
  <si>
    <t>willapa national wildlife refuge draft comprehensive conservation plan implementation pacific county wa</t>
  </si>
  <si>
    <t>Final(08/12/2011);Draft(01/21/2011)</t>
  </si>
  <si>
    <t>Draft(01/21/2011);Final(08/12/2011)</t>
  </si>
  <si>
    <t>https://arizona.app.box.com/file/389161673931</t>
  </si>
  <si>
    <t>https://arizona.app.box.com/file/389165630656</t>
  </si>
  <si>
    <t>monomoy national wildlife refuge draft comprehensive conservation plan</t>
  </si>
  <si>
    <t>Draft(04/18/2014)</t>
  </si>
  <si>
    <t>https://arizona.app.box.com/file/389260786583</t>
  </si>
  <si>
    <t>https://arizona.app.box.com/file/389155429244</t>
  </si>
  <si>
    <t>deer flat national wildlife refuge draft comprehensive conservation plan</t>
  </si>
  <si>
    <t>Draft(03/15/2013)</t>
  </si>
  <si>
    <t>https://arizona.app.box.com/file/389264007657</t>
  </si>
  <si>
    <t>https://arizona.app.box.com/file/389167626193</t>
  </si>
  <si>
    <t>kenai national wildlife refuge draft revised comprehensive conservation plan implementation ak</t>
  </si>
  <si>
    <t>Draft(06/06/2008);Final(09/18/2009)</t>
  </si>
  <si>
    <t>https://arizona.app.box.com/file/389167798930</t>
  </si>
  <si>
    <t>malheur national wildlife refuge comprehensive conservation plan implementation harney county wa</t>
  </si>
  <si>
    <t>Draft(03/16/2012)</t>
  </si>
  <si>
    <t>https://arizona.app.box.com/file/389171958578</t>
  </si>
  <si>
    <t>project1145</t>
  </si>
  <si>
    <t>willow creek pass fuel reduction project implementation hahns peak/bear ears ranger district medicine bow-routt national forests routt county co</t>
  </si>
  <si>
    <t>Draft(08/21/2009);Final(07/16/2010)</t>
  </si>
  <si>
    <t>https://arizona.app.box.com/file/389151894807</t>
  </si>
  <si>
    <t>https://arizona.app.box.com/file/389137176131</t>
  </si>
  <si>
    <t>south fork salvage analysis area implementation routt divide blowdown land and resource management plan medicine bow-routt national forests hahns peak/bears ears ranger district rounty county co</t>
  </si>
  <si>
    <t>Draft(01/08/1999)</t>
  </si>
  <si>
    <t>https://arizona.app.box.com/file/386244244066</t>
  </si>
  <si>
    <t>south fork salvage analysis area implementation routt divide blowdown land and resource management plan medicine bow-routt national forest hahns peak/bears ears ranger district rounty county co</t>
  </si>
  <si>
    <t>Final(07/23/1999)</t>
  </si>
  <si>
    <t>bark beetle analysis proposal to reduce infestation of trees by tree-killing bark beetles medicine bow-routt national forests hahns peak/bear ears ranger district routt grand jackson and moffat counties co</t>
  </si>
  <si>
    <t>Final(04/12/2002)</t>
  </si>
  <si>
    <t>https://arizona.app.box.com/file/386272971721</t>
  </si>
  <si>
    <t>upper elk river access analysis implementation proposal to remove and/or treat blowndown trees routt divide blowdown medicine bow-routt national forests hahn peak/bear ears ranger district routt county co</t>
  </si>
  <si>
    <t>Final Supplement(06/25/1999)</t>
  </si>
  <si>
    <t>project1146</t>
  </si>
  <si>
    <t>wilton rancheria fee-to-trust and casino project</t>
  </si>
  <si>
    <t>Final(12/16/2016);Draft(01/15/2016)</t>
  </si>
  <si>
    <t>BIA</t>
  </si>
  <si>
    <t>https://arizona.app.box.com/file/389163500984</t>
  </si>
  <si>
    <t>https://arizona.app.box.com/file/386216552746</t>
  </si>
  <si>
    <t>https://arizona.app.box.com/file/386215347199</t>
  </si>
  <si>
    <t>adoption-wilton rancheria</t>
  </si>
  <si>
    <t>Final(09/14/2018)</t>
  </si>
  <si>
    <t>NIGC</t>
  </si>
  <si>
    <t>https://arizona.app.box.com/file/389178740302</t>
  </si>
  <si>
    <t>cloverdale rancheria of pomo indians fee-to-trust and resort casino project</t>
  </si>
  <si>
    <t>https://arizona.app.box.com/file/389266673178</t>
  </si>
  <si>
    <t>https://arizona.app.box.com/file/389138262839</t>
  </si>
  <si>
    <t>north fork rancheria of mono indians fee-to-trust and casino/hotel project proposed 305-acres-fee-to-trust land acquisition in unincorporated madera county ca</t>
  </si>
  <si>
    <t>Draft(02/15/2008);Final(08/06/2010)</t>
  </si>
  <si>
    <t>https://arizona.app.box.com/file/386245140110</t>
  </si>
  <si>
    <t>https://arizona.app.box.com/file/386216775615</t>
  </si>
  <si>
    <t>ho-chunk nation, fee-to-trust and casino project</t>
  </si>
  <si>
    <t>Draft(11/09/2018)</t>
  </si>
  <si>
    <t>https://arizona.app.box.com/file/389268847838</t>
  </si>
  <si>
    <t>project1147</t>
  </si>
  <si>
    <t>windy gap firming project construct a new water storage reservoir to deliver water to front range and west slope communities and industries funding npdes and us army coe section 404 permit grand and larimer counties co</t>
  </si>
  <si>
    <t>Draft(08/29/2008);Final(12/09/2011)</t>
  </si>
  <si>
    <t>https://arizona.app.box.com/file/386217065207</t>
  </si>
  <si>
    <t>https://arizona.app.box.com/file/386240484879</t>
  </si>
  <si>
    <t>colorado-big thompson windy gap projects green mountain reservoir water marketing implementation and 404 permit summit grand and eagle counties co</t>
  </si>
  <si>
    <t>Final Supplement(04/01/1988)</t>
  </si>
  <si>
    <t>hunter reservoir enlargement project reconstruction and enlargement ute water conservancy district us army coe section 404 permit grand mesa national forest mesa county co</t>
  </si>
  <si>
    <t>Draft(07/20/2007)</t>
  </si>
  <si>
    <t>https://arizona.app.box.com/file/389166261199</t>
  </si>
  <si>
    <t>rocky mountain national park elk and vegetation management plan implementation grand and larimer counties co</t>
  </si>
  <si>
    <t>Final(01/04/2008);Draft(05/05/2006)</t>
  </si>
  <si>
    <t>https://arizona.app.box.com/file/386246450325</t>
  </si>
  <si>
    <t>long draw reservoir project re-issue a special-use-authorization to water supply and storage to allow the continued use of long draw reservoir and dam arapaho and roosevelt national forests and pawnee national grassland grand and larimer counties co</t>
  </si>
  <si>
    <t>Final(03/27/2009);Draft(03/28/2008)</t>
  </si>
  <si>
    <t>https://arizona.app.box.com/file/389137923124</t>
  </si>
  <si>
    <t>project1152</t>
  </si>
  <si>
    <t>wrangell island project</t>
  </si>
  <si>
    <t>Final(07/14/2017);Draft(06/03/2016)</t>
  </si>
  <si>
    <t>Draft(06/03/2016)</t>
  </si>
  <si>
    <t>https://arizona.app.box.com/file/389175311137</t>
  </si>
  <si>
    <t>https://arizona.app.box.com/file/386246569642</t>
  </si>
  <si>
    <t>kuakan timber sale timber harvesting in the kuakan project area implementation deer island within the wrangell ranger district stikine area of the tongass national forest ak</t>
  </si>
  <si>
    <t>Draft(07/09/1999);Final(04/28/2000)</t>
  </si>
  <si>
    <t>navy timber sale project to address the potential effects of timber harvesting on etolin island wrangell ranger district tongass national forest ak</t>
  </si>
  <si>
    <t>Draft(11/30/2007);Final(04/24/2009)</t>
  </si>
  <si>
    <t>https://arizona.app.box.com/file/389158605766</t>
  </si>
  <si>
    <t>https://arizona.app.box.com/file/389165693534</t>
  </si>
  <si>
    <t>baht timber sale project proposes to harvest timber and temporary road construction on zarembo island wrangell ranger district tongass national forest ak</t>
  </si>
  <si>
    <t>Final(09/14/2007);Draft(11/03/2006)</t>
  </si>
  <si>
    <t>https://arizona.app.box.com/file/389160096971</t>
  </si>
  <si>
    <t>https://arizona.app.box.com/file/389134998852</t>
  </si>
  <si>
    <t>wrangell-st. elias national park and preserve mining operations management plan implementation ak</t>
  </si>
  <si>
    <t>Final(06/08/1990);Draft(04/14/1989)</t>
  </si>
  <si>
    <t>project1153</t>
  </si>
  <si>
    <t>wright area coal lease project applications for leasing six tracts of federal coal reserves adjacent to the black thunder jacob ranch and north antelope rochelle mines wyoming powder river basin campbell county wy</t>
  </si>
  <si>
    <t>Final(07/30/2010);Draft(06/26/2009)</t>
  </si>
  <si>
    <t>https://arizona.app.box.com/file/386242695236</t>
  </si>
  <si>
    <t>https://arizona.app.box.com/file/386240067551</t>
  </si>
  <si>
    <t>south powder river basin coal project lease application for five federal coal tracts: naro north/south (north antelope/rochelle mine complex) little thunder (black thunder mine) west roundup (north rochelle mine) and west antelope (antelope mine) campbell and converse counties wy</t>
  </si>
  <si>
    <t>Final(12/24/2003);Draft(02/07/2003)</t>
  </si>
  <si>
    <t>https://arizona.app.box.com/file/386242092284</t>
  </si>
  <si>
    <t>https://arizona.app.box.com/file/386239092887</t>
  </si>
  <si>
    <t>south gillette area coal lease applications wyw172585 wyw173360 wyw172657 wyw161248 proposal to lease four tracts of federal coal reserves belle ayr coal creek caballo and cordero rojo mines wyoming powder river basin campbell county wy</t>
  </si>
  <si>
    <t>Final(08/17/2009);Draft(10/24/2008)</t>
  </si>
  <si>
    <t>https://arizona.app.box.com/file/386239962386</t>
  </si>
  <si>
    <t>eagle butte west coal lease application issuance of lease for a tract of federal coal wyoming powder river basin campbell county wy</t>
  </si>
  <si>
    <t>Final(08/31/2007);Draft(10/20/2006)</t>
  </si>
  <si>
    <t>https://arizona.app.box.com/file/386246707349</t>
  </si>
  <si>
    <t>north rochelle mine application for federal coal lease (wyw127221) special-use-permits and npdes permit campbell county wy</t>
  </si>
  <si>
    <t>Final(04/18/1997);Draft(11/08/1996)</t>
  </si>
  <si>
    <t>project1154</t>
  </si>
  <si>
    <t>wyoming greater sage-grouse proposed land use plan amendments</t>
  </si>
  <si>
    <t>Final(05/29/2015);Draft(12/27/2013)</t>
  </si>
  <si>
    <t>utah greater sage-grouse proposed land use plan amendments</t>
  </si>
  <si>
    <t>https://arizona.app.box.com/file/389168655793</t>
  </si>
  <si>
    <t>oregon greater sage-grouse proposed land use plan amendments</t>
  </si>
  <si>
    <t>https://arizona.app.box.com/file/389153263907</t>
  </si>
  <si>
    <t>https://arizona.app.box.com/file/386211877715</t>
  </si>
  <si>
    <t>wyoming greater sage-grouse draft land use plan amendment</t>
  </si>
  <si>
    <t>https://arizona.app.box.com/file/389162456287</t>
  </si>
  <si>
    <t>northwest colorado greater sage-grouse proposed land use plan amendments</t>
  </si>
  <si>
    <t>https://arizona.app.box.com/file/389173265304</t>
  </si>
  <si>
    <t>project1156</t>
  </si>
  <si>
    <t>yellowstone national park winter use plan to establish a management framework implementation wy mt and id</t>
  </si>
  <si>
    <t>Final(11/04/2011);Draft(05/20/2011)</t>
  </si>
  <si>
    <t>yellowstone national park draft winter use plan to establish a management framework implementation wy mt and id</t>
  </si>
  <si>
    <t>nan Multi</t>
  </si>
  <si>
    <t>https://arizona.app.box.com/file/386245120695</t>
  </si>
  <si>
    <t>yellowstone and grand teton national parks and the john d. rockefeller jr. memorial parkway winter use plan to provide a framework for managing winter use activities implementation fremont county id gallatin and park counties mt park and teton counties wy</t>
  </si>
  <si>
    <t>Draft(04/06/2007);Final(10/05/2007)</t>
  </si>
  <si>
    <t>https://arizona.app.box.com/file/389152078408</t>
  </si>
  <si>
    <t>https://arizona.app.box.com/file/389137914331</t>
  </si>
  <si>
    <t>yellowstone national park draft winter use plan addressing the issue of oversnow vehichle use in the interior of the park implementation wy mt and id</t>
  </si>
  <si>
    <t>Draft Supplement(07/06/2012)</t>
  </si>
  <si>
    <t>https://arizona.app.box.com/file/386245179220</t>
  </si>
  <si>
    <t>yellowstone and grand teton national parks and john d. rockefeller jr. memorial parkway winter use plan implementation fremont county id; gallatin and park counties mt ; and park and teton counties wy</t>
  </si>
  <si>
    <t>Final(10/20/2000)</t>
  </si>
  <si>
    <t>project1159</t>
  </si>
  <si>
    <t>yukon flats national wildlife refuge project federal and public land exchange right-of-way grant anchorage ak</t>
  </si>
  <si>
    <t>Draft(01/25/2008);Final(03/12/2010)</t>
  </si>
  <si>
    <t>yukon flats national wildlife refuge project proposed federal and public land exchange right-of-way grant anchorage ak</t>
  </si>
  <si>
    <t>https://arizona.app.box.com/file/389162442428</t>
  </si>
  <si>
    <t>https://arizona.app.box.com/file/389165160309</t>
  </si>
  <si>
    <t>yukon flats national wildlife refuge comprehensiveconservation plan wilderness review implementation ak</t>
  </si>
  <si>
    <t>Final(11/27/1987)</t>
  </si>
  <si>
    <t>wolf lake area natural gas pipeline project construction approval of right-of-way grant and coe section 404 permit kenai national wildlife refuge ak</t>
  </si>
  <si>
    <t>Draft(11/19/1999)</t>
  </si>
  <si>
    <t>izembek national wildlife national wildlife refuge land exchange/road corridor</t>
  </si>
  <si>
    <t>Final(02/15/2013)</t>
  </si>
  <si>
    <t>https://arizona.app.box.com/file/389267520986</t>
  </si>
  <si>
    <t>https://arizona.app.box.com/file/389171603992</t>
  </si>
  <si>
    <t>yukon delta national wildlife refuge long term management plan and wilderness review implementation</t>
  </si>
  <si>
    <t>Final(02/05/1988);Draft(06/05/1987)</t>
  </si>
  <si>
    <t>project116</t>
  </si>
  <si>
    <t>brac beddown and flight operations of remotely piloted aircraft at grand forks afb, nd</t>
  </si>
  <si>
    <t>Final(07/23/2010);Draft(01/15/2010)</t>
  </si>
  <si>
    <t>USAF</t>
  </si>
  <si>
    <t>grand forks air force base project beddown and flight operations of remotely piloted aircraft base realignment and closure (brac) nd</t>
  </si>
  <si>
    <t>https://arizona.app.box.com/file/386245815300</t>
  </si>
  <si>
    <t>https://arizona.app.box.com/file/386259875617</t>
  </si>
  <si>
    <t>https://arizona.app.box.com/file/386244263229</t>
  </si>
  <si>
    <t>cannon air force base (afb) proposal to beddown or locate air force special operations command (afsoc) implementation base realignment and closure (brac) nm</t>
  </si>
  <si>
    <t>Draft(03/30/2007);Final(07/20/2007)</t>
  </si>
  <si>
    <t>https://arizona.app.box.com/file/386244248243</t>
  </si>
  <si>
    <t>east grand forks minnesota and grand forks north dakota flood control and flood protection red river basin mn and nd</t>
  </si>
  <si>
    <t>Final(11/06/1998);Draft(08/21/1998)</t>
  </si>
  <si>
    <t>columbia road overpass widening gateway drive to 32nd avenue south funding grand forks county nd</t>
  </si>
  <si>
    <t>Final(05/13/1988);Draft(11/20/1987)</t>
  </si>
  <si>
    <t>f-35a training basing to base a pilot training center with the beddown of f-35a training aircraft at four alternative bases boise ags holloman afd luke afb and tucson ags id az nm</t>
  </si>
  <si>
    <t>https://arizona.app.box.com/file/389264031895</t>
  </si>
  <si>
    <t>project119</t>
  </si>
  <si>
    <t>brevard county florida hurricane and storm damage reduction project to reduce the damages caused by erosion and coastal storms to shorefront structures along the mid-reach segment implementation brevard county fl</t>
  </si>
  <si>
    <t>Final(12/30/2011);Draft(11/13/2009)</t>
  </si>
  <si>
    <t>Final(12/30/2011);Draft Supplement(11/13/2009)</t>
  </si>
  <si>
    <t>https://arizona.app.box.com/file/386232469560</t>
  </si>
  <si>
    <t>https://arizona.app.box.com/file/386246579203</t>
  </si>
  <si>
    <t>martin county florida hurricane and storm damage reduction project beach nourishment project authorizes construction of a protective and recreational beach along 4 miles of shorefront hutchinson island martin county fl</t>
  </si>
  <si>
    <t>Draft Supplement(11/05/2010)</t>
  </si>
  <si>
    <t>https://arizona.app.box.com/file/386267254318</t>
  </si>
  <si>
    <t>palm beach county beach erosion control project protective beach construction along the mid-town segment implementation palm beach county fl</t>
  </si>
  <si>
    <t>Draft Supplement(07/24/1992)</t>
  </si>
  <si>
    <t>martin county hurricane and storm damage reduction project section 404 permit hutchinson island martin county fl</t>
  </si>
  <si>
    <t>Final Supplement(09/02/2011)</t>
  </si>
  <si>
    <t>https://arizona.app.box.com/file/386246418089</t>
  </si>
  <si>
    <t>project120</t>
  </si>
  <si>
    <t>bridgeport travel management project to provide the primary framework for sustainable management of motor vehicle use on the bridgeport ranger district humboldt-toiyabe national forest mono county ca and lyon douglas and mineral counties nv</t>
  </si>
  <si>
    <t>Final(03/26/2010);Draft(07/31/2009)</t>
  </si>
  <si>
    <t>NV CA</t>
  </si>
  <si>
    <t>https://arizona.app.box.com/file/389137967182</t>
  </si>
  <si>
    <t>https://arizona.app.box.com/file/389165036805</t>
  </si>
  <si>
    <t>great basin creek south rangeland management projects management of 12 livestock grazing allotments bridgeport ranger district humboldt-toiyabe national forest lyon and mineral counties nv and mono county ca</t>
  </si>
  <si>
    <t>Final(10/12/2007)</t>
  </si>
  <si>
    <t>https://arizona.app.box.com/file/389160234299</t>
  </si>
  <si>
    <t>great basin creek south rangeland management projects management of 12 livestock grazing allotments bridgeport ranger district lyon and mineral counties nv and mono county ca</t>
  </si>
  <si>
    <t>Draft(01/19/2007)</t>
  </si>
  <si>
    <t>https://arizona.app.box.com/file/389164811813</t>
  </si>
  <si>
    <t>geothermal leasing on the humboldt-toiyabe national forest to facilitate the development and production of geothermal energy ely austin tonopah and bridgeport ranger districts nv</t>
  </si>
  <si>
    <t>Final(10/05/2012);Draft(12/30/2011)</t>
  </si>
  <si>
    <t>https://arizona.app.box.com/file/389151282209</t>
  </si>
  <si>
    <t>https://arizona.app.box.com/file/389263310530</t>
  </si>
  <si>
    <t>inyo national forest motorized travel management project implementation inyo mineral mono and esmeralda counties ca</t>
  </si>
  <si>
    <t>Draft(01/30/2009)</t>
  </si>
  <si>
    <t>https://arizona.app.box.com/file/389162278517</t>
  </si>
  <si>
    <t>project121</t>
  </si>
  <si>
    <t>brooks river visitor access katmai national park and preserve ak</t>
  </si>
  <si>
    <t>Final(02/08/2013);Draft(06/22/2012)</t>
  </si>
  <si>
    <t>Final(02/08/2013)</t>
  </si>
  <si>
    <t>https://arizona.app.box.com/file/389268013659</t>
  </si>
  <si>
    <t>https://arizona.app.box.com/file/389162552921</t>
  </si>
  <si>
    <t>brooks river area development use and management plan implementation katmai national park ak</t>
  </si>
  <si>
    <t>Draft(04/29/1994);Final(10/04/1996)</t>
  </si>
  <si>
    <t>brooks river visitor access to improve visitor access and relocate the barge landing site brook river area of katmai national park reserve ak</t>
  </si>
  <si>
    <t>Draft(06/22/2012)</t>
  </si>
  <si>
    <t>https://arizona.app.box.com/file/386244420710</t>
  </si>
  <si>
    <t>brooks river area katmai national park and preserve development concept plan updated information concerning a new proposal alternative for beaver pond terrace implementation ak</t>
  </si>
  <si>
    <t>Draft Supplement(06/16/1995)</t>
  </si>
  <si>
    <t>katmai national park and preserve wilderness recommendations designation or nondesignation ak</t>
  </si>
  <si>
    <t>Draft(06/17/1988);Final(10/14/1988)</t>
  </si>
  <si>
    <t>project122</t>
  </si>
  <si>
    <t>brunswick naval air station disposal and reuse implementation brunswick me</t>
  </si>
  <si>
    <t>Final(11/26/2010);Draft(05/07/2010)</t>
  </si>
  <si>
    <t>https://arizona.app.box.com/file/389162730892</t>
  </si>
  <si>
    <t>https://arizona.app.box.com/file/389165570929</t>
  </si>
  <si>
    <t>dallas naval air station disposal and reuse implementation city of dallas tx</t>
  </si>
  <si>
    <t>Draft(07/14/1995)</t>
  </si>
  <si>
    <t>agana naval air station disposal and reuse implementation guam</t>
  </si>
  <si>
    <t>Draft(04/09/1999);Final(12/30/1999)</t>
  </si>
  <si>
    <t>GU</t>
  </si>
  <si>
    <t>brooklyn naval station disposal and reuse implementation king county ny</t>
  </si>
  <si>
    <t>Final(08/11/2000)</t>
  </si>
  <si>
    <t>barbers point naval air station disposal and reuse of land facilities hi</t>
  </si>
  <si>
    <t>Draft(08/28/1998);Final(02/05/1999)</t>
  </si>
  <si>
    <t>project124</t>
  </si>
  <si>
    <t>buckskin mine hay creek ii project coal lease application wyw-172684 wyoming powder river basin campbell county wy</t>
  </si>
  <si>
    <t>Draft(03/12/2010);Final(07/29/2011)</t>
  </si>
  <si>
    <t>https://arizona.app.box.com/file/386240935095</t>
  </si>
  <si>
    <t>https://arizona.app.box.com/file/386239998295</t>
  </si>
  <si>
    <t>-voided - buckskin mine hay creek ii project coal lease application wyw-172684 wyoming powder river basin campbell county wy</t>
  </si>
  <si>
    <t>Final(08/12/2011)</t>
  </si>
  <si>
    <t>west hay creek coal lease application (wyw151634) leasing federal coal tract to the buckskin mine powder river basin campbell county wy</t>
  </si>
  <si>
    <t>Final(06/11/2004);Draft(03/28/2003)</t>
  </si>
  <si>
    <t>https://arizona.app.box.com/file/386239458150</t>
  </si>
  <si>
    <t>https://arizona.app.box.com/file/386233770829</t>
  </si>
  <si>
    <t>north jacobs ranch coal lease application (wyw 146744) federal coal tract located in the powder river basin campbell county wy</t>
  </si>
  <si>
    <t>Final(08/24/2001);Draft(12/15/2000)</t>
  </si>
  <si>
    <t>https://arizona.app.box.com/file/386216769863</t>
  </si>
  <si>
    <t>project129</t>
  </si>
  <si>
    <t>bwcaw non-native invasive plant management project</t>
  </si>
  <si>
    <t>Draft(02/01/2013);Final(08/30/2013)</t>
  </si>
  <si>
    <t>Final(08/30/2013)</t>
  </si>
  <si>
    <t>https://arizona.app.box.com/file/389268116683</t>
  </si>
  <si>
    <t>https://arizona.app.box.com/file/389170249198</t>
  </si>
  <si>
    <t>boundary waters canoe area wilderness (bwcaw) non-native plant management project cook lake and st. louis counties mn</t>
  </si>
  <si>
    <t>Draft(02/01/2013)</t>
  </si>
  <si>
    <t>https://arizona.app.box.com/file/389152909102</t>
  </si>
  <si>
    <t>mt. baker-snoqualmie invasive plant management</t>
  </si>
  <si>
    <t>https://arizona.app.box.com/file/389262059256</t>
  </si>
  <si>
    <t>https://arizona.app.box.com/file/389152895438</t>
  </si>
  <si>
    <t>supplement to the final eis for invasive plant control project</t>
  </si>
  <si>
    <t>Final Supplement(05/11/2018)</t>
  </si>
  <si>
    <t>https://arizona.app.box.com/file/389172482052</t>
  </si>
  <si>
    <t>https://arizona.app.box.com/file/386248652334</t>
  </si>
  <si>
    <t>salmon-challis national forest invasive plant treatment</t>
  </si>
  <si>
    <t>Final(11/13/2015);Draft(02/13/2015)</t>
  </si>
  <si>
    <t>https://arizona.app.box.com/file/389268310851</t>
  </si>
  <si>
    <t>https://arizona.app.box.com/file/389153007089</t>
  </si>
  <si>
    <t>https://arizona.app.box.com/file/389165741273</t>
  </si>
  <si>
    <t>https://arizona.app.box.com/file/386241317762</t>
  </si>
  <si>
    <t>project130</t>
  </si>
  <si>
    <t>cabin gulch vegetation treatment project restore fire-adapted ecosystems existing and desired conditions townsend ranger district helena national forest broadwater county mt</t>
  </si>
  <si>
    <t>Final(03/16/2012);Draft(08/04/2006)</t>
  </si>
  <si>
    <t>Revised Draft(03/27/2009);Final(03/16/2012)</t>
  </si>
  <si>
    <t>https://arizona.app.box.com/file/389150826031</t>
  </si>
  <si>
    <t>https://arizona.app.box.com/file/389163574867</t>
  </si>
  <si>
    <t>cabin gulch vegetation treatment project restore fire-adapted ecosystems. reduce hazardous fuels and water quality tributaries to deep creek helena national forest townsend ranger district broadwater county mt</t>
  </si>
  <si>
    <t>Draft(08/04/2006)</t>
  </si>
  <si>
    <t>https://arizona.app.box.com/file/386248772709</t>
  </si>
  <si>
    <t>wagner-atlanta vegetation treatment project implementation helena national forest townsend ranger district meagher county mt</t>
  </si>
  <si>
    <t>Final(08/04/1995);Draft(02/03/1995)</t>
  </si>
  <si>
    <t>north belts travel plan/maypie confederate vegetation restoration project improvements helena national forest townsend and helena ranger district broadwater lewis and clark and meagher county mt</t>
  </si>
  <si>
    <t>Draft(04/23/1999)</t>
  </si>
  <si>
    <t>diamond vegetation management project to shift existing conditions toward desired future conditions mt. hough ranger district plumas national forest plumas county ca</t>
  </si>
  <si>
    <t>https://arizona.app.box.com/file/386257178845</t>
  </si>
  <si>
    <t>project133</t>
  </si>
  <si>
    <t>calcasieu lock louisiana feasibility study</t>
  </si>
  <si>
    <t>Draft(10/04/2013);Final(06/20/2014)</t>
  </si>
  <si>
    <t>https://arizona.app.box.com/file/389259092964</t>
  </si>
  <si>
    <t>https://arizona.app.box.com/file/389166508334</t>
  </si>
  <si>
    <t>https://arizona.app.box.com/file/389264382807</t>
  </si>
  <si>
    <t>https://arizona.app.box.com/file/389163614693</t>
  </si>
  <si>
    <t>calcasieu pass project</t>
  </si>
  <si>
    <t>Final(11/02/2018);Draft(06/29/2018)</t>
  </si>
  <si>
    <t>https://arizona.app.box.com/file/389174734046</t>
  </si>
  <si>
    <t>https://arizona.app.box.com/file/386244630103</t>
  </si>
  <si>
    <t>https://arizona.app.box.com/file/389178918707</t>
  </si>
  <si>
    <t>https://arizona.app.box.com/file/386216186322</t>
  </si>
  <si>
    <t>adoption - calcasieu pass project</t>
  </si>
  <si>
    <t>Final(11/09/2018)</t>
  </si>
  <si>
    <t>https://arizona.app.box.com/file/389265659975</t>
  </si>
  <si>
    <t>convey atchafalaya river water to northern terrebonne marshes and multipurpose operation of houma navigation lock integrated feasibility study louisiana coastal area (lca) implementation lafourche terrebonne st. mary parish la</t>
  </si>
  <si>
    <t>Draft(05/21/2010);Final(10/08/2010)</t>
  </si>
  <si>
    <t>https://arizona.app.box.com/file/386252116910</t>
  </si>
  <si>
    <t>https://arizona.app.box.com/file/386249550598</t>
  </si>
  <si>
    <t>calcasieu river and pass louisiana dredged material management plan implementation calcasieu ship channel port of lake charles calcasieu and cameron parishes la</t>
  </si>
  <si>
    <t>Draft Supplement(05/22/2009)</t>
  </si>
  <si>
    <t>https://arizona.app.box.com/file/386235249934</t>
  </si>
  <si>
    <t>project134</t>
  </si>
  <si>
    <t>calexico west land port of entry in calexico expansion of reconfiguration implementation ca</t>
  </si>
  <si>
    <t>Final(06/03/2011);Draft(06/18/2010)</t>
  </si>
  <si>
    <t>https://arizona.app.box.com/file/386241984331</t>
  </si>
  <si>
    <t>https://arizona.app.box.com/file/386213645216</t>
  </si>
  <si>
    <t>us-7 expressway project construction between ca-98 to interstate 8 improve access to the new calexico east port of entry funding and coe section 404 permit imperial county ca</t>
  </si>
  <si>
    <t>Draft(11/27/1998)</t>
  </si>
  <si>
    <t>us 7 expressway project construction between ca-98 to i-8 access improvements to the new calexico east port of entry funding and uscoe section 404 permit issuance imperial county ca</t>
  </si>
  <si>
    <t>Final(11/09/2000)</t>
  </si>
  <si>
    <t>https://arizona.app.box.com/file/386246599562</t>
  </si>
  <si>
    <t>san ysidro land port of entry improvements project</t>
  </si>
  <si>
    <t>Final Supplement(05/30/2014);Draft Supplement(09/28/2018)</t>
  </si>
  <si>
    <t>https://arizona.app.box.com/file/389178733169</t>
  </si>
  <si>
    <t>https://arizona.app.box.com/file/386238209262</t>
  </si>
  <si>
    <t>https://arizona.app.box.com/file/389266256137</t>
  </si>
  <si>
    <t>new madawaska land port of entry and international bridge project</t>
  </si>
  <si>
    <t>Draft Supplement(12/07/2018)</t>
  </si>
  <si>
    <t>https://arizona.app.box.com/file/389179786674</t>
  </si>
  <si>
    <t>project135</t>
  </si>
  <si>
    <t>calico solar project solar thermal electricity generation facility located public lands construction and operation right-of-way grant san bernardino county ca</t>
  </si>
  <si>
    <t>k road moapa solar facility construction and operation of a 350mw solar generation facility approval of right-of-way applications clark county nv</t>
  </si>
  <si>
    <t>Final(03/16/2012)</t>
  </si>
  <si>
    <t>https://arizona.app.box.com/file/386212210034</t>
  </si>
  <si>
    <t>project136</t>
  </si>
  <si>
    <t>california high speed train project fresno to bakersfield section</t>
  </si>
  <si>
    <t>Final(04/25/2014);Draft(08/12/2011)</t>
  </si>
  <si>
    <t>Final(04/25/2014)</t>
  </si>
  <si>
    <t>https://arizona.app.box.com/file/389267630814</t>
  </si>
  <si>
    <t>https://arizona.app.box.com/file/389169927500</t>
  </si>
  <si>
    <t>california high-speed train (hst): fresno to bakersfield section high-speed train</t>
  </si>
  <si>
    <t>https://arizona.app.box.com/file/389169072860</t>
  </si>
  <si>
    <t>adoption - california high-speed train: merced to fresno section</t>
  </si>
  <si>
    <t>Final(04/19/2013)</t>
  </si>
  <si>
    <t>STB</t>
  </si>
  <si>
    <t>https://arizona.app.box.com/file/389263937128</t>
  </si>
  <si>
    <t>california high-speed train (hst): fresno to bakersfield section high-speed train proposes to construct operate and maintain an electric-powered high-speed train (hst) fresno kings tulare and kern counties ca</t>
  </si>
  <si>
    <t>Draft(08/12/2011)</t>
  </si>
  <si>
    <t>https://arizona.app.box.com/file/386253021295</t>
  </si>
  <si>
    <t>california high-speed train (hst): fresno to bakersfield section high-speed train reintroducing alignment alternatives and an additional alternative through the bakersfield area usace section 10 and 404 permits fresno kings tulare and kern counties ca</t>
  </si>
  <si>
    <t>Draft Supplement(07/20/2012)</t>
  </si>
  <si>
    <t>https://arizona.app.box.com/file/386218431923</t>
  </si>
  <si>
    <t>project14</t>
  </si>
  <si>
    <t>alcatraz ferry embarkation</t>
  </si>
  <si>
    <t>Final(01/23/2017);Draft(02/20/2015)</t>
  </si>
  <si>
    <t>Final(01/23/2017);Draft(02/27/2015)</t>
  </si>
  <si>
    <t>https://arizona.app.box.com/file/389267849327</t>
  </si>
  <si>
    <t>https://arizona.app.box.com/file/389165081364</t>
  </si>
  <si>
    <t>https://arizona.app.box.com/file/389176328186</t>
  </si>
  <si>
    <t>https://arizona.app.box.com/file/386216624265</t>
  </si>
  <si>
    <t>alcatraz island historic preservation and safety construction program protection and implementation san francisco county ca</t>
  </si>
  <si>
    <t>Draft(04/13/2001)</t>
  </si>
  <si>
    <t>https://arizona.app.box.com/file/386239574208</t>
  </si>
  <si>
    <t>alcatraz island historic preservation and safety construction program protection and implementation san franscisco county ca</t>
  </si>
  <si>
    <t>Final(10/26/2001)</t>
  </si>
  <si>
    <t>https://arizona.app.box.com/file/386222464985</t>
  </si>
  <si>
    <t>downtown san francisco ferry terminal expansion project</t>
  </si>
  <si>
    <t>Final(09/05/2014);Draft(06/07/2013)</t>
  </si>
  <si>
    <t>https://arizona.app.box.com/file/389263187517</t>
  </si>
  <si>
    <t>https://arizona.app.box.com/file/389152491219</t>
  </si>
  <si>
    <t>https://arizona.app.box.com/file/389260227383</t>
  </si>
  <si>
    <t>oakland outer and inner harbor deep draft navigation improvements alcatraz dredged material disposal site changed conditions implementation alameda county ca</t>
  </si>
  <si>
    <t>Final Supplement(03/25/1988)</t>
  </si>
  <si>
    <t>project140</t>
  </si>
  <si>
    <t>cameron liquefaction project</t>
  </si>
  <si>
    <t>Final(05/09/2014);Draft(01/17/2014)</t>
  </si>
  <si>
    <t>Final(05/09/2014)</t>
  </si>
  <si>
    <t>https://arizona.app.box.com/file/389262388129</t>
  </si>
  <si>
    <t>https://arizona.app.box.com/file/389162536266</t>
  </si>
  <si>
    <t>adoption - cameron liquefaction project</t>
  </si>
  <si>
    <t>cameron lng liquefaction project</t>
  </si>
  <si>
    <t>Draft(01/17/2014)</t>
  </si>
  <si>
    <t>https://arizona.app.box.com/file/389264098061</t>
  </si>
  <si>
    <t>https://arizona.app.box.com/file/389170111783</t>
  </si>
  <si>
    <t>lake charles liquefaction project</t>
  </si>
  <si>
    <t>Final(08/21/2015);Draft(04/17/2015)</t>
  </si>
  <si>
    <t>https://arizona.app.box.com/file/389268803438</t>
  </si>
  <si>
    <t>https://arizona.app.box.com/file/389169409485</t>
  </si>
  <si>
    <t>https://arizona.app.box.com/file/389166510132</t>
  </si>
  <si>
    <t>https://arizona.app.box.com/file/386235116168</t>
  </si>
  <si>
    <t>gulf lng liquefaction project</t>
  </si>
  <si>
    <t>Draft(11/23/2018)</t>
  </si>
  <si>
    <t>https://arizona.app.box.com/file/389174869261</t>
  </si>
  <si>
    <t>project141</t>
  </si>
  <si>
    <t>camp tatiyee land exchange</t>
  </si>
  <si>
    <t>Draft(06/05/2015);Final(01/23/2017)</t>
  </si>
  <si>
    <t>Final(01/23/2017)</t>
  </si>
  <si>
    <t>https://arizona.app.box.com/file/389171382893</t>
  </si>
  <si>
    <t>camp tatiyee land exchange - 0100 #5004</t>
  </si>
  <si>
    <t>Draft(06/05/2015)</t>
  </si>
  <si>
    <t>https://arizona.app.box.com/file/389172367740</t>
  </si>
  <si>
    <t>https://arizona.app.box.com/file/386240699110</t>
  </si>
  <si>
    <t>school trust land exchange</t>
  </si>
  <si>
    <t>Draft(08/11/2017)</t>
  </si>
  <si>
    <t>https://arizona.app.box.com/file/389168646845</t>
  </si>
  <si>
    <t>https://arizona.app.box.com/file/386216665065</t>
  </si>
  <si>
    <t>mammoth base area land exchange</t>
  </si>
  <si>
    <t>Final(08/31/2018)</t>
  </si>
  <si>
    <t>https://arizona.app.box.com/file/389174575477</t>
  </si>
  <si>
    <t>northmet mining project and land exchange project</t>
  </si>
  <si>
    <t>Draft Supplement(12/13/2013)</t>
  </si>
  <si>
    <t>https://arizona.app.box.com/file/389256931836</t>
  </si>
  <si>
    <t>https://arizona.app.box.com/file/389171372419</t>
  </si>
  <si>
    <t>project143</t>
  </si>
  <si>
    <t>cano martin pena ecosystem restoration project</t>
  </si>
  <si>
    <t>Final(02/19/2016);Draft(09/11/2015)</t>
  </si>
  <si>
    <t>PR</t>
  </si>
  <si>
    <t>tobias ecosystem restoration project</t>
  </si>
  <si>
    <t>Draft(04/08/2016)</t>
  </si>
  <si>
    <t>https://arizona.app.box.com/file/389164614363</t>
  </si>
  <si>
    <t>https://arizona.app.box.com/file/386239354048</t>
  </si>
  <si>
    <t>skokomish river ecosystem restoration</t>
  </si>
  <si>
    <t>Final(09/25/2015);Draft(02/21/2014)</t>
  </si>
  <si>
    <t>https://arizona.app.box.com/file/389262903355</t>
  </si>
  <si>
    <t>https://arizona.app.box.com/file/389170185166</t>
  </si>
  <si>
    <t>https://arizona.app.box.com/file/389174108434</t>
  </si>
  <si>
    <t>https://arizona.app.box.com/file/386214860936</t>
  </si>
  <si>
    <t>martin dam hydroelectric project relicensing</t>
  </si>
  <si>
    <t>https://arizona.app.box.com/file/389263370155</t>
  </si>
  <si>
    <t>https://arizona.app.box.com/file/389161143061</t>
  </si>
  <si>
    <t>malibu creek ecosystem restoration</t>
  </si>
  <si>
    <t>Draft(01/27/2017)</t>
  </si>
  <si>
    <t>https://arizona.app.box.com/file/389174253405</t>
  </si>
  <si>
    <t>https://arizona.app.box.com/file/386211625616</t>
  </si>
  <si>
    <t>highway 89 safety enhancement and forest ecosystem restoration project</t>
  </si>
  <si>
    <t>Final(03/30/2018)</t>
  </si>
  <si>
    <t>https://arizona.app.box.com/file/389177471090</t>
  </si>
  <si>
    <t>project146</t>
  </si>
  <si>
    <t>cape lookout national seashore off-road vehicle management plan</t>
  </si>
  <si>
    <t>Final(12/09/2016);Draft(05/23/2014)</t>
  </si>
  <si>
    <t>https://arizona.app.box.com/file/389265803078</t>
  </si>
  <si>
    <t>https://arizona.app.box.com/file/389167567266</t>
  </si>
  <si>
    <t>https://arizona.app.box.com/file/389173365009</t>
  </si>
  <si>
    <t>https://arizona.app.box.com/file/386237809513</t>
  </si>
  <si>
    <t>cape hatteras national seashore off-road vehicle management plan implementation nc</t>
  </si>
  <si>
    <t>Draft(03/12/2010);Final(11/19/2010)</t>
  </si>
  <si>
    <t>https://arizona.app.box.com/file/386242308049</t>
  </si>
  <si>
    <t>https://arizona.app.box.com/file/386230942772</t>
  </si>
  <si>
    <t>lake meredith national recreation area off-road vehicle management plan</t>
  </si>
  <si>
    <t>Final(01/16/2015)</t>
  </si>
  <si>
    <t>https://arizona.app.box.com/file/389264959828</t>
  </si>
  <si>
    <t>glen canyon national recreation area off-road vehicle management plan</t>
  </si>
  <si>
    <t>Draft(01/03/2014);Final(01/13/2017)</t>
  </si>
  <si>
    <t>AZ Multi</t>
  </si>
  <si>
    <t>https://arizona.app.box.com/file/389264627975</t>
  </si>
  <si>
    <t>https://arizona.app.box.com/file/389138370839</t>
  </si>
  <si>
    <t>https://arizona.app.box.com/file/389170972288</t>
  </si>
  <si>
    <t>https://arizona.app.box.com/file/386217537215</t>
  </si>
  <si>
    <t>cape cod national seashore general management plan implementation barnstable county ma</t>
  </si>
  <si>
    <t>Final(02/27/1998);Draft(09/06/1996)</t>
  </si>
  <si>
    <t>project149</t>
  </si>
  <si>
    <t>cattle point road realignment project to maintain vehicular bicycle and pedestrian road access san juan island national historical park and cattle point natural resources conservation area san juan county wa</t>
  </si>
  <si>
    <t>Final(10/05/2012);Draft(09/03/2010)</t>
  </si>
  <si>
    <t>https://arizona.app.box.com/file/386229700885</t>
  </si>
  <si>
    <t>https://arizona.app.box.com/file/386241411715</t>
  </si>
  <si>
    <t>san juan island national historical park general management plan implementation wa</t>
  </si>
  <si>
    <t>Final(10/31/2008);Draft(01/18/2008)</t>
  </si>
  <si>
    <t>https://arizona.app.box.com/file/386246731391</t>
  </si>
  <si>
    <t>https://arizona.app.box.com/file/386242637131</t>
  </si>
  <si>
    <t>san juan resource area resource management plan implementation san juan county ut</t>
  </si>
  <si>
    <t>Final(12/18/1987)</t>
  </si>
  <si>
    <t>san francisco maritime national historical park general management plan implementation san francisco county ca</t>
  </si>
  <si>
    <t>Draft(08/02/1996);Final(09/05/1997)</t>
  </si>
  <si>
    <t>https://arizona.app.box.com/file/386218758668</t>
  </si>
  <si>
    <t>falls road realignment and reconstruction permit approval san bernardino national forest san bernardino county ca</t>
  </si>
  <si>
    <t>Final(06/30/1995);Draft(03/03/1995)</t>
  </si>
  <si>
    <t>project150</t>
  </si>
  <si>
    <t>cedar creek and belle grove national historical park general management plan implementation frederick shenandoah warren counties va</t>
  </si>
  <si>
    <t>Final(01/21/2011);Draft(11/28/2008)</t>
  </si>
  <si>
    <t>https://arizona.app.box.com/file/386218972616</t>
  </si>
  <si>
    <t>https://arizona.app.box.com/file/386240954339</t>
  </si>
  <si>
    <t>shenandoah valley battlefields national historic district management plan implementation several counties va</t>
  </si>
  <si>
    <t>Final(08/18/2000);Draft(04/14/2000)</t>
  </si>
  <si>
    <t>https://arizona.app.box.com/file/386235743085</t>
  </si>
  <si>
    <t>https://arizona.app.box.com/file/386244413880</t>
  </si>
  <si>
    <t>sitka national historical park general management plan implementation city and borough of sitka ak</t>
  </si>
  <si>
    <t>Draft(06/26/1998);Final(10/16/1998)</t>
  </si>
  <si>
    <t>project152</t>
  </si>
  <si>
    <t>celatom mine expansion project proposal to approve or approve with condition authorized mine plan of operation permit harney and malheur counties or</t>
  </si>
  <si>
    <t>Final(05/04/2012);Draft(04/08/2011)</t>
  </si>
  <si>
    <t>https://arizona.app.box.com/file/386227146387</t>
  </si>
  <si>
    <t>https://arizona.app.box.com/file/386245851703</t>
  </si>
  <si>
    <t>malheur national forest land and resource management plan implementation grant malheur baker and harney counties or</t>
  </si>
  <si>
    <t>Draft(08/14/1987);Final(06/08/1990)</t>
  </si>
  <si>
    <t>three rivers resource management plan implementation malheur harney grant crook and lake counties or</t>
  </si>
  <si>
    <t>Draft(11/09/1989);Final(09/27/1991)</t>
  </si>
  <si>
    <t>malheur national wildlife refuge comprehensive conservation plan harney county wa</t>
  </si>
  <si>
    <t>Final(12/21/2012)</t>
  </si>
  <si>
    <t>https://arizona.app.box.com/file/389257434042</t>
  </si>
  <si>
    <t>project154</t>
  </si>
  <si>
    <t>center-wide operations at the kennedy space center</t>
  </si>
  <si>
    <t>Final(12/30/2016);Draft(03/18/2016)</t>
  </si>
  <si>
    <t>NASA</t>
  </si>
  <si>
    <t>programmatic -kennedy space center, center-wide operations</t>
  </si>
  <si>
    <t>Draft(03/18/2016)</t>
  </si>
  <si>
    <t>https://arizona.app.box.com/file/389166968467</t>
  </si>
  <si>
    <t>https://arizona.app.box.com/file/386245662277</t>
  </si>
  <si>
    <t>international space research park (isrp) new research and developmental use at the john f. kennedy space center brevard county fl</t>
  </si>
  <si>
    <t>Draft(02/06/2004);Final(07/23/2004)</t>
  </si>
  <si>
    <t>https://arizona.app.box.com/file/386243622820</t>
  </si>
  <si>
    <t>https://arizona.app.box.com/file/386247419432</t>
  </si>
  <si>
    <t>cp district-wide salvage project</t>
  </si>
  <si>
    <t>https://arizona.app.box.com/file/389165553441</t>
  </si>
  <si>
    <t>https://arizona.app.box.com/file/386231519085</t>
  </si>
  <si>
    <t>advance solid rocket motor program design construction and operation site selection john c. stennis space center hancock co. ms; yellow creek site tishomingo co. ms; john f. kennedy space center brevard co. fl; michoud assembly facility new orl</t>
  </si>
  <si>
    <t>Final(03/17/1989);Draft(12/23/1988)</t>
  </si>
  <si>
    <t>purchase of land in hancock county mississippi for a naval special operations forces training range to improve riverine and jungle training availability john c. stennis space center hancock county ms</t>
  </si>
  <si>
    <t>Final(08/06/2004);Draft(01/30/2004)</t>
  </si>
  <si>
    <t>https://arizona.app.box.com/file/389171762519</t>
  </si>
  <si>
    <t>https://arizona.app.box.com/file/389139053939</t>
  </si>
  <si>
    <t>project156</t>
  </si>
  <si>
    <t>central everglades planning project</t>
  </si>
  <si>
    <t>Final(08/08/2014);Draft(08/30/2013)</t>
  </si>
  <si>
    <t>https://arizona.app.box.com/file/389263190669</t>
  </si>
  <si>
    <t>https://arizona.app.box.com/file/389167077199</t>
  </si>
  <si>
    <t>https://arizona.app.box.com/file/389259920693</t>
  </si>
  <si>
    <t>https://arizona.app.box.com/file/389171201197</t>
  </si>
  <si>
    <t>adoption - central everglades planning program</t>
  </si>
  <si>
    <t>Final(12/02/2016)</t>
  </si>
  <si>
    <t>https://arizona.app.box.com/file/389171491736</t>
  </si>
  <si>
    <t>https://arizona.app.box.com/file/386238109139</t>
  </si>
  <si>
    <t>everglades national park modified water deliveries implementation central and southern florida project dade county fl</t>
  </si>
  <si>
    <t>Final(07/10/1992);Draft(08/10/1990)</t>
  </si>
  <si>
    <t>port everglades harbor navigation improvements</t>
  </si>
  <si>
    <t>https://arizona.app.box.com/file/389264783634</t>
  </si>
  <si>
    <t>https://arizona.app.box.com/file/389163230225</t>
  </si>
  <si>
    <t>east everglades expansion area, land acquisition</t>
  </si>
  <si>
    <t>Final(12/04/2015)</t>
  </si>
  <si>
    <t>https://arizona.app.box.com/file/389167429150</t>
  </si>
  <si>
    <t>https://arizona.app.box.com/file/386239004046</t>
  </si>
  <si>
    <t>project157</t>
  </si>
  <si>
    <t>central ferry-lower monumental 500-kilovolt transmission line project</t>
  </si>
  <si>
    <t>Final(02/18/2011);Draft(07/02/2010)</t>
  </si>
  <si>
    <t>central ferry-lower monumental 500-kilovolt transmission line project proposing to construct operate and maintain a 38 to 40-mile-long 500-kilovolt (kv) transmission line garfield columbia and walla walla counties wa</t>
  </si>
  <si>
    <t>Final(02/18/2011)</t>
  </si>
  <si>
    <t>https://arizona.app.box.com/file/386227240895</t>
  </si>
  <si>
    <t>central ferry-lower monumental 500-kilovolt transimission line project proposing to construct operate and maintain a 38 to 40-mile-long 500-kilovolt (kv) transmission line garfield columbia and walla walla counties wa</t>
  </si>
  <si>
    <t>Draft(07/02/2010)</t>
  </si>
  <si>
    <t>https://arizona.app.box.com/file/386243362708</t>
  </si>
  <si>
    <t>schultz-hanford transmission line project new 500 kilovolt (kv) transmission line construction central washington north of hanford connecting to existing line at the schultz substation kittitas yakima grant and benton counties wa</t>
  </si>
  <si>
    <t>Draft(02/08/2002)</t>
  </si>
  <si>
    <t>https://arizona.app.box.com/file/386227425586</t>
  </si>
  <si>
    <t>schultz-hanford transmission line project new 500 kilovolt (kv) transmission line construction central washington north of hanford connecting to an existing line at the schultz substation kittitas yakima grant and benton counties wa</t>
  </si>
  <si>
    <t>Final(01/31/2003)</t>
  </si>
  <si>
    <t>https://arizona.app.box.com/file/386217088483</t>
  </si>
  <si>
    <t>kangley-echo lake transmission line project new 500-kilovolt (kv) transmission line construction coe section 10 and 404 permits (doe/eis-0317) king county wa</t>
  </si>
  <si>
    <t>Final(06/20/2003)</t>
  </si>
  <si>
    <t>https://arizona.app.box.com/file/386239058738</t>
  </si>
  <si>
    <t>project158</t>
  </si>
  <si>
    <t>central florida phosphate district phosphate mining</t>
  </si>
  <si>
    <t>Final(05/03/2013);Draft(06/01/2012)</t>
  </si>
  <si>
    <t>Final(05/03/2013)</t>
  </si>
  <si>
    <t>https://arizona.app.box.com/file/389257914317</t>
  </si>
  <si>
    <t>https://arizona.app.box.com/file/389162081589</t>
  </si>
  <si>
    <t>addendum to the final areawide eis on phosphate mining in the central florida phosphate district</t>
  </si>
  <si>
    <t>Revised Final(07/12/2013)</t>
  </si>
  <si>
    <t>https://arizona.app.box.com/file/389262813970</t>
  </si>
  <si>
    <t>https://arizona.app.box.com/file/389161998579</t>
  </si>
  <si>
    <t>central florida phosphate district phosphate mining to expand existing mines and create new phosphate mines issuance of permits usace section 404 permit charlotte desoto hardee lee menatee polk and sarasota counties fl</t>
  </si>
  <si>
    <t>https://arizona.app.box.com/file/386246606228</t>
  </si>
  <si>
    <t>cf mining complex ii open pit phosphate mine and beneficiation plan construction and operation npdes and 404 permits hardee county fl</t>
  </si>
  <si>
    <t>Final(12/15/1989);Draft(06/24/1988)</t>
  </si>
  <si>
    <t>EPA</t>
  </si>
  <si>
    <t>pcs phosphate mine continuation proposes continue mining of the phosphate reserve in an economically viable fashion beaufort county nc</t>
  </si>
  <si>
    <t>Draft(10/20/2006)</t>
  </si>
  <si>
    <t>https://arizona.app.box.com/file/386249298343</t>
  </si>
  <si>
    <t>project160</t>
  </si>
  <si>
    <t>central valley project municipal and industrial water shortage policy</t>
  </si>
  <si>
    <t>Final(09/18/2015);Draft(11/28/2014)</t>
  </si>
  <si>
    <t>Final(09/18/2015)</t>
  </si>
  <si>
    <t>https://arizona.app.box.com/file/389169293406</t>
  </si>
  <si>
    <t>bonneville unit central utah project municipal and industrial water system construction and modifications 404 permit issuance updated information ut</t>
  </si>
  <si>
    <t>Final Supplement(03/27/1987)</t>
  </si>
  <si>
    <t>central valley project municipal and industrial water supply contracts under public law 101-514 (section 206) sacramento county water agency and san juan water district city of folsom sacramento county ca</t>
  </si>
  <si>
    <t>Draft(07/18/1997);Final(12/24/1998)</t>
  </si>
  <si>
    <t>east bay municipal utility district supplemental water supply project american river division of the central valley project (cvp) sacramento county ca</t>
  </si>
  <si>
    <t>Final(12/15/2000);Draft(11/07/1997)</t>
  </si>
  <si>
    <t>https://arizona.app.box.com/file/386239052866</t>
  </si>
  <si>
    <t>sandstone dam and reservoir construction municipal agricultural and industrial water supply project 404 permit savery creek carbon county wy</t>
  </si>
  <si>
    <t>Draft(03/04/1988)</t>
  </si>
  <si>
    <t>project163</t>
  </si>
  <si>
    <t>charles m. russell national wildlife refuge and ul bend national wildlife refuge comprehensive conservation plan to provide alternatives and identify consequences fergus petroleum garfield mccone valley and phillips counties mt</t>
  </si>
  <si>
    <t>Draft(09/24/2010);Final(05/18/2012)</t>
  </si>
  <si>
    <t>Final(05/18/2012)</t>
  </si>
  <si>
    <t>https://arizona.app.box.com/file/389138690845</t>
  </si>
  <si>
    <t>charles m. russell national wildlife refuge and ul bend national wildlife refuge comprehensive conservation plan to provide alternatives and identify consequences fergus petroleum garfield mccore valley and phillips counties mt</t>
  </si>
  <si>
    <t>Draft(09/24/2010)</t>
  </si>
  <si>
    <t>https://arizona.app.box.com/file/389164072625</t>
  </si>
  <si>
    <t>judith-valley-phillips comprehensive resource management plan implementation lewistown district judith basin fergus petroleum phillips and valley counties mt</t>
  </si>
  <si>
    <t>Final(12/04/1992);Draft(07/12/1991)</t>
  </si>
  <si>
    <t>judith-valley-phillips comprehensive resource management plan new information addressing oil and gas leasing on federal minerals implementation lewistown district judith basn fergus petroleum phillips and valley counties mt</t>
  </si>
  <si>
    <t>Draft Supplement(05/08/1998)</t>
  </si>
  <si>
    <t>arctic national wildlife refuge revised comprehensive conservation plan</t>
  </si>
  <si>
    <t>Revised Final(02/06/2015)</t>
  </si>
  <si>
    <t>https://arizona.app.box.com/file/389169464705</t>
  </si>
  <si>
    <t>https://arizona.app.box.com/file/389262453311</t>
  </si>
  <si>
    <t>https://arizona.app.box.com/file/389153026289</t>
  </si>
  <si>
    <t>project164</t>
  </si>
  <si>
    <t>charleston harbor post 45</t>
  </si>
  <si>
    <t>Final(07/10/2015);Draft(10/10/2014)</t>
  </si>
  <si>
    <t>https://arizona.app.box.com/file/389267383822</t>
  </si>
  <si>
    <t>https://arizona.app.box.com/file/389162400789</t>
  </si>
  <si>
    <t>https://arizona.app.box.com/file/389163975658</t>
  </si>
  <si>
    <t>https://arizona.app.box.com/file/386225989409</t>
  </si>
  <si>
    <t>charleston naval complex (cnc) proposed construction of a marine container terminal cooper river in charleston harbor city of north charleston charleston county sc</t>
  </si>
  <si>
    <t>Draft(10/21/2005);Final(12/15/2006)</t>
  </si>
  <si>
    <t>https://arizona.app.box.com/file/386252529430</t>
  </si>
  <si>
    <t>https://arizona.app.box.com/file/386246220784</t>
  </si>
  <si>
    <t>adoption - charleston naval complex (cnc) proposed construction of a marine container terminal cooper river in charleston harbor, city of north charleston, charleston county, sc</t>
  </si>
  <si>
    <t>Final(06/29/2018)</t>
  </si>
  <si>
    <t>Department of Homeland Security</t>
  </si>
  <si>
    <t>https://arizona.app.box.com/file/386226484594</t>
  </si>
  <si>
    <t>charleston navel base disposal and reuse implementation charleston and dorchester counties sc</t>
  </si>
  <si>
    <t>Draft(10/28/1994);Final(06/23/1995)</t>
  </si>
  <si>
    <t>trinity post fire hazard reduction and salvage</t>
  </si>
  <si>
    <t>Final(09/22/2017);Draft(03/17/2017)</t>
  </si>
  <si>
    <t>https://arizona.app.box.com/file/389176167042</t>
  </si>
  <si>
    <t>https://arizona.app.box.com/file/386245332300</t>
  </si>
  <si>
    <t>https://arizona.app.box.com/file/389164653116</t>
  </si>
  <si>
    <t>project165</t>
  </si>
  <si>
    <t>chatfield reservoir storage reallocation</t>
  </si>
  <si>
    <t>Draft(06/15/2012);Final(08/02/2013)</t>
  </si>
  <si>
    <t>Final(08/02/2013)</t>
  </si>
  <si>
    <t>https://arizona.app.box.com/file/389261847525</t>
  </si>
  <si>
    <t>https://arizona.app.box.com/file/389138213441</t>
  </si>
  <si>
    <t>john redmond dam and reservoir storage reallocation</t>
  </si>
  <si>
    <t>Final Supplement(02/22/2013)</t>
  </si>
  <si>
    <t>KS</t>
  </si>
  <si>
    <t>https://arizona.app.box.com/file/389170657381</t>
  </si>
  <si>
    <t>chatfield reservoir storage reallocation to reallocate 20 600 acre-feet of storage from the exclusive flood control pool to the conservation pool funding adams/weld county line co</t>
  </si>
  <si>
    <t>https://arizona.app.box.com/file/389257424964</t>
  </si>
  <si>
    <t>https://arizona.app.box.com/file/386264538891</t>
  </si>
  <si>
    <t>curwensville lake water storage reallocation implementation susquehanna river basin susquehanna river clearfield county pa</t>
  </si>
  <si>
    <t>Final(06/12/1992);Draft(01/03/1992)</t>
  </si>
  <si>
    <t>east reservoir</t>
  </si>
  <si>
    <t>Second Final(08/08/2014)</t>
  </si>
  <si>
    <t>https://arizona.app.box.com/file/389259393903</t>
  </si>
  <si>
    <t>project166</t>
  </si>
  <si>
    <t>chester county stream and riparian/restoration enhancement project</t>
  </si>
  <si>
    <t>Final(12/05/2014);Draft(09/12/2014)</t>
  </si>
  <si>
    <t>resurrection creek phase ii: stream and riparian restoration project and hope mining company proposed mining plan of operations</t>
  </si>
  <si>
    <t>Final(04/03/2015)</t>
  </si>
  <si>
    <t>https://arizona.app.box.com/file/389264595739</t>
  </si>
  <si>
    <t>https://arizona.app.box.com/file/389162965836</t>
  </si>
  <si>
    <t>resurrection creek stream and riparian restoration project recovery of riparian areas fish and wildlife habitat chugach national forest seward ranger district kenai peninsula borough ak</t>
  </si>
  <si>
    <t>Draft(04/09/2004)</t>
  </si>
  <si>
    <t>https://arizona.app.box.com/file/389150371890</t>
  </si>
  <si>
    <t>resurrection creek stream and riparian restoration project proposes to accelerate the recovery of riparian areas fish and wildlife habitat chugach national forest seward ranger district kenai peninsula borough ak</t>
  </si>
  <si>
    <t>Final(11/12/2004)</t>
  </si>
  <si>
    <t>https://arizona.app.box.com/file/389159768925</t>
  </si>
  <si>
    <t>resurrection creek phase ii stream and riparian restoration project and hope mining company proposed mining plan of operations seward ranger district chugach national forest kenai peninsula borough alaska</t>
  </si>
  <si>
    <t>Draft(07/23/2010)</t>
  </si>
  <si>
    <t>https://arizona.app.box.com/file/389165334727</t>
  </si>
  <si>
    <t>project167</t>
  </si>
  <si>
    <t>chevron energy solutions lucerne valley solar project proposing to develop a 45-megawatt (mw) solar photovotaic (pv) plant and associated facilities on 516 acres of federal land managed california desert conservation area plan amendment san bernardino county ca</t>
  </si>
  <si>
    <t>Draft(02/19/2010);Final(08/13/2010)</t>
  </si>
  <si>
    <t>https://arizona.app.box.com/file/386242508328</t>
  </si>
  <si>
    <t>https://arizona.app.box.com/file/386239963539</t>
  </si>
  <si>
    <t>granite mountain wind energy project proposed to develop an up to 84-megawatt wind energy plant and associated facilities on public land and private land california desert conservation areas plan san bernardino county ca</t>
  </si>
  <si>
    <t>Draft(04/02/2010)</t>
  </si>
  <si>
    <t>https://arizona.app.box.com/file/386213718832</t>
  </si>
  <si>
    <t>west mojave plan habitat conservation plan and federal land use plan amendment implementation california desert conservation area portion of san bernardino kern inyo and los angeles counties ca</t>
  </si>
  <si>
    <t>Final(04/01/2005)</t>
  </si>
  <si>
    <t>https://arizona.app.box.com/file/386239904695</t>
  </si>
  <si>
    <t>coachella valley california desert conservation area plan amendment and santa rosa and san jacinto mountains trails management plan implementation riverside and san bernardino county ca</t>
  </si>
  <si>
    <t>Draft(06/07/2002)</t>
  </si>
  <si>
    <t>https://arizona.app.box.com/file/386216475702</t>
  </si>
  <si>
    <t>coachella valley california desert conservation area plan amendment santa rosa and san jacinto mountains trails management plan implementation riverside and san bernardino counties ca</t>
  </si>
  <si>
    <t>Final(10/18/2002)</t>
  </si>
  <si>
    <t>project169</t>
  </si>
  <si>
    <t>chicago to st. louis high speed rail program tier 1 improvements several counties il and st. louis county mo</t>
  </si>
  <si>
    <t>Draft(07/06/2012);Final(11/09/2012)</t>
  </si>
  <si>
    <t>IA</t>
  </si>
  <si>
    <t>IA IL</t>
  </si>
  <si>
    <t>https://arizona.app.box.com/file/386216456388</t>
  </si>
  <si>
    <t>https://arizona.app.box.com/file/389259597178</t>
  </si>
  <si>
    <t>https://arizona.app.box.com/file/386248468101</t>
  </si>
  <si>
    <t>chicago-st. louis high-speed rail project improvements from chicago to st. louis passenger transportation network enhancements npdes permit and us army coe section 404 permit several counties il and st. louis county mo</t>
  </si>
  <si>
    <t>https://arizona.app.box.com/file/386240722498</t>
  </si>
  <si>
    <t>chicago-st. louis high-speed rail project improvement from chicago to st. louis to enhance the passenger transportation network npdes permit and coe section 404 permit several counties il and st. louis county mo</t>
  </si>
  <si>
    <t>Draft(06/23/2000)</t>
  </si>
  <si>
    <t>https://arizona.app.box.com/file/386243991105</t>
  </si>
  <si>
    <t>high speed rail empire corridor tier 1</t>
  </si>
  <si>
    <t>Draft(01/31/2014)</t>
  </si>
  <si>
    <t>https://arizona.app.box.com/file/389264066670</t>
  </si>
  <si>
    <t>https://arizona.app.box.com/file/389159540067</t>
  </si>
  <si>
    <t>interstate 70 corridor improvements kansas city to st. louis funding us army coe section 404 and section 10 and us coast guard section 9 permits issuance several counties mo</t>
  </si>
  <si>
    <t>Draft(08/10/2001)</t>
  </si>
  <si>
    <t>https://arizona.app.box.com/file/386240969332</t>
  </si>
  <si>
    <t>project171</t>
  </si>
  <si>
    <t>chimney rock national monument management plan</t>
  </si>
  <si>
    <t>Final(08/21/2015);Draft(01/16/2015)</t>
  </si>
  <si>
    <t>Draft(01/16/2015)</t>
  </si>
  <si>
    <t>https://arizona.app.box.com/file/389268397409</t>
  </si>
  <si>
    <t>https://arizona.app.box.com/file/389172564438</t>
  </si>
  <si>
    <t>rock creek mine project</t>
  </si>
  <si>
    <t>Final Supplement(07/20/2018)</t>
  </si>
  <si>
    <t>https://arizona.app.box.com/file/389171902460</t>
  </si>
  <si>
    <t>https://arizona.app.box.com/file/386233112029</t>
  </si>
  <si>
    <t>colorado national monument general management plan implementation mesa county co</t>
  </si>
  <si>
    <t>Final(06/24/2005);Draft(05/07/2004)</t>
  </si>
  <si>
    <t>https://arizona.app.box.com/file/386231003955</t>
  </si>
  <si>
    <t>https://arizona.app.box.com/file/386218929253</t>
  </si>
  <si>
    <t>pipestone national monument general management plan implementation pipestone county mn</t>
  </si>
  <si>
    <t>Final(04/04/2008);Draft(03/16/2007)</t>
  </si>
  <si>
    <t>https://arizona.app.box.com/file/386241324925</t>
  </si>
  <si>
    <t>https://arizona.app.box.com/file/386246537408</t>
  </si>
  <si>
    <t>fort matanzas national monument final general management plan</t>
  </si>
  <si>
    <t>Final(06/13/2014)</t>
  </si>
  <si>
    <t>https://arizona.app.box.com/file/389257475838</t>
  </si>
  <si>
    <t>https://arizona.app.box.com/file/389137689415</t>
  </si>
  <si>
    <t>project172</t>
  </si>
  <si>
    <t>chincoteague and wallops island national wildlife refuge final ccp</t>
  </si>
  <si>
    <t>Final(09/18/2015);Draft(05/23/2014)</t>
  </si>
  <si>
    <t>https://arizona.app.box.com/file/389162988971</t>
  </si>
  <si>
    <t>https://arizona.app.box.com/file/386230395887</t>
  </si>
  <si>
    <t>chincoteague and wallops island national wildlife refuges draft comprehensive conservation plan</t>
  </si>
  <si>
    <t>Draft(05/23/2014)</t>
  </si>
  <si>
    <t>https://arizona.app.box.com/file/389162566841</t>
  </si>
  <si>
    <t>upper mississippi national wildlife and fish refuge comprehensive conservation plan (ccp) implementation mn wi il and ia</t>
  </si>
  <si>
    <t>Draft(05/13/2005)</t>
  </si>
  <si>
    <t>https://arizona.app.box.com/file/389161651715</t>
  </si>
  <si>
    <t>crab orchard national wildlife refuge comprehensive conservation plan (ccp) implementation williamson jackson and unicon counties il</t>
  </si>
  <si>
    <t>Final(09/08/2006);Draft(11/04/2005)</t>
  </si>
  <si>
    <t>https://arizona.app.box.com/file/389151848618</t>
  </si>
  <si>
    <t>https://arizona.app.box.com/file/389151751661</t>
  </si>
  <si>
    <t>chincoteague national wildlife refuge (nwr) comprehensive management and development plan implementation and land acquisition accomack co. va and worcester co. md</t>
  </si>
  <si>
    <t>Final(09/11/1992);Draft(02/21/1992)</t>
  </si>
  <si>
    <t>project174</t>
  </si>
  <si>
    <t>city of denison land conveyance lake texoma to convey a parcel of federally-owned land at lake texoma ok and tx to the city of denison tx grayson and cooke counties tx and portion of bryan marshall johnston and love counties ok</t>
  </si>
  <si>
    <t>Draft(11/04/2011);Final(07/27/2012)</t>
  </si>
  <si>
    <t>Final(07/27/2012)</t>
  </si>
  <si>
    <t>https://arizona.app.box.com/file/389263796905</t>
  </si>
  <si>
    <t>city of denison land conveyance lake texoma to develop recreational and economic needs grayson and cooke counties tx and portion of bryan marshall johnston and love counties ok</t>
  </si>
  <si>
    <t>Draft(11/04/2011)</t>
  </si>
  <si>
    <t>OK</t>
  </si>
  <si>
    <t>https://arizona.app.box.com/file/386246727495</t>
  </si>
  <si>
    <t>denison dam - lake texoma reevaluation plan</t>
  </si>
  <si>
    <t>Draft(04/10/1987)</t>
  </si>
  <si>
    <t>cooke city area mineral withdrawal implementation gallatin and custer national forests cooke city park county mt</t>
  </si>
  <si>
    <t>Final(07/11/1997);Draft(03/14/1997)</t>
  </si>
  <si>
    <t>https://arizona.app.box.com/file/386214870048</t>
  </si>
  <si>
    <t>pittsburg and midway coal mining proposal (wyw 148816) exchange private owned land p&amp;m for federally-owned coal lincoln carbon and sheridan counties wy</t>
  </si>
  <si>
    <t>Draft(05/24/2002);Final(08/22/2003)</t>
  </si>
  <si>
    <t>https://arizona.app.box.com/file/386245210661</t>
  </si>
  <si>
    <t>https://arizona.app.box.com/file/386239547671</t>
  </si>
  <si>
    <t>project176</t>
  </si>
  <si>
    <t>clark lincoln and white pine counties groundwater development project construction and operation of pipeline system and associated infrastructure right-of-way application clark lincoln white pine nv</t>
  </si>
  <si>
    <t>Draft(06/10/2011);Final(08/03/2012)</t>
  </si>
  <si>
    <t>https://arizona.app.box.com/file/386240672106</t>
  </si>
  <si>
    <t>https://arizona.app.box.com/file/386243332477</t>
  </si>
  <si>
    <t>kane springs valley groundwater development project to construct infrastructure required to pump and convey groundwater resources right-of-way application lincoln county water district lincoln county nv</t>
  </si>
  <si>
    <t>Draft(06/22/2007);Final(02/08/2008)</t>
  </si>
  <si>
    <t>https://arizona.app.box.com/file/386240094977</t>
  </si>
  <si>
    <t>https://arizona.app.box.com/file/386248094842</t>
  </si>
  <si>
    <t>lincoln county land act (lcla) groundwater development and utility right-of-way project implementation to grant a right-of-way permit for groundwater development and utility facilities lincoln county nv</t>
  </si>
  <si>
    <t>Draft(05/23/2008);Final(05/01/2009)</t>
  </si>
  <si>
    <t>https://arizona.app.box.com/file/386246701500</t>
  </si>
  <si>
    <t>https://arizona.app.box.com/file/386215490512</t>
  </si>
  <si>
    <t>alamogordo regional water supply project construction and operation groundwater wells and conveyance system right-of-way application otero county nm</t>
  </si>
  <si>
    <t>ely energy center construction and operation 1500 mw coal-fired power plant and associated features white pine lincoln clark nye elko and nevada counties nv</t>
  </si>
  <si>
    <t>Draft(01/02/2009)</t>
  </si>
  <si>
    <t>https://arizona.app.box.com/file/386214175873</t>
  </si>
  <si>
    <t>project177</t>
  </si>
  <si>
    <t>clark springs water supply habitat conservation plan application for incidental take permits city of kent maple valley king county wa</t>
  </si>
  <si>
    <t>Final(07/15/2011);Draft(05/07/2010)</t>
  </si>
  <si>
    <t>https://arizona.app.box.com/file/386230079897</t>
  </si>
  <si>
    <t>https://arizona.app.box.com/file/386253854095</t>
  </si>
  <si>
    <t>tacoma water habitat conservation plan green river water supply operations and watershed protection issuance of a multiple species incidental take permit implementation king county wa</t>
  </si>
  <si>
    <t>Final(01/05/2001)</t>
  </si>
  <si>
    <t>williamson county regional habitat conservation plan application for an incidental take permit williamson county tx</t>
  </si>
  <si>
    <t>Final(09/19/2008);Draft(05/23/2008)</t>
  </si>
  <si>
    <t>https://arizona.app.box.com/file/389163865673</t>
  </si>
  <si>
    <t>comal county regional habitat conservation plan application for incidental take permit comal county tx</t>
  </si>
  <si>
    <t>Draft(06/04/2010)</t>
  </si>
  <si>
    <t>https://arizona.app.box.com/file/389153183261</t>
  </si>
  <si>
    <t>santa clara valley habitat conservation plan issuance of an incidental take permit santa clara county ca</t>
  </si>
  <si>
    <t>Final(08/31/2012)</t>
  </si>
  <si>
    <t>project179</t>
  </si>
  <si>
    <t>cle elum pool raise project - a component of the yakima river basin integrated water resource management plan</t>
  </si>
  <si>
    <t>Final(05/15/2015);Draft(09/26/2014)</t>
  </si>
  <si>
    <t>https://arizona.app.box.com/file/389267147077</t>
  </si>
  <si>
    <t>https://arizona.app.box.com/file/389153092448</t>
  </si>
  <si>
    <t>programmatic - yakima river basin integrated water resource management plan to meet the water supply and ecosystem restoration needs benton kittitas klickitat and yakim counties wa</t>
  </si>
  <si>
    <t>Draft(11/18/2011);Final(03/02/2012)</t>
  </si>
  <si>
    <t>https://arizona.app.box.com/file/386254213140</t>
  </si>
  <si>
    <t>https://arizona.app.box.com/file/386214323473</t>
  </si>
  <si>
    <t>folsom dam raise project</t>
  </si>
  <si>
    <t>Draft Supplement(07/22/2016)</t>
  </si>
  <si>
    <t>https://arizona.app.box.com/file/389171402800</t>
  </si>
  <si>
    <t>https://arizona.app.box.com/file/386212690657</t>
  </si>
  <si>
    <t>snoqualmie pass adaptive management area plan implementation wenatchee and mt. baker-snoqualmie national forests cle elum and north bend ranger districts kittitas and king counties wa</t>
  </si>
  <si>
    <t>Final(06/06/1997);Draft(12/08/1995)</t>
  </si>
  <si>
    <t>https://arizona.app.box.com/file/389150882434</t>
  </si>
  <si>
    <t>project18</t>
  </si>
  <si>
    <t>all aboard florida intercity passenger rail project</t>
  </si>
  <si>
    <t>Final(08/21/2015);Draft(09/26/2014)</t>
  </si>
  <si>
    <t>all aboard florida intercity passenger rail project orlando to miami, florida</t>
  </si>
  <si>
    <t>https://arizona.app.box.com/file/386216155607</t>
  </si>
  <si>
    <t>all aboard florida intercity passenger rail project orlando to miami fl</t>
  </si>
  <si>
    <t>https://arizona.app.box.com/file/389255767530</t>
  </si>
  <si>
    <t>https://arizona.app.box.com/file/389169179757</t>
  </si>
  <si>
    <t>richmond and the hampton roads passenger rail project proposed higher speed intercity passenger rail va</t>
  </si>
  <si>
    <t>Draft(12/11/2009)</t>
  </si>
  <si>
    <t>https://arizona.app.box.com/file/386245183802</t>
  </si>
  <si>
    <t>richmond and the hampton roads passenger rail project tier i proposed higher speed intercity passenger rail service improvements va</t>
  </si>
  <si>
    <t>redlands passenger rail project</t>
  </si>
  <si>
    <t>Draft(08/15/2014);Final(03/06/2015)</t>
  </si>
  <si>
    <t>https://arizona.app.box.com/file/389260493159</t>
  </si>
  <si>
    <t>https://arizona.app.box.com/file/389163455213</t>
  </si>
  <si>
    <t>https://arizona.app.box.com/file/389257191441</t>
  </si>
  <si>
    <t>project181</t>
  </si>
  <si>
    <t>clear creek management area resource management plan</t>
  </si>
  <si>
    <t>Final(04/05/2013);Draft(12/04/2009)</t>
  </si>
  <si>
    <t>clear creek management area proposed resource management plan</t>
  </si>
  <si>
    <t>https://arizona.app.box.com/file/389257239827</t>
  </si>
  <si>
    <t>https://arizona.app.box.com/file/389153819985</t>
  </si>
  <si>
    <t>clear creek management area land and resource management plan amendment implementation san benito and fresno counties ca</t>
  </si>
  <si>
    <t>Draft(12/10/1993);Final(05/03/1996)</t>
  </si>
  <si>
    <t>clear creek integrated restoration project</t>
  </si>
  <si>
    <t>Draft(04/19/2013);Final(09/25/2015);Draft Supplement(09/28/2018)</t>
  </si>
  <si>
    <t>https://arizona.app.box.com/file/389260294867</t>
  </si>
  <si>
    <t>https://arizona.app.box.com/file/389138293492</t>
  </si>
  <si>
    <t>https://arizona.app.box.com/file/389175690285</t>
  </si>
  <si>
    <t>https://arizona.app.box.com/file/386216748323</t>
  </si>
  <si>
    <t>https://arizona.app.box.com/file/389173430706</t>
  </si>
  <si>
    <t>clear creek management area resource management plan (rmp) implementation portion of san benito county and fresno county ca</t>
  </si>
  <si>
    <t>Draft(12/04/2009)</t>
  </si>
  <si>
    <t>withdrawn - clear creek integrated restoration project</t>
  </si>
  <si>
    <t>Final(02/13/2015)</t>
  </si>
  <si>
    <t>https://arizona.app.box.com/file/389268515438</t>
  </si>
  <si>
    <t>project182</t>
  </si>
  <si>
    <t>clear prong project to implement silvicultural activities including thinning of sub-merchantable trees prescribed fires and aspen enhancement on 2 190 acres bois national forest cascade ranger district valley county id</t>
  </si>
  <si>
    <t>Draft(03/19/2010);Final(07/30/2010)</t>
  </si>
  <si>
    <t>https://arizona.app.box.com/file/389137585435</t>
  </si>
  <si>
    <t>https://arizona.app.box.com/file/389138302891</t>
  </si>
  <si>
    <t>clear prong project timber harvest temporary road construction road maintenance road decommissioning thinning of sub-merchantable tree and prescribed fire boise national forest cascade ranger district valley county id</t>
  </si>
  <si>
    <t>Final(07/28/2006);Draft(03/31/2006)</t>
  </si>
  <si>
    <t>https://arizona.app.box.com/file/389161453564</t>
  </si>
  <si>
    <t>https://arizona.app.box.com/file/389163679004</t>
  </si>
  <si>
    <t>spruce creek project proposed timber harvest temporary road construction thinning of sub-merchantable trees enhancement of asper and whitebark pine cascade ranger district boise national forest valley county id</t>
  </si>
  <si>
    <t>Draft(05/11/2007)</t>
  </si>
  <si>
    <t>https://arizona.app.box.com/file/389166636285</t>
  </si>
  <si>
    <t>long prong project timber harvesting road construction and reconstruction boise national forest cascade ranger district valley county id</t>
  </si>
  <si>
    <t>Draft(06/04/1999);Final(10/01/1999)</t>
  </si>
  <si>
    <t>moonlight and wheeler fires recovery and restoration project proposes to harvest fire-killed merchantable trees on 15 568 acres mt. hough ranger district plumas national forest plumas county ca</t>
  </si>
  <si>
    <t>Draft(06/27/2008);Final(09/26/2008)</t>
  </si>
  <si>
    <t>USFS AFS</t>
  </si>
  <si>
    <t>https://arizona.app.box.com/file/389138142430</t>
  </si>
  <si>
    <t>project183</t>
  </si>
  <si>
    <t>clearwater national forest travel planning project proposes to manage motorized and mechanized travel clearwater national forest idaho clearwater latah and shoshone counties id</t>
  </si>
  <si>
    <t>Draft(08/07/2009);Final(01/27/2012)</t>
  </si>
  <si>
    <t>Final(01/27/2012)</t>
  </si>
  <si>
    <t>https://arizona.app.box.com/file/389162663323</t>
  </si>
  <si>
    <t>clearwater national forest travel planning project proposes to manage motorized and mechanized travel within the 1 827.380-acre clearwater national forest idaho clearwater latah and shoshone counties id</t>
  </si>
  <si>
    <t>https://arizona.app.box.com/file/389162215313</t>
  </si>
  <si>
    <t>clearwater national forest land and resource management plan implementation benewah idaho clearwater lewis nez perce latah and shoshone counties id</t>
  </si>
  <si>
    <t>Final(10/09/1987)</t>
  </si>
  <si>
    <t>hidden cedar project road construction and watershed restoration idaho panhandle national forest st. joe ranger district benewah shoshone clearwater and latah counties id</t>
  </si>
  <si>
    <t>Final(07/19/2002);Draft(06/01/2001)</t>
  </si>
  <si>
    <t>https://arizona.app.box.com/file/386243305911</t>
  </si>
  <si>
    <t>https://arizona.app.box.com/file/386252400172</t>
  </si>
  <si>
    <t>hidden cedar project updated information manage vegetation conditions and the transportation system idaho panhandle national forests st. joe ranger district benewah latah and shoshone counties id</t>
  </si>
  <si>
    <t>Draft Supplement(06/16/2006);Final Supplement(03/16/2007)</t>
  </si>
  <si>
    <t>https://arizona.app.box.com/file/389150670068</t>
  </si>
  <si>
    <t>https://arizona.app.box.com/file/389137707835</t>
  </si>
  <si>
    <t>project184</t>
  </si>
  <si>
    <t>clearwater program master facilities plan to meet the wastewater management needs of the joint outfall system (jos) through the year 2050 los angeles county ca</t>
  </si>
  <si>
    <t>Draft(02/10/2012);Final(11/09/2012)</t>
  </si>
  <si>
    <t>Final(11/09/2012)</t>
  </si>
  <si>
    <t>https://arizona.app.box.com/file/389261731268</t>
  </si>
  <si>
    <t>https://arizona.app.box.com/file/386248916591</t>
  </si>
  <si>
    <t>clearwater program to meet the wastewater management needs of the joint outfall system (jos) through the year 2050 near san pedro section 404 permit los angeles county ca</t>
  </si>
  <si>
    <t>Draft(02/10/2012)</t>
  </si>
  <si>
    <t>https://arizona.app.box.com/file/386247364385</t>
  </si>
  <si>
    <t>city of los angeles wastewater treatment facilities plan construction/operation updated information grant los angeles county ca</t>
  </si>
  <si>
    <t>Draft Supplement(07/28/1989)</t>
  </si>
  <si>
    <t>city of los angeles wastewater treatment facilities plan construction and operation updated information grant los angeles county ca</t>
  </si>
  <si>
    <t>Final Supplement(11/16/1990)</t>
  </si>
  <si>
    <t>international wastewater treatment plant and outfall facilities construction operation and maintenance construction grants ca and mexico</t>
  </si>
  <si>
    <t>Second Draft Supplemental(01/23/1998)</t>
  </si>
  <si>
    <t>project188</t>
  </si>
  <si>
    <t>coast corridor improvements</t>
  </si>
  <si>
    <t>Final(11/10/2015);Draft(11/14/2014)</t>
  </si>
  <si>
    <t>Draft(11/14/2014);Final(11/20/2015)</t>
  </si>
  <si>
    <t>https://arizona.app.box.com/file/389264475716</t>
  </si>
  <si>
    <t>https://arizona.app.box.com/file/389172064631</t>
  </si>
  <si>
    <t>https://arizona.app.box.com/file/389174337022</t>
  </si>
  <si>
    <t>interstate 5 north coast corridor</t>
  </si>
  <si>
    <t>Adoption(07/02/2015)</t>
  </si>
  <si>
    <t>https://arizona.app.box.com/file/389172393202</t>
  </si>
  <si>
    <t>interstate 5 north coast corridor project</t>
  </si>
  <si>
    <t>Final(11/15/2013)</t>
  </si>
  <si>
    <t>https://arizona.app.box.com/file/389256647401</t>
  </si>
  <si>
    <t>https://arizona.app.box.com/file/389162626517</t>
  </si>
  <si>
    <t>mid-coast corridor transit project</t>
  </si>
  <si>
    <t>Second Draft Supplemental(07/18/2014);Draft Supplement(05/17/2013)</t>
  </si>
  <si>
    <t>https://arizona.app.box.com/file/389266994737</t>
  </si>
  <si>
    <t>https://arizona.app.box.com/file/389164035750</t>
  </si>
  <si>
    <t>https://arizona.app.box.com/file/389264555940</t>
  </si>
  <si>
    <t>https://arizona.app.box.com/file/389138093165</t>
  </si>
  <si>
    <t>project19</t>
  </si>
  <si>
    <t>allegheny wood product easement proposes to convey an easement of right-of-way along the railroad grade located in the blackwater canyon area monongahela national forest tucker county wv</t>
  </si>
  <si>
    <t>Final(08/06/2010);Draft(12/23/2005)</t>
  </si>
  <si>
    <t>Draft(12/23/2005);Final(08/06/2010)</t>
  </si>
  <si>
    <t>https://arizona.app.box.com/file/386241141458</t>
  </si>
  <si>
    <t>https://arizona.app.box.com/file/389161757062</t>
  </si>
  <si>
    <t>fernow experimental forest implementation of new research studies monongahela national forest land and resource management plan tucker county wv</t>
  </si>
  <si>
    <t>Draft(06/16/2000);Final(09/22/2000)</t>
  </si>
  <si>
    <t>https://arizona.app.box.com/file/386266156440</t>
  </si>
  <si>
    <t>programmatic - monongahela national forest plan revision proposes to revise land and resource management plan barbour grant greebrier nicholas pendleton pocahontab preston randolph tucker and webster counties wv</t>
  </si>
  <si>
    <t>Final(09/22/2006);Draft(08/12/2005)</t>
  </si>
  <si>
    <t>https://arizona.app.box.com/file/389136986131</t>
  </si>
  <si>
    <t>https://arizona.app.box.com/file/389161253402</t>
  </si>
  <si>
    <t>https://arizona.app.box.com/file/386242972385</t>
  </si>
  <si>
    <t>rubicon trail easement and resource improvement project construction and operation right-of-way grant eldorado national forest pacific ranger district el dorado county ca</t>
  </si>
  <si>
    <t>Draft(12/16/2011);Final(04/27/2012)</t>
  </si>
  <si>
    <t>https://arizona.app.box.com/file/389150747504</t>
  </si>
  <si>
    <t>project190</t>
  </si>
  <si>
    <t>coconino national forest travel management project proposes to designate a system of road and motorized travel implementation coconino and yavapai county az</t>
  </si>
  <si>
    <t>Draft(03/19/2010);Final(11/10/2011)</t>
  </si>
  <si>
    <t>https://arizona.app.box.com/file/389151629234</t>
  </si>
  <si>
    <t>https://arizona.app.box.com/file/389138216991</t>
  </si>
  <si>
    <t>coconino national forest land and resource management plan implementation coconino gila and yavapai counties az</t>
  </si>
  <si>
    <t>Final(08/28/1987)</t>
  </si>
  <si>
    <t>prescott national forest land and resource management plan implementation yavapai and coconino counties az</t>
  </si>
  <si>
    <t>Final(08/14/1987)</t>
  </si>
  <si>
    <t>prescott national forest land and resource management plan yavapai and coconino counties az</t>
  </si>
  <si>
    <t>https://arizona.app.box.com/file/389162813164</t>
  </si>
  <si>
    <t>kaibab national forest land and resource management plan implementation coconino yavapai and mojave counties az</t>
  </si>
  <si>
    <t>https://arizona.app.box.com/file/389164984589</t>
  </si>
  <si>
    <t>project191</t>
  </si>
  <si>
    <t>coeur rochester mine plan of operations amendment 10 and closure plan</t>
  </si>
  <si>
    <t>Final(05/20/2016);Draft(08/21/2015)</t>
  </si>
  <si>
    <t>Final(05/20/2016)</t>
  </si>
  <si>
    <t>https://arizona.app.box.com/file/389170356307</t>
  </si>
  <si>
    <t>https://arizona.app.box.com/file/386225908438</t>
  </si>
  <si>
    <t>coeur rochester mine plan of operations amendment 10 project (poa10)</t>
  </si>
  <si>
    <t>Draft(08/21/2015)</t>
  </si>
  <si>
    <t>https://arizona.app.box.com/file/389155723305</t>
  </si>
  <si>
    <t>https://arizona.app.box.com/file/386236910436</t>
  </si>
  <si>
    <t>tucker hill perlite mine expansion plan of operations amendment no. 7</t>
  </si>
  <si>
    <t>Draft(09/07/2018)</t>
  </si>
  <si>
    <t>https://arizona.app.box.com/file/389175045716</t>
  </si>
  <si>
    <t>https://arizona.app.box.com/file/386241625669</t>
  </si>
  <si>
    <t>coeur d alene basin natural resource restoration plan</t>
  </si>
  <si>
    <t>Draft(11/10/2016)</t>
  </si>
  <si>
    <t>https://arizona.app.box.com/file/389175746959</t>
  </si>
  <si>
    <t>https://arizona.app.box.com/file/386242950632</t>
  </si>
  <si>
    <t>project192</t>
  </si>
  <si>
    <t>colorado river valley resource management plan</t>
  </si>
  <si>
    <t>Draft(09/16/2011);Final(04/04/2014)</t>
  </si>
  <si>
    <t>colorado river valley proposed resource management plan</t>
  </si>
  <si>
    <t>Final(04/04/2014)</t>
  </si>
  <si>
    <t>https://arizona.app.box.com/file/389262390256</t>
  </si>
  <si>
    <t>https://arizona.app.box.com/file/389162597418</t>
  </si>
  <si>
    <t>colorado river valley (formerly known as glenwood springs) resource management plan implementation colorado river valley field office portions of eagle garfield mesa ritkin and routt counties co</t>
  </si>
  <si>
    <t>Draft(09/16/2011)</t>
  </si>
  <si>
    <t>https://arizona.app.box.com/file/386228035386</t>
  </si>
  <si>
    <t>lake havasu field office resource management plan implementation colorado river davis dam in the north and south to park dam ca and az</t>
  </si>
  <si>
    <t>Final(09/22/2006);Draft(09/30/2005)</t>
  </si>
  <si>
    <t>https://arizona.app.box.com/file/386238931267</t>
  </si>
  <si>
    <t>https://arizona.app.box.com/file/386227138858</t>
  </si>
  <si>
    <t>colorado canyons national conservation area and black ridge canyons wilderness resource management plan implementation mesa county co</t>
  </si>
  <si>
    <t>Final(08/06/2004);Draft(10/17/2003)</t>
  </si>
  <si>
    <t>https://arizona.app.box.com/file/386240289495</t>
  </si>
  <si>
    <t>project194</t>
  </si>
  <si>
    <t>columbia river basin hatchery operations and the funding of mitchell act hatchery programs</t>
  </si>
  <si>
    <t>Final(09/12/2014);Draft(08/06/2010)</t>
  </si>
  <si>
    <t>columbia river basin hatchery operations and the funding of mitchell act hatchery program to authorizes the establishment operation and maintenance of one or more hatchery facilities or wa and id</t>
  </si>
  <si>
    <t>https://arizona.app.box.com/file/386246082071</t>
  </si>
  <si>
    <t>10 salmon and steelhead hatchery programs in the duwamish-green river basin</t>
  </si>
  <si>
    <t>https://arizona.app.box.com/file/389183905978</t>
  </si>
  <si>
    <t>https://arizona.app.box.com/file/386239413623</t>
  </si>
  <si>
    <t>two joint state and tribal resource management plans for puget sound salmon and steelhead hatchery programs</t>
  </si>
  <si>
    <t>Draft(07/25/2014)</t>
  </si>
  <si>
    <t>https://arizona.app.box.com/file/389264974342</t>
  </si>
  <si>
    <t>https://arizona.app.box.com/file/389153072022</t>
  </si>
  <si>
    <t>https://arizona.app.box.com/file/389267543898</t>
  </si>
  <si>
    <t>https://arizona.app.box.com/file/389153171018</t>
  </si>
  <si>
    <t>project197</t>
  </si>
  <si>
    <t>complete 540 triangle expressway southeast extension</t>
  </si>
  <si>
    <t>Draft(11/20/2015);Final(12/29/2017)</t>
  </si>
  <si>
    <t>https://arizona.app.box.com/file/389174350675</t>
  </si>
  <si>
    <t>https://arizona.app.box.com/file/386238743880</t>
  </si>
  <si>
    <t>crosstown expressway extension</t>
  </si>
  <si>
    <t>Final(11/29/2013)</t>
  </si>
  <si>
    <t>https://arizona.app.box.com/file/389264129585</t>
  </si>
  <si>
    <t>lakewood southeast project</t>
  </si>
  <si>
    <t>Final(09/06/2013)</t>
  </si>
  <si>
    <t>https://arizona.app.box.com/file/389266801351</t>
  </si>
  <si>
    <t>https://arizona.app.box.com/file/389152851634</t>
  </si>
  <si>
    <t>southeast market pipeline project</t>
  </si>
  <si>
    <t>Draft(09/11/2015)</t>
  </si>
  <si>
    <t>https://arizona.app.box.com/file/389172389035</t>
  </si>
  <si>
    <t>https://arizona.app.box.com/file/386240779528</t>
  </si>
  <si>
    <t>southeast market pipelines project</t>
  </si>
  <si>
    <t>Final(12/24/2015);Draft Supplement(10/06/2017)</t>
  </si>
  <si>
    <t>https://arizona.app.box.com/file/389171760076</t>
  </si>
  <si>
    <t>https://arizona.app.box.com/file/386241319808</t>
  </si>
  <si>
    <t>https://arizona.app.box.com/file/389163516789</t>
  </si>
  <si>
    <t>https://arizona.app.box.com/file/386239191401</t>
  </si>
  <si>
    <t>project2</t>
  </si>
  <si>
    <t>2011 caribbean comprehensive annual catch limit (acl) amendment for the us caribbean: amendment 6 to the reef fish fishery management plan of puerto rico and the u.s. virgin islands; amendment 5 to the fishery management spiny lobster fishery of puerto rico and the u.s. virgin islands; amendment 3 to the fishery management plan for the queen conch resources of puerto rico and the u.s. virgin islands; amendment 3 to the fishery management plan for corals and reef associated plants and invertebrates of puerto rico and the u.s. virgin islands</t>
  </si>
  <si>
    <t>Final(11/04/2011);Draft(07/15/2011)</t>
  </si>
  <si>
    <t>USVI</t>
  </si>
  <si>
    <t>https://arizona.app.box.com/file/386246161351</t>
  </si>
  <si>
    <t>amendment to the fishery management plans (fmps) amendment 2 for the spiny lobster fishery; amendment 1 for the queen conch resources; amendment 3 for the reef fish fishery; amendment 2 corals and reef associated invertebrates u. s. carbbean to address required provisions msfcma puerto rico and the u.s. virgin island</t>
  </si>
  <si>
    <t>Final Supplement(06/24/2005)</t>
  </si>
  <si>
    <t>https://arizona.app.box.com/file/386243401586</t>
  </si>
  <si>
    <t>amendment 2 to the fishery management plan of puerto rico and the u.s. virgin islands and amendment 5 to the reef fish fishery management plan of puerto rico and the u.s. virgin islands implementation of annual catch limits (acls) and accountability measures (ams) for reef fish and queen conch in the u.s. caribbean</t>
  </si>
  <si>
    <t>Final(10/28/2011);Draft(07/23/2010)</t>
  </si>
  <si>
    <t>PR VI</t>
  </si>
  <si>
    <t>https://arizona.app.box.com/file/386214233232</t>
  </si>
  <si>
    <t>generic - essential fish habitat amendment to spiny lobster fishery management plan queen conch fishery management reef fish and coral fishery management plans implementation us caribbean extending to us exclusive economic zone (nez) virgin islands and puerto rico</t>
  </si>
  <si>
    <t>Draft(08/01/2003)</t>
  </si>
  <si>
    <t>https://arizona.app.box.com/file/386218747670</t>
  </si>
  <si>
    <t>generic - essential fish habitat amendment to spiny lobster fishery management plan queen conch fishery management reef fish and coral fishery management plans implementation us caribbean extending to us exclusive economic zone (eez) virgin islands and puerto rico</t>
  </si>
  <si>
    <t>Final(04/23/2004)</t>
  </si>
  <si>
    <t>project20</t>
  </si>
  <si>
    <t>allotment management planning in the fall river west and oglala geographic areas</t>
  </si>
  <si>
    <t>Draft(07/20/2012);Final(11/15/2013)</t>
  </si>
  <si>
    <t>NE</t>
  </si>
  <si>
    <t>https://arizona.app.box.com/file/389267196642</t>
  </si>
  <si>
    <t>https://arizona.app.box.com/file/389165220256</t>
  </si>
  <si>
    <t>fall river west and oglala geographic areas allotment mangement planning pine ridge and fall ranger districts nebraska national forest dawes and sioux counties ne and fall river county sd</t>
  </si>
  <si>
    <t>Draft(07/20/2012)</t>
  </si>
  <si>
    <t>https://arizona.app.box.com/file/389257440413</t>
  </si>
  <si>
    <t>allotment management planning in the mckelvie geographic area project managing livestock grazing bessey ranger district samuel r. mckelvie national forest cherry county ne</t>
  </si>
  <si>
    <t>https://arizona.app.box.com/file/389134049948</t>
  </si>
  <si>
    <t>allotment management planning in the mckelvie geographic area project livestock grazing on 21 allotments bessey ranger district samuel r. mckelvie national forest cherry county ne</t>
  </si>
  <si>
    <t>Draft(03/12/2010)</t>
  </si>
  <si>
    <t>https://arizona.app.box.com/file/389154988844</t>
  </si>
  <si>
    <t>pine ridge geographic area rangeland allotment management planning livestock grazing permit nebraska national forest pine ridge ranger district dawes and sioux counties ne</t>
  </si>
  <si>
    <t>Final(06/04/2004);Draft(11/28/2003)</t>
  </si>
  <si>
    <t>https://arizona.app.box.com/file/389162593332</t>
  </si>
  <si>
    <t>https://arizona.app.box.com/file/389150443342</t>
  </si>
  <si>
    <t>project201</t>
  </si>
  <si>
    <t>constitution pipeline and wright interconnect projects</t>
  </si>
  <si>
    <t>Final(10/31/2014);Draft(02/21/2014)</t>
  </si>
  <si>
    <t>https://arizona.app.box.com/file/389261128604</t>
  </si>
  <si>
    <t>https://arizona.app.box.com/file/389153002785</t>
  </si>
  <si>
    <t>https://arizona.app.box.com/file/389263554539</t>
  </si>
  <si>
    <t>https://arizona.app.box.com/file/389138422429</t>
  </si>
  <si>
    <t>rover pipeline, panhandle backhaul, and trunkline backhaul projects</t>
  </si>
  <si>
    <t>Final(08/05/2016);Draft(02/26/2016)</t>
  </si>
  <si>
    <t>https://arizona.app.box.com/file/389163564798</t>
  </si>
  <si>
    <t>https://arizona.app.box.com/file/386225665560</t>
  </si>
  <si>
    <t>https://arizona.app.box.com/file/389175700104</t>
  </si>
  <si>
    <t>https://arizona.app.box.com/file/386254508563</t>
  </si>
  <si>
    <t>ruby pipeline project</t>
  </si>
  <si>
    <t>Final Supplement(11/22/2013);Draft Supplement(07/05/2013)</t>
  </si>
  <si>
    <t>https://arizona.app.box.com/file/389268219925</t>
  </si>
  <si>
    <t>https://arizona.app.box.com/file/389153062942</t>
  </si>
  <si>
    <t>https://arizona.app.box.com/file/389263746357</t>
  </si>
  <si>
    <t>norfolk and western railway ground coal storage facility construction and operation coe 404 permit isle of wright county va</t>
  </si>
  <si>
    <t>Draft(07/02/1992);Final(05/14/1993)</t>
  </si>
  <si>
    <t>pacific and altamont natural gas transmission pipeline projects construction operation and maintenance section 10 and 404 permits extending from canada to ca</t>
  </si>
  <si>
    <t>Draft(01/18/1991);Final(05/24/1991)</t>
  </si>
  <si>
    <t>project202</t>
  </si>
  <si>
    <t>construction and operation of a platoon battle course at pohakuloa training area</t>
  </si>
  <si>
    <t>Draft(10/14/2011);Final(04/26/2013)</t>
  </si>
  <si>
    <t>https://arizona.app.box.com/file/389262061886</t>
  </si>
  <si>
    <t>programmatic - pohakuloa training area (pta) proposed modernization of training infrastructure to construction and operation of an infantry platoon battle area (ipba) hi</t>
  </si>
  <si>
    <t>Draft(10/14/2011)</t>
  </si>
  <si>
    <t>https://arizona.app.box.com/file/386240066703</t>
  </si>
  <si>
    <t>battle area complex (bax) and a combined arms collective training facility (cactf) construction and operation within u.s. army training lands in alaska</t>
  </si>
  <si>
    <t>Draft(11/05/2004)</t>
  </si>
  <si>
    <t>https://arizona.app.box.com/file/386243417139</t>
  </si>
  <si>
    <t>u.s. army alaska battle area complex (bax) and a combined arms collective training facility (cactf) construction and operation additional information on site alternative within u.s. army training lands in alaska</t>
  </si>
  <si>
    <t>Draft Supplement(03/17/2006)</t>
  </si>
  <si>
    <t>https://arizona.app.box.com/file/386263747956</t>
  </si>
  <si>
    <t>snowcreek golf course expansion construction and operation special use permit inyo national forest system lands mono county ca</t>
  </si>
  <si>
    <t>Final(07/11/1997);Draft(12/29/1995)</t>
  </si>
  <si>
    <t>https://arizona.app.box.com/file/386265429165</t>
  </si>
  <si>
    <t>project204</t>
  </si>
  <si>
    <t>construction permit for the shine medical radioisotope production facility, final report, nureg-2183</t>
  </si>
  <si>
    <t>Final(10/30/2015);Draft(05/22/2015)</t>
  </si>
  <si>
    <t>https://arizona.app.box.com/file/389166891779</t>
  </si>
  <si>
    <t>https://arizona.app.box.com/file/386241451510</t>
  </si>
  <si>
    <t>south bay salt pond restoration project final environmental impact statement/report, phase 2</t>
  </si>
  <si>
    <t>Final(06/03/2016)</t>
  </si>
  <si>
    <t>https://arizona.app.box.com/file/389164395899</t>
  </si>
  <si>
    <t>https://arizona.app.box.com/file/386239107651</t>
  </si>
  <si>
    <t>generic environmental impact statement for license renewal of nuclear plants, supplement 58, regarding river bend station, unit 1, final report</t>
  </si>
  <si>
    <t>Final(11/16/2018)</t>
  </si>
  <si>
    <t>https://arizona.app.box.com/file/389180899380</t>
  </si>
  <si>
    <t>final integrated feasibility report and environmental impact statement for the houma navigational canal deepening project, terrebonne parish, louisiana</t>
  </si>
  <si>
    <t>Draft(09/15/2017)</t>
  </si>
  <si>
    <t>DOT</t>
  </si>
  <si>
    <t>https://arizona.app.box.com/file/389165614732</t>
  </si>
  <si>
    <t>https://arizona.app.box.com/file/386239297095</t>
  </si>
  <si>
    <t>liberty development and production plan beaufort sea, alaska final environmental impact statement</t>
  </si>
  <si>
    <t>https://arizona.app.box.com/file/389178675895</t>
  </si>
  <si>
    <t>https://arizona.app.box.com/file/386238031274</t>
  </si>
  <si>
    <t>project205</t>
  </si>
  <si>
    <t>continental divide creston natural gas development project</t>
  </si>
  <si>
    <t>Final(04/15/2016);Draft(11/30/2012)</t>
  </si>
  <si>
    <t>Final(04/15/2016)</t>
  </si>
  <si>
    <t>https://arizona.app.box.com/file/389175342254</t>
  </si>
  <si>
    <t>https://arizona.app.box.com/file/386237891262</t>
  </si>
  <si>
    <t>continental divide-creston natural gas development project carbon and sweetwater counties wy</t>
  </si>
  <si>
    <t>Draft(11/30/2012)</t>
  </si>
  <si>
    <t>https://arizona.app.box.com/file/389177729698</t>
  </si>
  <si>
    <t>https://arizona.app.box.com/file/386212765242</t>
  </si>
  <si>
    <t>continental divide/wamsutter ii natural gas project implementation of natural gas exploration and development sweetwater and carbon counties wy</t>
  </si>
  <si>
    <t>Draft(04/30/1999);Final(12/10/1999)</t>
  </si>
  <si>
    <t>creston/blue gap natural gas and oil development project construction and operation special-use- permit right-of-way and coe section 404 permit carbon and sweetwater counties wy</t>
  </si>
  <si>
    <t>Final(09/02/1994);Draft(05/20/1994)</t>
  </si>
  <si>
    <t>project208</t>
  </si>
  <si>
    <t>conway western arterial loop construction from south and west sides of conway faulkner county ar</t>
  </si>
  <si>
    <t>Final(05/07/2010);Draft(02/27/2004)</t>
  </si>
  <si>
    <t>https://arizona.app.box.com/file/386215939248</t>
  </si>
  <si>
    <t>south mountain freeway (loop 202)</t>
  </si>
  <si>
    <t>Final(09/26/2014)</t>
  </si>
  <si>
    <t>https://arizona.app.box.com/file/389171378836</t>
  </si>
  <si>
    <t>central business district loop arterial construction harding road and i-235 to us 65 at scott avenue funding and 404 permit polk county ia</t>
  </si>
  <si>
    <t>Final(01/08/1988)</t>
  </si>
  <si>
    <t>hot springs east and west arterial construction us 270 east to us 270 west funding garland county az</t>
  </si>
  <si>
    <t>Final(01/23/1987)</t>
  </si>
  <si>
    <t>adoption - south mountain freeway (loop 202)</t>
  </si>
  <si>
    <t>https://arizona.app.box.com/file/389169185213</t>
  </si>
  <si>
    <t>project209</t>
  </si>
  <si>
    <t>cook inlet planning area oil and gas lease sale 244</t>
  </si>
  <si>
    <t>Final(12/23/2016);Draft(07/22/2016)</t>
  </si>
  <si>
    <t>cook inlet planning area oil and gas lease sale 244 in the cook inlet</t>
  </si>
  <si>
    <t>Draft(07/22/2016)</t>
  </si>
  <si>
    <t>https://arizona.app.box.com/file/389172995820</t>
  </si>
  <si>
    <t>https://arizona.app.box.com/file/386237360302</t>
  </si>
  <si>
    <t>cook inlet planning area alaska outer continental shelf oil and gas sale 149 leasing offering ak</t>
  </si>
  <si>
    <t>Final(02/02/1996);Draft(01/20/1995)</t>
  </si>
  <si>
    <t>cook inlet planning area oil and gas lease sales 191 and 199 outer continental shelf offshore marine environment cook inlet ak</t>
  </si>
  <si>
    <t>Final(11/21/2003);Draft(12/13/2002)</t>
  </si>
  <si>
    <t>https://arizona.app.box.com/file/386213834928</t>
  </si>
  <si>
    <t>https://arizona.app.box.com/file/386252745534</t>
  </si>
  <si>
    <t>chukchi sea planning area oil and gas lease sale 193</t>
  </si>
  <si>
    <t>Second Final Supplemental(02/20/2015);Second Draft Supplemental(11/07/2014)</t>
  </si>
  <si>
    <t>https://arizona.app.box.com/file/389264178702</t>
  </si>
  <si>
    <t>https://arizona.app.box.com/file/389153030099</t>
  </si>
  <si>
    <t>https://arizona.app.box.com/file/389264297346</t>
  </si>
  <si>
    <t>https://arizona.app.box.com/file/389152834951</t>
  </si>
  <si>
    <t>gulf of mexico ocs oil and gas lease sale: 2017 central planning area lease sale 247</t>
  </si>
  <si>
    <t>Draft Supplement(02/26/2016)</t>
  </si>
  <si>
    <t>https://arizona.app.box.com/file/389174865937</t>
  </si>
  <si>
    <t>https://arizona.app.box.com/file/386225891568</t>
  </si>
  <si>
    <t>project210</t>
  </si>
  <si>
    <t>coordinated long-term operation of the central valley project and state water project</t>
  </si>
  <si>
    <t>Draft(08/07/2015);Final(12/04/2015)</t>
  </si>
  <si>
    <t>https://arizona.app.box.com/file/389174680949</t>
  </si>
  <si>
    <t>https://arizona.app.box.com/file/386240823981</t>
  </si>
  <si>
    <t>long-term water transfers</t>
  </si>
  <si>
    <t>Final(03/27/2015);Draft(10/10/2014)</t>
  </si>
  <si>
    <t>https://arizona.app.box.com/file/389263763473</t>
  </si>
  <si>
    <t>https://arizona.app.box.com/file/389171830570</t>
  </si>
  <si>
    <t>https://arizona.app.box.com/file/389268005720</t>
  </si>
  <si>
    <t>https://arizona.app.box.com/file/389164562045</t>
  </si>
  <si>
    <t>red river valley water supply project development and delivery of a bulk water supply to meet long-term water needs of the red river valley implementation nd and mn</t>
  </si>
  <si>
    <t>Draft(01/06/2006);Final(12/28/2007);Draft Supplement(02/09/2007)</t>
  </si>
  <si>
    <t>nan ND</t>
  </si>
  <si>
    <t>https://arizona.app.box.com/file/386213422056</t>
  </si>
  <si>
    <t>https://arizona.app.box.com/file/386212954407</t>
  </si>
  <si>
    <t>central valley project long-term water service contract renewals - american river division proposes to renew long-term water service contracts sacramento placer and el dorado counties ca</t>
  </si>
  <si>
    <t>Draft(01/21/2005)</t>
  </si>
  <si>
    <t>https://arizona.app.box.com/file/386243011905</t>
  </si>
  <si>
    <t>central valley project west san joaquin division san luis unit long-term water service contract renewal cities of avenal coalinga and huron fresno king and merced counties ca</t>
  </si>
  <si>
    <t>Draft(10/07/2005)</t>
  </si>
  <si>
    <t>https://arizona.app.box.com/file/386243034705</t>
  </si>
  <si>
    <t>project211</t>
  </si>
  <si>
    <t>cordell bank and gulf of the farallones national marine sanctuaries expansion</t>
  </si>
  <si>
    <t>Final(12/19/2014);Draft(04/04/2014)</t>
  </si>
  <si>
    <t>Final(12/19/2014)</t>
  </si>
  <si>
    <t>https://arizona.app.box.com/file/389265933088</t>
  </si>
  <si>
    <t>cordell bank and gulf of the farallones boundary expansion</t>
  </si>
  <si>
    <t>Draft(04/04/2014)</t>
  </si>
  <si>
    <t>https://arizona.app.box.com/file/389263413731</t>
  </si>
  <si>
    <t>https://arizona.app.box.com/file/389162387173</t>
  </si>
  <si>
    <t>cordell bank gulf of the farallones and monterey bay national marine sanctuaries proposes a series of regulatory changes offshore of northern/central ca</t>
  </si>
  <si>
    <t>Draft(10/06/2006);Final(09/26/2008)</t>
  </si>
  <si>
    <t>https://arizona.app.box.com/file/386233046734</t>
  </si>
  <si>
    <t>cordell bank gulf of the farallones and monterey bay national marine sanctuaries updated information proposes a series of regulatory changes offshore of northern/central ca</t>
  </si>
  <si>
    <t>Draft Supplement(03/21/2008)</t>
  </si>
  <si>
    <t>https://arizona.app.box.com/file/386218592807</t>
  </si>
  <si>
    <t>cordell bank national marine sanctuary designation and management plan implementation pacific continental shelf west of point reyes ca</t>
  </si>
  <si>
    <t>Draft(08/28/1987);Final(03/17/1989)</t>
  </si>
  <si>
    <t>project212</t>
  </si>
  <si>
    <t>cordova hills</t>
  </si>
  <si>
    <t>Final(03/04/2016);Draft(12/04/2014)</t>
  </si>
  <si>
    <t>Final(03/04/2016)</t>
  </si>
  <si>
    <t>https://arizona.app.box.com/file/389174697644</t>
  </si>
  <si>
    <t>east hills project</t>
  </si>
  <si>
    <t>Final(08/17/2018)</t>
  </si>
  <si>
    <t>https://arizona.app.box.com/file/389171583505</t>
  </si>
  <si>
    <t>https://arizona.app.box.com/file/386216611536</t>
  </si>
  <si>
    <t>rio del oro specific plan project new information on biological resource and water supply city of rancho cordova sacramento county ca</t>
  </si>
  <si>
    <t>Draft Supplement(05/09/2008);Final(07/16/2010)</t>
  </si>
  <si>
    <t>https://arizona.app.box.com/file/386250021060</t>
  </si>
  <si>
    <t>https://arizona.app.box.com/file/386246811480</t>
  </si>
  <si>
    <t>cordova oil spill response facility construct an oil spill response facility at shepard point npdes permit and us army coe section 10 and 404 permits cordova ak</t>
  </si>
  <si>
    <t>Final(12/29/2006);Draft(12/23/2005)</t>
  </si>
  <si>
    <t>https://arizona.app.box.com/file/386213071212</t>
  </si>
  <si>
    <t>https://arizona.app.box.com/file/386231694940</t>
  </si>
  <si>
    <t>sunridge properties project implementing alternatives for six residential development project city of rancho cordova sacramento counties ca</t>
  </si>
  <si>
    <t>Final(10/22/2010);Draft(07/02/2010)</t>
  </si>
  <si>
    <t>https://arizona.app.box.com/file/386244217144</t>
  </si>
  <si>
    <t>https://arizona.app.box.com/file/386265506299</t>
  </si>
  <si>
    <t>project213</t>
  </si>
  <si>
    <t>corporate average fuel economy (cafe) standards passenger car and light trucks model years 2012-2016 to reduce national energy consumption by increasing the fuel economy of passenger car and light trucks sold in the united states implementation</t>
  </si>
  <si>
    <t>Final(03/03/2010);Draft(09/25/2009)</t>
  </si>
  <si>
    <t>PRO</t>
  </si>
  <si>
    <t>NHTSA</t>
  </si>
  <si>
    <t>https://arizona.app.box.com/file/386243685460</t>
  </si>
  <si>
    <t>corporate average fuel economy standards passenger cars and light truck model years 2017-2025 to reduce national energy consumption by increasing the fuel economy of passenger cars and light trucks sold in the u.s.</t>
  </si>
  <si>
    <t>Final(07/13/2012)</t>
  </si>
  <si>
    <t>corporate average fuel economy (cafe) standards passenger car and light trucks model years 2017-2025 to improve the fuel economy of and reduce greenhouse gas emissions from model year 2017-2025 light-duty vehicles implementation</t>
  </si>
  <si>
    <t>https://arizona.app.box.com/file/386243204243</t>
  </si>
  <si>
    <t>corporate average fuel economy (cafe) proposed standards for model year 2011-2015 passenger cars and light trucks implementation</t>
  </si>
  <si>
    <t>Final(10/17/2008);Draft(07/03/2008)</t>
  </si>
  <si>
    <t>https://arizona.app.box.com/file/386248769861</t>
  </si>
  <si>
    <t>https://arizona.app.box.com/file/386246026711</t>
  </si>
  <si>
    <t>medium - and heavy - duty fuel efficiency improvement program proposing coordinated and harmonized fuel consumption and greenhouse gas (ghg) emissions standards united states</t>
  </si>
  <si>
    <t>Draft(10/29/2010);Final(06/24/2011)</t>
  </si>
  <si>
    <t>https://arizona.app.box.com/file/386256854340</t>
  </si>
  <si>
    <t>project214</t>
  </si>
  <si>
    <t>Draft(11/25/2011);Final(07/13/2012)</t>
  </si>
  <si>
    <t>standards for the growing, harvesting, packing, and holding of produce for human consumption</t>
  </si>
  <si>
    <t>Final(11/27/2015)</t>
  </si>
  <si>
    <t>FDA</t>
  </si>
  <si>
    <t>https://arizona.app.box.com/file/389163387340</t>
  </si>
  <si>
    <t>project215</t>
  </si>
  <si>
    <t>corpus christi lng project</t>
  </si>
  <si>
    <t>Draft(06/20/2014);Final(10/17/2014)</t>
  </si>
  <si>
    <t>https://arizona.app.box.com/file/389264077857</t>
  </si>
  <si>
    <t>https://arizona.app.box.com/file/389169245157</t>
  </si>
  <si>
    <t>https://arizona.app.box.com/file/389267520626</t>
  </si>
  <si>
    <t>https://arizona.app.box.com/file/389155654277</t>
  </si>
  <si>
    <t>adoption - corpus christi liquefied natural gas (lng) project</t>
  </si>
  <si>
    <t>corpus christi ocean dredged material disposal site designation for material dredged from the corpus christi entrance channel tx</t>
  </si>
  <si>
    <t>Draft(09/30/1988);Final(04/21/1989)</t>
  </si>
  <si>
    <t>cheniere corpus christi liquefied natural gas (lng) project to provide facilities for the importation storage and vaporization of liquefied natural gas nueces and san patricio counties tx</t>
  </si>
  <si>
    <t>Final(03/11/2005)</t>
  </si>
  <si>
    <t>https://arizona.app.box.com/file/386240033501</t>
  </si>
  <si>
    <t>cheniere corpus christi liquefied natural gas (lng) project to provide facilities for the importation storage and vaporization of liguefied natural gas nueces and san patricio counties tx</t>
  </si>
  <si>
    <t>Draft(11/26/2004)</t>
  </si>
  <si>
    <t>https://arizona.app.box.com/file/386213379812</t>
  </si>
  <si>
    <t>project217</t>
  </si>
  <si>
    <t>craters of the moon national monument and preserve management plan amendment</t>
  </si>
  <si>
    <t>Draft(09/30/2016);Final(05/26/2017)</t>
  </si>
  <si>
    <t>craters of the moon national monument and preserve update and consolidate management plans into one comprehensive plan snake river plain butte blaine lincoln and minidoka counties id</t>
  </si>
  <si>
    <t>Draft(04/30/2004);Final(08/12/2005)</t>
  </si>
  <si>
    <t>https://arizona.app.box.com/file/386242094568</t>
  </si>
  <si>
    <t>https://arizona.app.box.com/file/386218674226</t>
  </si>
  <si>
    <t>denali national park and preserve backcountry management plan and general management plan amendment implementation ak</t>
  </si>
  <si>
    <t>Draft(03/07/2003)</t>
  </si>
  <si>
    <t>https://arizona.app.box.com/file/386263589556</t>
  </si>
  <si>
    <t>rio puerco resource management plan amendment managing land and resource for el malpais national conservation area and chain of craters wilderness study area lies south of the city of grants cibola county nm</t>
  </si>
  <si>
    <t>Final(09/22/2000);Draft(06/11/1999)</t>
  </si>
  <si>
    <t>https://arizona.app.box.com/file/389151193705</t>
  </si>
  <si>
    <t>denali national park and preserve revised draft backcountry management plan general management plan amendment implementation ak</t>
  </si>
  <si>
    <t>Draft(04/29/2005)</t>
  </si>
  <si>
    <t>https://arizona.app.box.com/file/386246678205</t>
  </si>
  <si>
    <t>project219</t>
  </si>
  <si>
    <t>crenshaw transit corridor project proposes to improve transit services funding los angeles county metropolitan transportation authority (lacmta) los angeles county ca</t>
  </si>
  <si>
    <t>Final(09/09/2011);Draft(09/11/2009)</t>
  </si>
  <si>
    <t>https://arizona.app.box.com/file/386248687303</t>
  </si>
  <si>
    <t>https://arizona.app.box.com/file/386213945129</t>
  </si>
  <si>
    <t>crenshaw transit corridor project updated information on a new evaluation of maintenance sites proposals to improve transit services funding los angeles county metropolitan transportation authority (lacmta) los angeles county ca</t>
  </si>
  <si>
    <t>Revised Draft(02/25/2011)</t>
  </si>
  <si>
    <t>https://arizona.app.box.com/file/386241768525</t>
  </si>
  <si>
    <t>westside subway extension transit corridor project extension of the existing metro purple line and metro red line heavy rail subway los angeles county metropolitan transportation authority los angeles county ca</t>
  </si>
  <si>
    <t>Final(03/23/2012);Draft(09/03/2010)</t>
  </si>
  <si>
    <t>https://arizona.app.box.com/file/386241479944</t>
  </si>
  <si>
    <t>https://arizona.app.box.com/file/386246129908</t>
  </si>
  <si>
    <t>capitol expressway corridor project public transit services improvement santa clara valley transportation authority city of san jose santa clara county ca</t>
  </si>
  <si>
    <t>Draft(05/14/2004)</t>
  </si>
  <si>
    <t>https://arizona.app.box.com/file/386242851279</t>
  </si>
  <si>
    <t>los angeles metro rail rapid transit project updated information and change in the designation of the locally preferred alternative to the pico/ san vicente alternative stations at olympic/ crenshaw and pico/san vicente funding los angeles county ca</t>
  </si>
  <si>
    <t>Third Draft Supplemental(01/31/1992);Second Final Supplemental(09/18/1992)</t>
  </si>
  <si>
    <t>project22</t>
  </si>
  <si>
    <t>alta east wind project plan amendment</t>
  </si>
  <si>
    <t>Final(02/15/2013);Draft(06/29/2012)</t>
  </si>
  <si>
    <t>alta east wind project proposed plan amendment</t>
  </si>
  <si>
    <t>https://arizona.app.box.com/file/389267992516</t>
  </si>
  <si>
    <t>https://arizona.app.box.com/file/389164880923</t>
  </si>
  <si>
    <t>alta east wind project development of a 318-megawatt wind energy facility kern county ca</t>
  </si>
  <si>
    <t>Draft(06/29/2012)</t>
  </si>
  <si>
    <t>https://arizona.app.box.com/file/386227613018</t>
  </si>
  <si>
    <t>tylerhorse wind project draft plan amendment</t>
  </si>
  <si>
    <t>https://arizona.app.box.com/file/389268193483</t>
  </si>
  <si>
    <t>https://arizona.app.box.com/file/389167420520</t>
  </si>
  <si>
    <t>alta ski area master development plan update approval special-use-permit and coe permits issuance wasatch-cache national forest salt lake ranger district salt lake county ut</t>
  </si>
  <si>
    <t>Final(04/25/1997);Draft(10/18/1996)</t>
  </si>
  <si>
    <t>https://arizona.app.box.com/file/386242963041</t>
  </si>
  <si>
    <t>project220</t>
  </si>
  <si>
    <t>criminal alien requirement (car) 12 procurement project to award a contract to house a population of approximately 1 750 federal low-security adult male criminal alien in a contractor owned and operated facility possible site selection: mcrae correctional facility mcrae georgia great plains correctional facility hinton oklahoma and scott county mississippi</t>
  </si>
  <si>
    <t>Draft(06/24/2011);Final(09/09/2011)</t>
  </si>
  <si>
    <t>criminal alien requirement (car) ii to contract for a private contractor-owned/contractor-operated correctional facility in florida mississippi georgia and alabama to house adult-male and non-us citizen</t>
  </si>
  <si>
    <t>Draft(06/08/2001)</t>
  </si>
  <si>
    <t>https://arizona.app.box.com/file/386227158568</t>
  </si>
  <si>
    <t>criminal alien requirement (car) ii to contract for a private contractor-owned/contractor-operated correctional facility in florida mississippi georgia and alabama to house adult-male and non-u.s. citizens al fl ga and/or ms</t>
  </si>
  <si>
    <t>Final(09/28/2001)</t>
  </si>
  <si>
    <t>https://arizona.app.box.com/file/386240250145</t>
  </si>
  <si>
    <t>criminal alien requirement 9 project proposal to contract with one or more private contractors to house up to 2 500 federa low-security adult male non-us citizen criminal aliens at contractor owned and operated correctional facilities located in baldwin mi and/or lake city fl</t>
  </si>
  <si>
    <t>Draft(11/06/2009)</t>
  </si>
  <si>
    <t>https://arizona.app.box.com/file/386232171887</t>
  </si>
  <si>
    <t>district of columbia - iii project proposal for contractor-owned/operated facility to house felons and criminal aliens possible sites: winton site hertford county nc and princess anne site somerset county md</t>
  </si>
  <si>
    <t>Final(05/07/2010);Draft(01/22/2010)</t>
  </si>
  <si>
    <t>https://arizona.app.box.com/file/386240704387</t>
  </si>
  <si>
    <t>https://arizona.app.box.com/file/386213497088</t>
  </si>
  <si>
    <t>project223</t>
  </si>
  <si>
    <t>Draft(08/19/2011);Final(11/29/2013)</t>
  </si>
  <si>
    <t>tampa south crosstown expressway extension i-75 to fl- 60 east of the brandon area improvement funding right-of-way and section 404 permit hillsborough fl</t>
  </si>
  <si>
    <t>Draft(09/13/1991)</t>
  </si>
  <si>
    <t>i-40 crosstown expressway transportation improvements i-235/i-35 interchange west to meridian avenue funding. oklahoma city oklahoma county ok</t>
  </si>
  <si>
    <t>Final(02/15/2002)</t>
  </si>
  <si>
    <t>https://arizona.app.box.com/file/386242005565</t>
  </si>
  <si>
    <t>i-40 crosstown expressway transportation improvements from i-235/i-35 interchange west to meridan avenue funding oklahoma city oklahoma county ok</t>
  </si>
  <si>
    <t>Draft(01/19/2001)</t>
  </si>
  <si>
    <t>https://arizona.app.box.com/file/386213373816</t>
  </si>
  <si>
    <t>crosstown parkway extension project new bridge crossing of the north fork st. lucie river crosstown parkway from manth lane to u.s. 1 st. lucie county fl</t>
  </si>
  <si>
    <t>Draft(08/19/2011)</t>
  </si>
  <si>
    <t>https://arizona.app.box.com/file/386244787510</t>
  </si>
  <si>
    <t>project225</t>
  </si>
  <si>
    <t>cumbres vegetation management project</t>
  </si>
  <si>
    <t>Final(05/09/2014);Draft(12/20/2013)</t>
  </si>
  <si>
    <t>https://arizona.app.box.com/file/389263278717</t>
  </si>
  <si>
    <t>https://arizona.app.box.com/file/389138361663</t>
  </si>
  <si>
    <t>https://arizona.app.box.com/file/389263961378</t>
  </si>
  <si>
    <t>project227</t>
  </si>
  <si>
    <t>Final(12/05/2014);Draft(07/26/2013)</t>
  </si>
  <si>
    <t>cuyahoga valley national park trail management plan</t>
  </si>
  <si>
    <t>https://arizona.app.box.com/file/389264288417</t>
  </si>
  <si>
    <t>https://arizona.app.box.com/file/389152770270</t>
  </si>
  <si>
    <t>fire island national seashore draft white-tailed deer management plan</t>
  </si>
  <si>
    <t>Draft(08/08/2014)</t>
  </si>
  <si>
    <t>https://arizona.app.box.com/file/389255431912</t>
  </si>
  <si>
    <t>https://arizona.app.box.com/file/389152012289</t>
  </si>
  <si>
    <t>fire island national seashore final white-tailed deer management plan</t>
  </si>
  <si>
    <t>Final(01/08/2016)</t>
  </si>
  <si>
    <t>https://arizona.app.box.com/file/389168433404</t>
  </si>
  <si>
    <t>project229</t>
  </si>
  <si>
    <t>dam safety modifications at cherokee fort loudoun tellico and watts bar dams</t>
  </si>
  <si>
    <t>Final(05/31/2013);Draft(10/05/2012)</t>
  </si>
  <si>
    <t>Final(05/31/2013)</t>
  </si>
  <si>
    <t>https://arizona.app.box.com/file/389264122422</t>
  </si>
  <si>
    <t>https://arizona.app.box.com/file/389152846342</t>
  </si>
  <si>
    <t>dam safety modifications at cherokee fort loudoun tellico and watts bar dams grainger jefferson loudoun rhea and meigs counties tn</t>
  </si>
  <si>
    <t>Draft(10/05/2012)</t>
  </si>
  <si>
    <t>https://arizona.app.box.com/file/386245723664</t>
  </si>
  <si>
    <t>watts bar nuclear plant units 1 and 2 operating license rhea county tn</t>
  </si>
  <si>
    <t>Final Supplement(05/05/1995)</t>
  </si>
  <si>
    <t>operation of watts bar nuclear plant unit 2 nureg-0498 supplement 2</t>
  </si>
  <si>
    <t>Final Supplement(06/14/2013)</t>
  </si>
  <si>
    <t>https://arizona.app.box.com/file/389265439196</t>
  </si>
  <si>
    <t>https://arizona.app.box.com/file/389162991018</t>
  </si>
  <si>
    <t>related to the operation of watts bar nuclear plant units 2 new and updated information operating license rhea county tn</t>
  </si>
  <si>
    <t>Second Draft Supplemental(11/10/2011)</t>
  </si>
  <si>
    <t>https://arizona.app.box.com/file/386242384778</t>
  </si>
  <si>
    <t>project23</t>
  </si>
  <si>
    <t>amargosa farm road solar energy project construction and operation of two concentrated solar power plant facilties right-of-way application on public lands nye county nv</t>
  </si>
  <si>
    <t>Draft(03/19/2010);Final(10/15/2010)</t>
  </si>
  <si>
    <t>https://arizona.app.box.com/file/386214208293</t>
  </si>
  <si>
    <t>amargosa farm road solar energy project construction and operation of two concentrated solar power plant facilities right-of-way application on public lands nye county nv</t>
  </si>
  <si>
    <t>Draft(03/19/2010)</t>
  </si>
  <si>
    <t>https://arizona.app.box.com/file/386246396845</t>
  </si>
  <si>
    <t>tonopah solar energy crescent dunes solar energy project a 7 680-acre right-of-way (row) on public lands to construct a concentrated solar thermal power plant facility nye county nv</t>
  </si>
  <si>
    <t>Final(11/19/2010);Draft(09/03/2010)</t>
  </si>
  <si>
    <t>https://arizona.app.box.com/file/386240102795</t>
  </si>
  <si>
    <t>https://arizona.app.box.com/file/386217060347</t>
  </si>
  <si>
    <t>silver state solar energy project construction and operation of a 400-megawatt photovoltaic solar plant and associated facilities on public lands application right-of-way grant primm and clark counties nv</t>
  </si>
  <si>
    <t>Final(09/10/2010)</t>
  </si>
  <si>
    <t>https://arizona.app.box.com/file/386244678934</t>
  </si>
  <si>
    <t>silver state solar energy project construct and operate a 400-megawatt photovoltaic solar plant and associated facilities on public lands application right-of-way grant primm clark county nv</t>
  </si>
  <si>
    <t>Draft(04/16/2010)</t>
  </si>
  <si>
    <t>https://arizona.app.box.com/file/386237823903</t>
  </si>
  <si>
    <t>project231</t>
  </si>
  <si>
    <t>deepwater horizon oil spill alabama trustee implementation group final restoration plan i and environmental impact statement: provide and enhance recreational opportunities</t>
  </si>
  <si>
    <t>Draft(12/16/2016);Final(04/14/2017)</t>
  </si>
  <si>
    <t>deepwater horizon oil spill draft restoration plan i and eis_provide and enhance recreational opportunities</t>
  </si>
  <si>
    <t>https://arizona.app.box.com/file/389174084674</t>
  </si>
  <si>
    <t>https://arizona.app.box.com/file/386226038076</t>
  </si>
  <si>
    <t>programmatic - deepwater horizon oil spill: draft programmatic damage assessment and restoration plan</t>
  </si>
  <si>
    <t>Draft(10/05/2015)</t>
  </si>
  <si>
    <t>https://arizona.app.box.com/file/389174265634</t>
  </si>
  <si>
    <t>https://arizona.app.box.com/file/386238281996</t>
  </si>
  <si>
    <t>programmatic - deepwater horizon oil spill: phase iii early restoration plan</t>
  </si>
  <si>
    <t>Final(06/27/2014)</t>
  </si>
  <si>
    <t>https://arizona.app.box.com/file/389262466133</t>
  </si>
  <si>
    <t>adoption - programmatic- deepwater horizon oil spill: phase iii early restoration plan</t>
  </si>
  <si>
    <t>Final(10/10/2014)</t>
  </si>
  <si>
    <t>programmatic-deepwater horizon oil spill natural resource damage assessment early restoration plan</t>
  </si>
  <si>
    <t>Draft(12/13/2013)</t>
  </si>
  <si>
    <t>https://arizona.app.box.com/file/389267775854</t>
  </si>
  <si>
    <t>https://arizona.app.box.com/file/389162724373</t>
  </si>
  <si>
    <t>project232</t>
  </si>
  <si>
    <t>deer creek station energy facility project 300-megawatt (mw) natural gas-fired generation facility brookings county sd</t>
  </si>
  <si>
    <t>Final(05/28/2010);Draft(02/05/2010)</t>
  </si>
  <si>
    <t>deer creek station energy facility project proposed 300-megawatt (mw) natural gas-fired generation facility brookings county sd</t>
  </si>
  <si>
    <t>https://arizona.app.box.com/file/389138587492</t>
  </si>
  <si>
    <t>https://arizona.app.box.com/file/389167003125</t>
  </si>
  <si>
    <t>cob energy facility 1 160-megawatt (mw) natural gas fired and combined-cycle electric generating plant right-of-way permit klamath basin klamath county or</t>
  </si>
  <si>
    <t>Draft(11/28/2003)</t>
  </si>
  <si>
    <t>https://arizona.app.box.com/file/386241672785</t>
  </si>
  <si>
    <t>plymouth generating facility construction and operation of a 307-megawatt (mw) natural gas-fired combined cycle power generation facility on a 44.5 acre site conditional use/special use permit issuance benton county wa</t>
  </si>
  <si>
    <t>https://arizona.app.box.com/file/386214104032</t>
  </si>
  <si>
    <t>plymouth generating facility construction and operation of a 307-megawatt (mw) natural gas-fired combined cycle power generation facility on a 44.5 acre site conditionaluse/special permit issuance benton county wa</t>
  </si>
  <si>
    <t>Draft(08/30/2002)</t>
  </si>
  <si>
    <t>https://arizona.app.box.com/file/386227756476</t>
  </si>
  <si>
    <t>big sandy energy project construction and operation 720-megawatt (mw) natural gas-fired combined-cycle power plants right-of-way grant mohave county az</t>
  </si>
  <si>
    <t>Draft(06/22/2001)</t>
  </si>
  <si>
    <t>https://arizona.app.box.com/file/386247432300</t>
  </si>
  <si>
    <t>project233</t>
  </si>
  <si>
    <t>deer flat national wildlife refuge comprehensive conservation plan</t>
  </si>
  <si>
    <t>Final(02/20/2015);Draft(03/15/2013)</t>
  </si>
  <si>
    <t>https://arizona.app.box.com/file/389264303346</t>
  </si>
  <si>
    <t>project238</t>
  </si>
  <si>
    <t>desert harvest solar project construction operation maintenance and decommissioning of a 150-megawatt photovoltaic solar energy facility and generation-intertie transmission line consideration of issuance of a right-of-way grant riverside county ca</t>
  </si>
  <si>
    <t>Final(11/02/2012);Draft(04/13/2012)</t>
  </si>
  <si>
    <t>https://arizona.app.box.com/file/386238876998</t>
  </si>
  <si>
    <t>https://arizona.app.box.com/file/389179245044</t>
  </si>
  <si>
    <t>https://arizona.app.box.com/file/386213019406</t>
  </si>
  <si>
    <t>rice solar energy project proposed 150 megawatt solar energy generating facility 161-kv/230-kv electrical transmission tie-line and 161-kv/230-kv electrical interconnection switchyard riverside county ca</t>
  </si>
  <si>
    <t>Final(06/10/2011)</t>
  </si>
  <si>
    <t>https://arizona.app.box.com/file/389168016277</t>
  </si>
  <si>
    <t>mccoy solar energy project development of up to 750-megawatt(mw) solar energy plant right-of-way grant riverside county ca</t>
  </si>
  <si>
    <t>Draft(05/25/2012)</t>
  </si>
  <si>
    <t>https://arizona.app.box.com/file/386240047241</t>
  </si>
  <si>
    <t>project239</t>
  </si>
  <si>
    <t>desert renewable energy conservation plan land use plan amendment</t>
  </si>
  <si>
    <t>Final(11/13/2015);Draft(09/26/2014)</t>
  </si>
  <si>
    <t>west mojave planning area draft plan amendment to the california desert conservation area plan</t>
  </si>
  <si>
    <t>Draft(03/06/2015)</t>
  </si>
  <si>
    <t>https://arizona.app.box.com/file/389257385466</t>
  </si>
  <si>
    <t>https://arizona.app.box.com/file/389153436325</t>
  </si>
  <si>
    <t>project240</t>
  </si>
  <si>
    <t>desertxpress high-speed passenger train project proposes to construct and operate high-speed passenger train between victorville california and las vegas nevada</t>
  </si>
  <si>
    <t>Draft(03/27/2009);Final(04/01/2011)</t>
  </si>
  <si>
    <t>https://arizona.app.box.com/file/386256490417</t>
  </si>
  <si>
    <t>https://arizona.app.box.com/file/386241530731</t>
  </si>
  <si>
    <t>desertxpress high-speed passenger train project updated information on project modification and additions proposes to construct and operate high-speed passenger train between victorville california and las vegas nevada</t>
  </si>
  <si>
    <t>Draft Supplement(09/03/2010)</t>
  </si>
  <si>
    <t>https://arizona.app.box.com/file/386256387540</t>
  </si>
  <si>
    <t>project241</t>
  </si>
  <si>
    <t>designation of an ocean dredged material disposal site offshore of jacksonville</t>
  </si>
  <si>
    <t>Draft(05/25/2012);Final(10/17/2014)</t>
  </si>
  <si>
    <t>Final(10/17/2014)</t>
  </si>
  <si>
    <t>https://arizona.app.box.com/file/389267515826</t>
  </si>
  <si>
    <t>jacksonville ocean dredged material disposal site (odmds) designation offshore of jacksonville fl</t>
  </si>
  <si>
    <t>https://arizona.app.box.com/file/389186438542</t>
  </si>
  <si>
    <t>offshore norfolk ocean dredged material disposal site designation norfolk va</t>
  </si>
  <si>
    <t>Final(02/05/1993);Draft(08/09/1991)</t>
  </si>
  <si>
    <t>apra harbor guam proposed site designation of an ocean dredged material disposal site offshore of guam</t>
  </si>
  <si>
    <t>Final(04/16/2010);Draft(07/31/2009)</t>
  </si>
  <si>
    <t>miami offshore ocean dredged material disposal site (odmds) designation fl</t>
  </si>
  <si>
    <t>Draft(09/07/1990);Final(09/01/1995)</t>
  </si>
  <si>
    <t>project244</t>
  </si>
  <si>
    <t>dewey-burdock in-situ uranium recovery (isr) project proposal to construct, operate, conduct aquifer restoration and decommission an in-situ recovery uranium facility in fall river and custer counties, sd</t>
  </si>
  <si>
    <t>Final(01/13/2014);Draft(11/26/2012)</t>
  </si>
  <si>
    <t>moore ranch in-situ uranium recovery (isr) project proposal to construct operate conduct aquifer restoration and decommission an in-situ recovery (isr) facility nureg-1910 campbell county wy</t>
  </si>
  <si>
    <t>Final(08/27/2010);Draft(12/11/2009)</t>
  </si>
  <si>
    <t>https://arizona.app.box.com/file/386242781944</t>
  </si>
  <si>
    <t>https://arizona.app.box.com/file/386241644035</t>
  </si>
  <si>
    <t>nichols ranch in-situ uranium recovery (isr) project proposal to construct operate conduct aquifer restoration and decommission and in-situ recovery uranium milling facility campbell and johnson counties wy</t>
  </si>
  <si>
    <t>Draft(12/11/2009);Final(01/28/2011)</t>
  </si>
  <si>
    <t>https://arizona.app.box.com/file/386245157965</t>
  </si>
  <si>
    <t>https://arizona.app.box.com/file/386254893723</t>
  </si>
  <si>
    <t>lost creek in-situ uranium recovery (isr) project proposal to construct operate conduit aquifer restoration and decommission an in-situ recovery (isr) uranium milling facility sweetwater county wy</t>
  </si>
  <si>
    <t>Draft(12/11/2009);Final(06/24/2011)</t>
  </si>
  <si>
    <t>https://arizona.app.box.com/file/386243016313</t>
  </si>
  <si>
    <t>https://arizona.app.box.com/file/386243027229</t>
  </si>
  <si>
    <t>dewey-burdock project supplement to the in-situ leach uranium milling facilities custer and fall river counties sd</t>
  </si>
  <si>
    <t>Draft Supplement(11/23/2012)</t>
  </si>
  <si>
    <t>https://arizona.app.box.com/file/389263774469</t>
  </si>
  <si>
    <t>https://arizona.app.box.com/file/386245399116</t>
  </si>
  <si>
    <t>dewey-burdock project supplement to the generic environmental impact statement for in-situ leach uranium milling facilities</t>
  </si>
  <si>
    <t>Final(02/07/2014)</t>
  </si>
  <si>
    <t>https://arizona.app.box.com/file/389265263099</t>
  </si>
  <si>
    <t>https://arizona.app.box.com/file/389166215488</t>
  </si>
  <si>
    <t>project247</t>
  </si>
  <si>
    <t>disposal and reuse of the former naval weapons station seal beach, detachment concord</t>
  </si>
  <si>
    <t>Draft(10/10/2014);Final(08/18/2017)</t>
  </si>
  <si>
    <t>disposal and reuse of the former naval weapons station seal beach detachment concord</t>
  </si>
  <si>
    <t>Draft(10/10/2014)</t>
  </si>
  <si>
    <t>https://arizona.app.box.com/file/389267419477</t>
  </si>
  <si>
    <t>https://arizona.app.box.com/file/389164358716</t>
  </si>
  <si>
    <t>disposal and reuse of the former naval air station joint reserve base (nas jrb)</t>
  </si>
  <si>
    <t>https://arizona.app.box.com/file/389263927303</t>
  </si>
  <si>
    <t>https://arizona.app.box.com/file/389169608476</t>
  </si>
  <si>
    <t>seal beach national wildlife refuge and seal beach naval weapons station endangered species management and protection plan development and implementation orange county ca the department of the interior's fish and wildlife service and the u. s. navy are</t>
  </si>
  <si>
    <t>Final(08/31/1990);Draft(05/18/1990)</t>
  </si>
  <si>
    <t>philadelphia (former) naval base hospital disposal and reuse implementation city of philadelphia pa</t>
  </si>
  <si>
    <t>Draft(03/03/1995)</t>
  </si>
  <si>
    <t>project251</t>
  </si>
  <si>
    <t>dominguez-escalante national conservation area resource management plan</t>
  </si>
  <si>
    <t>Draft(05/24/2013);Final(07/01/2016)</t>
  </si>
  <si>
    <t>dominiguez-escalante national conservation area draft resource management plan</t>
  </si>
  <si>
    <t>https://arizona.app.box.com/file/389163120058</t>
  </si>
  <si>
    <t>gunnison gorge national conservation area resource management plan implementation montrose and delta counties co</t>
  </si>
  <si>
    <t>Final(01/23/2004);Draft(03/14/2003)</t>
  </si>
  <si>
    <t>https://arizona.app.box.com/file/386246527293</t>
  </si>
  <si>
    <t>san pedro riparian national conservation area resource management plan and environmental impact statement</t>
  </si>
  <si>
    <t>Draft(06/29/2018)</t>
  </si>
  <si>
    <t>https://arizona.app.box.com/file/389177388328</t>
  </si>
  <si>
    <t>https://arizona.app.box.com/file/386239526753</t>
  </si>
  <si>
    <t>king range national conservation area (krnca) resource management plan implementation humboldt and mendocino counties ca</t>
  </si>
  <si>
    <t>project252</t>
  </si>
  <si>
    <t>double-crested cormorant management plan to reduce predation of juvenile salmonids in the columbia river estuary</t>
  </si>
  <si>
    <t>Draft(06/20/2014);Final(02/13/2015)</t>
  </si>
  <si>
    <t>https://arizona.app.box.com/file/389262573188</t>
  </si>
  <si>
    <t>https://arizona.app.box.com/file/389161880979</t>
  </si>
  <si>
    <t>https://arizona.app.box.com/file/389162138144</t>
  </si>
  <si>
    <t>caspian tern (sterna caspia) management to reduce predation of juvenile salmonids in the columbia river estuary to comply with the 2002 settlement agreement endangered species act (esa) columbia river wa or id and ca</t>
  </si>
  <si>
    <t>Final(01/14/2005)</t>
  </si>
  <si>
    <t>https://arizona.app.box.com/file/389161827056</t>
  </si>
  <si>
    <t>programmatic - double crested cormorant (dcc0s) management plan to reduce resource conflicts enhance the flexibility of natural resource agencies in dealing with dcco related resource conflicts and to ensure the conservation of healthy viable dcco population implementation the contiguous united states</t>
  </si>
  <si>
    <t>Draft(11/16/2001)</t>
  </si>
  <si>
    <t>https://arizona.app.box.com/file/389138917809</t>
  </si>
  <si>
    <t>caspian tern (sterna caspia) management reducing predation of juvenile salmoids in the columbia river estuary compliance with the 2002 settlement agreement endangered species act (esa) columbia river wa or id and ca</t>
  </si>
  <si>
    <t>Draft(07/23/2004)</t>
  </si>
  <si>
    <t>https://arizona.app.box.com/file/389145836917</t>
  </si>
  <si>
    <t>programmatic - double crested cormorant (dcc0s) management plan resource conflicts reductions flexibility enhancementsof natural resource agencies in dealing with dcco related resource conflicts and to ensure the conservation of healthy viable dcco population implementation the contiguous united states</t>
  </si>
  <si>
    <t>Final(08/22/2003)</t>
  </si>
  <si>
    <t>project256</t>
  </si>
  <si>
    <t>draper transit corridor project to improve transportation mobility and connectivity for residents and commuters in the project study area salt lake county ut</t>
  </si>
  <si>
    <t>Final(07/23/2010);Draft(12/18/2009)</t>
  </si>
  <si>
    <t>https://arizona.app.box.com/file/386245801153</t>
  </si>
  <si>
    <t>https://arizona.app.box.com/file/386241743951</t>
  </si>
  <si>
    <t>https://arizona.app.box.com/file/386247268617</t>
  </si>
  <si>
    <t>south sacramento corridor phase 2 improve transit service and enhance regional connectivity funding in the city and county sacramento ca</t>
  </si>
  <si>
    <t>Second Final Supplemental(10/17/2008);Second Draft Supplemental(02/16/2007)</t>
  </si>
  <si>
    <t>https://arizona.app.box.com/file/386243578420</t>
  </si>
  <si>
    <t>https://arizona.app.box.com/file/386241608851</t>
  </si>
  <si>
    <t>i-15 corridor project transportation improvement from utah county to salt lake county ut</t>
  </si>
  <si>
    <t>Final(06/27/2008);Draft(11/23/2007)</t>
  </si>
  <si>
    <t>https://arizona.app.box.com/file/386215830480</t>
  </si>
  <si>
    <t>https://arizona.app.box.com/file/386243187565</t>
  </si>
  <si>
    <t>project257</t>
  </si>
  <si>
    <t>durham-orange light rail</t>
  </si>
  <si>
    <t>Draft(08/28/2015);Final(02/26/2016)</t>
  </si>
  <si>
    <t>durham-eno river wastewater treatment facility expansion durham and orange counties nc</t>
  </si>
  <si>
    <t>Draft(01/05/1990);Final(09/28/1990)</t>
  </si>
  <si>
    <t>phase i regional rail system improvements durham to raleigh implementation durham and wake counties nc</t>
  </si>
  <si>
    <t>Final(12/06/2002);Draft(05/18/2001)</t>
  </si>
  <si>
    <t>https://arizona.app.box.com/file/386250822442</t>
  </si>
  <si>
    <t>https://arizona.app.box.com/file/386243272091</t>
  </si>
  <si>
    <t>https://arizona.app.box.com/file/389174160395</t>
  </si>
  <si>
    <t>https://arizona.app.box.com/file/386238023358</t>
  </si>
  <si>
    <t>bottineau transitway corridor light rail project</t>
  </si>
  <si>
    <t>Draft(04/11/2014)</t>
  </si>
  <si>
    <t>https://arizona.app.box.com/file/389268170683</t>
  </si>
  <si>
    <t>https://arizona.app.box.com/file/389165962156</t>
  </si>
  <si>
    <t>https://arizona.app.box.com/file/389168809881</t>
  </si>
  <si>
    <t>https://arizona.app.box.com/file/386216543312</t>
  </si>
  <si>
    <t>project258</t>
  </si>
  <si>
    <t>dyke marsh wetland restoration and long-term management plan</t>
  </si>
  <si>
    <t>Final(10/10/2014);Draft(01/17/2014)</t>
  </si>
  <si>
    <t>https://arizona.app.box.com/file/389264079205</t>
  </si>
  <si>
    <t>https://arizona.app.box.com/file/389162913532</t>
  </si>
  <si>
    <t>https://arizona.app.box.com/file/389257096466</t>
  </si>
  <si>
    <t>https://arizona.app.box.com/file/389169156620</t>
  </si>
  <si>
    <t>hamilton wetland restoration project tidal salt marsh habitat alameda county ca</t>
  </si>
  <si>
    <t>Final(03/12/1999);Draft(08/14/1998)</t>
  </si>
  <si>
    <t>upper truckee river and marsh restoration project</t>
  </si>
  <si>
    <t>Final(12/18/2015);Draft(03/08/2013)</t>
  </si>
  <si>
    <t>https://arizona.app.box.com/file/389257752661</t>
  </si>
  <si>
    <t>https://arizona.app.box.com/file/389166625461</t>
  </si>
  <si>
    <t>https://arizona.app.box.com/file/389168310778</t>
  </si>
  <si>
    <t>suisun marsh habitat management preservation and restoration plan implementation ca</t>
  </si>
  <si>
    <t>Draft(11/05/2010);Final(12/16/2011)</t>
  </si>
  <si>
    <t>https://arizona.app.box.com/file/386214016270</t>
  </si>
  <si>
    <t>https://arizona.app.box.com/file/386217187232</t>
  </si>
  <si>
    <t>project26</t>
  </si>
  <si>
    <t>amendment 11 to the atlantic mackerel squid and butterfish (msb) update information msb essential fish habitat; establish a mackerel recreational allocation ; establish a cap to limit the at-sea processing of mackerel fishery management plan (fmp) establish an atlantic mackerel limited access program implementation</t>
  </si>
  <si>
    <t>Final(07/01/2011);Draft(01/15/2010)</t>
  </si>
  <si>
    <t>Final(07/01/2011);Draft Supplement(08/27/2010)</t>
  </si>
  <si>
    <t>https://arizona.app.box.com/file/386241781249</t>
  </si>
  <si>
    <t>amendment 11 to the atlantic mackerel squid and butterfish (msb) fishery management plan (fmp) establish an atlantic mackerel limited access program implementation</t>
  </si>
  <si>
    <t>Draft(01/15/2010)</t>
  </si>
  <si>
    <t>https://arizona.app.box.com/file/386243947282</t>
  </si>
  <si>
    <t>amendment 14 to the atlantic mackerel squid and butterfish fishery management plan implementation</t>
  </si>
  <si>
    <t>https://arizona.app.box.com/file/386240081787</t>
  </si>
  <si>
    <t>atlantic mackerel squid and butterfish fishery management plan amendment #9 implementation essential fish habitat (efh) exclusive economic zone(eez)</t>
  </si>
  <si>
    <t>Draft Supplement(04/06/2007);Final Supplement(03/28/2008)</t>
  </si>
  <si>
    <t>https://arizona.app.box.com/file/386248062167</t>
  </si>
  <si>
    <t>atlantic mackerel squid and butterfish fisheries fishery management plan amendment no. 5 implementation exclusive economic zone (eez) off the us atlantic coast</t>
  </si>
  <si>
    <t>Draft(12/09/1994);Final(12/08/1995)</t>
  </si>
  <si>
    <t>project260</t>
  </si>
  <si>
    <t>eagle rock enrichment facility construct operate and decommission proposed facility would enrich uranium for use in commercial nuclear fuel for power reactors bonneville county id</t>
  </si>
  <si>
    <t>Draft(07/21/2010);Final(02/25/2011)</t>
  </si>
  <si>
    <t>Draft(07/23/2010);Final(02/25/2011)</t>
  </si>
  <si>
    <t>https://arizona.app.box.com/file/386247114381</t>
  </si>
  <si>
    <t>https://arizona.app.box.com/file/386257335571</t>
  </si>
  <si>
    <t>adoption - areva eagle rock enrichment facility construct operate and decommission proposed facility would enrich uranium for use in commercial nuclear fuel for power reactors bonneville county id</t>
  </si>
  <si>
    <t>Final(05/20/2011)</t>
  </si>
  <si>
    <t>ge-hitachi global laser enrichment facility issuance of license to construct operate and decommission a laser-based uranium enrichment facility wilmington nc</t>
  </si>
  <si>
    <t>https://arizona.app.box.com/file/386245260353</t>
  </si>
  <si>
    <t>ge-hitachi global laser enrichment llc facility construct operate and decommission a laser-based uranium enrichment facility wilmington nc</t>
  </si>
  <si>
    <t>https://arizona.app.box.com/file/386219282654</t>
  </si>
  <si>
    <t>national enrichment facility (nef) to construct operate and decommission a gas centrifuge uranium enrichment facility license application nureg-1790 near eunice lea county nm</t>
  </si>
  <si>
    <t>Final(07/01/2005)</t>
  </si>
  <si>
    <t>https://arizona.app.box.com/file/386244019539</t>
  </si>
  <si>
    <t>project264</t>
  </si>
  <si>
    <t>east campus integration program</t>
  </si>
  <si>
    <t>Draft(07/08/2016);Final(03/31/2017)</t>
  </si>
  <si>
    <t>NSA</t>
  </si>
  <si>
    <t>https://arizona.app.box.com/file/389175531938</t>
  </si>
  <si>
    <t>https://arizona.app.box.com/file/386241040130</t>
  </si>
  <si>
    <t>south mall campus master plan</t>
  </si>
  <si>
    <t>Draft(11/17/2017);Final(04/20/2018)</t>
  </si>
  <si>
    <t>NCPC</t>
  </si>
  <si>
    <t>https://arizona.app.box.com/file/389174500891</t>
  </si>
  <si>
    <t>https://arizona.app.box.com/file/386244745272</t>
  </si>
  <si>
    <t>https://arizona.app.box.com/file/389168250359</t>
  </si>
  <si>
    <t>https://arizona.app.box.com/file/386238050209</t>
  </si>
  <si>
    <t>naval base coronado coastal campus</t>
  </si>
  <si>
    <t>Draft(07/25/2014);Final(04/03/2015)</t>
  </si>
  <si>
    <t>https://arizona.app.box.com/file/389258765206</t>
  </si>
  <si>
    <t>https://arizona.app.box.com/file/389166141525</t>
  </si>
  <si>
    <t>https://arizona.app.box.com/file/389268556059</t>
  </si>
  <si>
    <t>https://arizona.app.box.com/file/389163610218</t>
  </si>
  <si>
    <t>project265</t>
  </si>
  <si>
    <t>east coast basing of the f-35b project construction demolition and/or modification airfield facilities and infrastructure sc and nc</t>
  </si>
  <si>
    <t>Draft(05/28/2010);Final(10/22/2010)</t>
  </si>
  <si>
    <t>USN USMC</t>
  </si>
  <si>
    <t>https://arizona.app.box.com/file/389152565875</t>
  </si>
  <si>
    <t>https://arizona.app.box.com/file/389168239475</t>
  </si>
  <si>
    <t>united states marine corps joint strike fighter f-35b west coast basing to efficiently and effectively maintain combat capability and mission readiness ca and az</t>
  </si>
  <si>
    <t>Draft(05/21/2010);Final(10/22/2010)</t>
  </si>
  <si>
    <t>https://arizona.app.box.com/file/389152829504</t>
  </si>
  <si>
    <t>https://arizona.app.box.com/file/389155987704</t>
  </si>
  <si>
    <t>palm beach international airport project construction and operation of proposed airfield improvements funding palm beach county fl</t>
  </si>
  <si>
    <t>Draft(09/26/2008);Final(02/04/2011)</t>
  </si>
  <si>
    <t>https://arizona.app.box.com/file/386228580910</t>
  </si>
  <si>
    <t>https://arizona.app.box.com/file/386228326594</t>
  </si>
  <si>
    <t>tucson international airport - airfield safety enhancement project</t>
  </si>
  <si>
    <t>Draft(05/21/2018);Final(08/31/2018)</t>
  </si>
  <si>
    <t>https://arizona.app.box.com/file/389173611875</t>
  </si>
  <si>
    <t>https://arizona.app.box.com/file/386237996099</t>
  </si>
  <si>
    <t>https://arizona.app.box.com/file/389171331902</t>
  </si>
  <si>
    <t>https://arizona.app.box.com/file/386241539805</t>
  </si>
  <si>
    <t>atlantic coast red drum fishery management plan implementation exclusive economic zone (eez) of the east coast of ma nh ma ri ct ny nj pa de md va nc sc ga and fl</t>
  </si>
  <si>
    <t>Draft(04/06/1990);Final(11/09/1990)</t>
  </si>
  <si>
    <t>project270</t>
  </si>
  <si>
    <t>east link rail transit project new and update information proposes to construct and operate an extension of the light rail system from downtown seattle to mercer island bellevue and redmond via interstate 90 funding and us army coe section 404 and 10 permits seattle wa</t>
  </si>
  <si>
    <t>Draft(12/12/2008);Final(07/15/2011)</t>
  </si>
  <si>
    <t>Final(07/15/2011);Draft Supplement(11/12/2010)</t>
  </si>
  <si>
    <t>https://arizona.app.box.com/file/386229716495</t>
  </si>
  <si>
    <t>https://arizona.app.box.com/file/386229726095</t>
  </si>
  <si>
    <t>east link rail transit project proposes to construct and operate an extension of the light rail system from downtown seattle to mercer island bellevue and redmond via interstate 90 funding and us army coe section 404 and 10 permits seattle wa</t>
  </si>
  <si>
    <t>https://arizona.app.box.com/file/386246122297</t>
  </si>
  <si>
    <t>central link light rail transit project (sound transit) construction and operation of the north link light rail extension from downtown seattle and northgate funding right-of-way and us army coe section 404 permits king county wa</t>
  </si>
  <si>
    <t>Second Draft Supplemental(11/21/2003)</t>
  </si>
  <si>
    <t>https://arizona.app.box.com/file/386241577247</t>
  </si>
  <si>
    <t>central link light rail transit project (sound transit) construct and operate an electric rail transit system funding and coe section 10 and 404 permit in the cities of seattle sea tac and tuckwila king county wa</t>
  </si>
  <si>
    <t>Draft(12/11/1998)</t>
  </si>
  <si>
    <t>central link light rail transit project (sound transit) construction and operation of the north link light rail extension from downtown seattle and northgate updated information on refined design concepts funding right-of-way and us army coe section 404 permits king county wa</t>
  </si>
  <si>
    <t>Third Draft Supplemental(10/14/2005);Third Final Supplemental(04/07/2006)</t>
  </si>
  <si>
    <t>https://arizona.app.box.com/file/386241635083</t>
  </si>
  <si>
    <t>project273</t>
  </si>
  <si>
    <t>eastern hills drive and connecting roadways pottawattamie county, iowa hdp-1642(645)--71-78</t>
  </si>
  <si>
    <t>Draft(03/23/2012);Final(09/04/2015)</t>
  </si>
  <si>
    <t>eastern hills drive and connecting roadways construction project to improve transportation network east of council bluff funding usace section 404 permit pottawattamie county ia</t>
  </si>
  <si>
    <t>Draft(03/23/2012)</t>
  </si>
  <si>
    <t>https://arizona.app.box.com/file/386213741315</t>
  </si>
  <si>
    <t>big bear lake bridge replacement project near big bear lake on ca-18 from kilopost 71.1/71.9 realignment and widening roadways us coe section 404 permit funding san bernardino national forest san bernardino county ca</t>
  </si>
  <si>
    <t>Final(05/18/2007);Draft(03/03/2006)</t>
  </si>
  <si>
    <t>https://arizona.app.box.com/file/386217892298</t>
  </si>
  <si>
    <t>https://arizona.app.box.com/file/386213314724</t>
  </si>
  <si>
    <t>avenue g viaduct and connecting corridor access improvement for local emergency services and safety through expanded capacity across the trail corridor funding and npdes permit pottawattamie county ia</t>
  </si>
  <si>
    <t>Final(02/14/2003)</t>
  </si>
  <si>
    <t>avenue g viaduct and connecting corridor to improve access for local emergency services and safety through expanded capacity across the trail corridor funding and npdes permit pottawattamie county ia</t>
  </si>
  <si>
    <t>Draft(06/28/2002)</t>
  </si>
  <si>
    <t>https://arizona.app.box.com/file/386241200100</t>
  </si>
  <si>
    <t>project276</t>
  </si>
  <si>
    <t>eden ridge timber sales</t>
  </si>
  <si>
    <t>Final(08/08/2014);Draft(03/30/2012)</t>
  </si>
  <si>
    <t>Final(08/08/2014)</t>
  </si>
  <si>
    <t>https://arizona.app.box.com/file/389265465767</t>
  </si>
  <si>
    <t>https://arizona.app.box.com/file/389170205880</t>
  </si>
  <si>
    <t>eden ridge timber sales implementation powers ranger district rogue river-siskiyou national forest coos county or</t>
  </si>
  <si>
    <t>Draft(03/30/2012)</t>
  </si>
  <si>
    <t>https://arizona.app.box.com/file/389162592067</t>
  </si>
  <si>
    <t>arcata resource area wilderness recommendations eden valley and thatcher ridge wilderness study areas wilderness or non-wilderness designation mendocino county ca</t>
  </si>
  <si>
    <t>draft environmental impact statement/report, phase 2, eden landing ecological reserve</t>
  </si>
  <si>
    <t>Draft(04/06/2018)</t>
  </si>
  <si>
    <t>https://arizona.app.box.com/file/389173062536</t>
  </si>
  <si>
    <t>https://arizona.app.box.com/file/386239367557</t>
  </si>
  <si>
    <t>mill creek watershed timber sales project implementation ochoco national forest crook county. or</t>
  </si>
  <si>
    <t>Draft(10/23/1998)</t>
  </si>
  <si>
    <t>https://arizona.app.box.com/file/386266074043</t>
  </si>
  <si>
    <t>project278</t>
  </si>
  <si>
    <t>effort control measures for the american lobster fishery</t>
  </si>
  <si>
    <t>Draft(04/30/2010);Final(12/20/2013)</t>
  </si>
  <si>
    <t>Final(12/20/2013)</t>
  </si>
  <si>
    <t>https://arizona.app.box.com/file/389257773532</t>
  </si>
  <si>
    <t>american lobster fishery proposed effort control measures interstate fishery management plan implementation maine through north carolina</t>
  </si>
  <si>
    <t>Draft(04/30/2010)</t>
  </si>
  <si>
    <t>https://arizona.app.box.com/file/386226309135</t>
  </si>
  <si>
    <t>federal lobster management in the exclusive economic service implementation american lobster fishery management plan ny nh and ma</t>
  </si>
  <si>
    <t>Final Supplement(11/08/2002);Draft Supplement(11/24/2000)</t>
  </si>
  <si>
    <t>amendment 10 to the fishery management plan for spiny lobster establish annual catch limits and accountability measures for caribbean spiny lobster gulf of mexico and south atlantic regions</t>
  </si>
  <si>
    <t>Final(09/09/2011);Draft(04/15/2011)</t>
  </si>
  <si>
    <t>https://arizona.app.box.com/file/386241944545</t>
  </si>
  <si>
    <t>https://arizona.app.box.com/file/386241926241</t>
  </si>
  <si>
    <t>american lobster fishery management plan amendment 5 elimination or prevention of over fishing in the exclusive economic zone (eez) approval and permits u.s. atlantic coast</t>
  </si>
  <si>
    <t>Final(04/08/1994);Draft(02/04/1994)</t>
  </si>
  <si>
    <t>project28</t>
  </si>
  <si>
    <t>amendment 17a to the fishery management plan for the snapper grouper fishery of the south atlantic region to implement long-term management measures expected to end overfishing of the red snapper stock south atlantic region</t>
  </si>
  <si>
    <t>Final(08/20/2010);Draft(03/05/2010)</t>
  </si>
  <si>
    <t>https://arizona.app.box.com/file/386242040713</t>
  </si>
  <si>
    <t>https://arizona.app.box.com/file/386241931345</t>
  </si>
  <si>
    <t>amendment 16 to the fishery management plan for the snapper grouper fishery to end overfishing of gag and vermillion snapper implementation south atlantic region</t>
  </si>
  <si>
    <t>Draft(04/25/2008)</t>
  </si>
  <si>
    <t>https://arizona.app.box.com/file/386218716254</t>
  </si>
  <si>
    <t>regulatory amendment 16 to the fishery management plan for the snapper-grouper fishery of the south atlantic region changes to the</t>
  </si>
  <si>
    <t>Draft(10/23/2015)</t>
  </si>
  <si>
    <t>https://arizona.app.box.com/file/389163366317</t>
  </si>
  <si>
    <t>https://arizona.app.box.com/file/386240798930</t>
  </si>
  <si>
    <t>snapper grouper fishery amendment 9 to the fishery management plan regulatory impact review south atlantic region</t>
  </si>
  <si>
    <t>Second Final Supplemental(10/09/1998)</t>
  </si>
  <si>
    <t>snapper grouper fishery amendment 12 to the fishery management plan regulatory impact review south atlantic region</t>
  </si>
  <si>
    <t>Third Final Supplemental(05/12/2000)</t>
  </si>
  <si>
    <t>https://arizona.app.box.com/file/386218722417</t>
  </si>
  <si>
    <t>project281</t>
  </si>
  <si>
    <t>ely westside rangeland project authorization of livestock grazing to improve the health of the land and to protect essential ecosystem functions and values implementation humboldt-toiyabe national forest lincoln nye and pine counties nv</t>
  </si>
  <si>
    <t>Final(10/21/2011);Draft(07/01/2011)</t>
  </si>
  <si>
    <t>Final(10/21/2011)</t>
  </si>
  <si>
    <t>https://arizona.app.box.com/file/389163109332</t>
  </si>
  <si>
    <t>ely westside rangeland project authorization of livestock grazing to improve the health of the land and to protect essential ecosystem functions and values implementation humboldt-toiyabe national forest lincoln nye and white pine counties nv</t>
  </si>
  <si>
    <t>https://arizona.app.box.com/file/389162253532</t>
  </si>
  <si>
    <t>ely westside rangeland project</t>
  </si>
  <si>
    <t>Draft Supplement(01/10/2014)</t>
  </si>
  <si>
    <t>https://arizona.app.box.com/file/389264181331</t>
  </si>
  <si>
    <t>https://arizona.app.box.com/file/389152865608</t>
  </si>
  <si>
    <t>white pine &amp; grant-quinn oil and gas leasing project exploration and development humboldt-toiyabe national forest ely ranger district white pine nye and lincoln counties nv</t>
  </si>
  <si>
    <t>Final(09/14/2007);Draft(08/26/2005)</t>
  </si>
  <si>
    <t>https://arizona.app.box.com/file/389161068584</t>
  </si>
  <si>
    <t>https://arizona.app.box.com/file/389165471789</t>
  </si>
  <si>
    <t>ely district resource management plan implementation white pine lincoln counties and a portion of nye county nv</t>
  </si>
  <si>
    <t>Draft(07/29/2005);Final(11/30/2007)</t>
  </si>
  <si>
    <t>https://arizona.app.box.com/file/386244475367</t>
  </si>
  <si>
    <t>https://arizona.app.box.com/file/386238997009</t>
  </si>
  <si>
    <t>project289</t>
  </si>
  <si>
    <t>entry control reconfiguration area at wright-patterson air force base, ohio</t>
  </si>
  <si>
    <t>Draft(12/02/2011);Final(05/11/2012)</t>
  </si>
  <si>
    <t>wright-patterson air force base (wpafb) demolition of multiple historic facilities implementation greene montgomery and clark counties oh</t>
  </si>
  <si>
    <t>Final(09/05/1997);Draft(01/31/1997)</t>
  </si>
  <si>
    <t>wright-patterson air force base (wpafb) project reconfigure and relocate facilities and base perimeter fence relocation area oh</t>
  </si>
  <si>
    <t>https://arizona.app.box.com/file/386248567469</t>
  </si>
  <si>
    <t>wright-patterson air force base (wpafb) project reconfigure and relocate facilities and base perimeter fence relocation in area a fairborn oh</t>
  </si>
  <si>
    <t>Final(05/11/2012)</t>
  </si>
  <si>
    <t>https://arizona.app.box.com/file/386250513032</t>
  </si>
  <si>
    <t>f-35 beddown at eglin air force base</t>
  </si>
  <si>
    <t>Final Supplement(02/28/2014);Revised Draft(06/14/2013)</t>
  </si>
  <si>
    <t>https://arizona.app.box.com/file/389265296116</t>
  </si>
  <si>
    <t>https://arizona.app.box.com/file/389138387799</t>
  </si>
  <si>
    <t>https://arizona.app.box.com/file/389256105862</t>
  </si>
  <si>
    <t>https://arizona.app.box.com/file/389162267153</t>
  </si>
  <si>
    <t>project29</t>
  </si>
  <si>
    <t>amendment 18 to the northeast multispecies fishery management plan</t>
  </si>
  <si>
    <t>Draft(07/17/2015);Final(10/14/2016)</t>
  </si>
  <si>
    <t>MA Multi</t>
  </si>
  <si>
    <t>https://arizona.app.box.com/file/389153887525</t>
  </si>
  <si>
    <t>https://arizona.app.box.com/file/386237411143</t>
  </si>
  <si>
    <t>https://arizona.app.box.com/file/389173566453</t>
  </si>
  <si>
    <t>https://arizona.app.box.com/file/386241125925</t>
  </si>
  <si>
    <t>draft environmental impact statement for draft amendment 22 to the northeast multispecies fishery management plan</t>
  </si>
  <si>
    <t>Draft(06/22/2018)</t>
  </si>
  <si>
    <t>https://arizona.app.box.com/file/389165706391</t>
  </si>
  <si>
    <t>https://arizona.app.box.com/file/386214359660</t>
  </si>
  <si>
    <t>northeast multi-species fishery management plan update information amendment 5 implementation</t>
  </si>
  <si>
    <t>Draft Supplement(04/02/1993)</t>
  </si>
  <si>
    <t>monkfish fishery regulations northeast multispecies fishery (fmp) fishery management plan amendment 9 implementation exclusive economic zone off the new england and mid-atlantic coast</t>
  </si>
  <si>
    <t>Final(01/15/1999)</t>
  </si>
  <si>
    <t>monfish fishery regulations northeast multispecies fishery (fmp) fishery management plan amendment 9 implementation exclusive economic zone off the new england and mid-atlantic coast</t>
  </si>
  <si>
    <t>Draft(03/14/1997)</t>
  </si>
  <si>
    <t>project291</t>
  </si>
  <si>
    <t>everglades national park general management plan / east everglades wilderness study</t>
  </si>
  <si>
    <t>Final(08/28/2015);Draft(03/01/2013)</t>
  </si>
  <si>
    <t>everglades national park draft general management plan/east everglades wilderness study</t>
  </si>
  <si>
    <t>https://arizona.app.box.com/file/389255941642</t>
  </si>
  <si>
    <t>https://arizona.app.box.com/file/389169161420</t>
  </si>
  <si>
    <t>channel islands national park draft general management plan wilderness study</t>
  </si>
  <si>
    <t>https://arizona.app.box.com/file/389264006612</t>
  </si>
  <si>
    <t>https://arizona.app.box.com/file/389162830913</t>
  </si>
  <si>
    <t>channel islands national park final general management plan wilderness study</t>
  </si>
  <si>
    <t>Final(04/17/2015)</t>
  </si>
  <si>
    <t>https://arizona.app.box.com/file/389268934785</t>
  </si>
  <si>
    <t>https://arizona.app.box.com/file/389153112707</t>
  </si>
  <si>
    <t>fort pulaski national monument general management plan and wilderness study</t>
  </si>
  <si>
    <t>Final(07/26/2013)</t>
  </si>
  <si>
    <t>https://arizona.app.box.com/file/389256758395</t>
  </si>
  <si>
    <t>https://arizona.app.box.com/file/389162537379</t>
  </si>
  <si>
    <t>east everglades expansion area land acquisition</t>
  </si>
  <si>
    <t>https://arizona.app.box.com/file/389262344457</t>
  </si>
  <si>
    <t>https://arizona.app.box.com/file/389137713683</t>
  </si>
  <si>
    <t>project292</t>
  </si>
  <si>
    <t>everglades national park tamiami trail modifications: next steps project to restore more natural water flow to everglades national parks and florida bay fl</t>
  </si>
  <si>
    <t>Draft(05/28/2010);Final(12/17/2010)</t>
  </si>
  <si>
    <t>https://arizona.app.box.com/file/386250800549</t>
  </si>
  <si>
    <t>https://arizona.app.box.com/file/386242276876</t>
  </si>
  <si>
    <t>https://arizona.app.box.com/file/386219107463</t>
  </si>
  <si>
    <t>https://arizona.app.box.com/file/386231497255</t>
  </si>
  <si>
    <t>central and southern florida project tamiami trail feature (us highway 41) modified water deliveries to everglades national park dade county fl</t>
  </si>
  <si>
    <t>Second Draft Supplemental(12/07/2001);Second Final Supplemental(02/20/2004)</t>
  </si>
  <si>
    <t>https://arizona.app.box.com/file/386242767396</t>
  </si>
  <si>
    <t>https://arizona.app.box.com/file/386264757248</t>
  </si>
  <si>
    <t>central and southern florida project tamiami trail modifications modified water deliveries to everglades national park acquisition of real estate rights to portions of privately owned properties along the tamiami trail dade county fl</t>
  </si>
  <si>
    <t>DC(03/16/2007)</t>
  </si>
  <si>
    <t>https://arizona.app.box.com/file/386264540890</t>
  </si>
  <si>
    <t>project293</t>
  </si>
  <si>
    <t>everglades restoration transition plan (ertp) to defined water management operating criteria for central and southern florida project (c&amp;sf) features and the constructed features of the modified water deliveries and canal-iii project until a combined operational plan is implemented broward and miami-dade counties fl</t>
  </si>
  <si>
    <t>Final(12/09/2011);Draft(03/04/2011)</t>
  </si>
  <si>
    <t>Final(12/09/2011)</t>
  </si>
  <si>
    <t>https://arizona.app.box.com/file/386241812198</t>
  </si>
  <si>
    <t>everglades restoration tranisition plan (ertp) to defined water management operating criteria for central and southern florida project ( c&amp;sf) features and the constructed features of the modified water deliveries and canal-iii project until a combined operational plan is implemented broward and miami-dade counties fl</t>
  </si>
  <si>
    <t>Draft(03/04/2011)</t>
  </si>
  <si>
    <t>https://arizona.app.box.com/file/386251456903</t>
  </si>
  <si>
    <t>central and southern florida project for flood control and other purposes everglades national park modified water deliveries new information concerning flood mitigation to the 8.5 square mile area (sma) implementation south miami dade county fl</t>
  </si>
  <si>
    <t>Final Supplement(08/04/2000);Draft Supplement(04/14/2000)</t>
  </si>
  <si>
    <t>https://arizona.app.box.com/file/386246698064</t>
  </si>
  <si>
    <t>https://arizona.app.box.com/file/386267204663</t>
  </si>
  <si>
    <t>project299</t>
  </si>
  <si>
    <t>f-35 force development evaluation and weapons school beddown</t>
  </si>
  <si>
    <t>Final(05/13/2011);Draft(04/04/2008)</t>
  </si>
  <si>
    <t>nellis airforce base proposal to base or beddown f-22 aircraft force development evaluation and weapons school clark county nv</t>
  </si>
  <si>
    <t>Final(10/29/1999)</t>
  </si>
  <si>
    <t>nellis air force base (afb) proposes to base 36 f-35 fighter aircraft assigned to the force development evaluation (fde) program and weapons school (ws) beddown clark county nv</t>
  </si>
  <si>
    <t>https://arizona.app.box.com/file/386251914624</t>
  </si>
  <si>
    <t>https://arizona.app.box.com/file/386269814787</t>
  </si>
  <si>
    <t>nellis air force base proposal to base or beddone f-22 aircraft force development evaluation and weapons school clark county nv</t>
  </si>
  <si>
    <t>Draft(06/18/1999)</t>
  </si>
  <si>
    <t>https://arizona.app.box.com/file/386240679842</t>
  </si>
  <si>
    <t>u.s. air force f-35a operational beddown - pacific</t>
  </si>
  <si>
    <t>Draft Supplement(06/23/2017)</t>
  </si>
  <si>
    <t>https://arizona.app.box.com/file/389167105258</t>
  </si>
  <si>
    <t>https://arizona.app.box.com/file/386212126032</t>
  </si>
  <si>
    <t>project3</t>
  </si>
  <si>
    <t>2013 master plan national institutes of health bethesda campus</t>
  </si>
  <si>
    <t>Draft(03/21/2014);Final(11/28/2014)</t>
  </si>
  <si>
    <t>NIH</t>
  </si>
  <si>
    <t>proposed 2013 master plan national institutes of health bethsda campus</t>
  </si>
  <si>
    <t>Draft(03/21/2014)</t>
  </si>
  <si>
    <t>National Institute of Health</t>
  </si>
  <si>
    <t>https://arizona.app.box.com/file/389266318967</t>
  </si>
  <si>
    <t>https://arizona.app.box.com/file/389162135627</t>
  </si>
  <si>
    <t>national institutes of health (nih) master plan 2003 update national institutes of health main campus - bethesda md montgomery county md</t>
  </si>
  <si>
    <t>Final(04/22/2005)</t>
  </si>
  <si>
    <t>https://arizona.app.box.com/file/386230175409</t>
  </si>
  <si>
    <t>national institutes of health (nih) master plan 2003 update national institutes of health main campus bethesda montgomery county md</t>
  </si>
  <si>
    <t>Draft(10/01/2004)</t>
  </si>
  <si>
    <t>https://arizona.app.box.com/file/386241650812</t>
  </si>
  <si>
    <t>national institutes of health bethesda main campus comprehensive master plan updated and additional information for revision to the northwest sector plan montgomery county md</t>
  </si>
  <si>
    <t>Second Final Supplemental(09/10/1999)</t>
  </si>
  <si>
    <t>national institutes of health bethesda main campus comprehensive master plan implementation montgomery county md published fr -07-28-95 correction to title and due date.</t>
  </si>
  <si>
    <t>Draft(11/12/1993);Draft Supplement(07/28/1995)</t>
  </si>
  <si>
    <t>project300</t>
  </si>
  <si>
    <t>f-35a training basing</t>
  </si>
  <si>
    <t>Final(06/15/2012);Draft(01/20/2012)</t>
  </si>
  <si>
    <t>f-35a operational beddown - pacific</t>
  </si>
  <si>
    <t>Final Supplement(10/06/2017)</t>
  </si>
  <si>
    <t>https://arizona.app.box.com/file/389172632593</t>
  </si>
  <si>
    <t>https://arizona.app.box.com/file/386237671666</t>
  </si>
  <si>
    <t>united states air force f-35a operational basing beddown at one or more air combat command or air national guard bases</t>
  </si>
  <si>
    <t>Revised Draft(05/31/2013)</t>
  </si>
  <si>
    <t>https://arizona.app.box.com/file/389263275982</t>
  </si>
  <si>
    <t>https://arizona.app.box.com/file/389167235075</t>
  </si>
  <si>
    <t>f-35a training basing to base a pilot training center with the beddown of f-35a training aircraft at four alternative bases boise ags hollowman afd luke afb and tucson ags id az nm</t>
  </si>
  <si>
    <t>https://arizona.app.box.com/file/386242630391</t>
  </si>
  <si>
    <t>project302</t>
  </si>
  <si>
    <t>fargo-moorhead metropolitan area flood risk management to document the analysis of alternatives developed to reduce flood risk red river of the north basin nd and mn</t>
  </si>
  <si>
    <t>Draft(06/11/2010);Final(10/07/2011)</t>
  </si>
  <si>
    <t>fargo-moorhead metropolitan area flood risk management to documents the analysis of alternatives developed to reduce flood risk red river of the north basin nd and mn</t>
  </si>
  <si>
    <t>Draft Supplement(05/06/2011);Final(10/07/2011)</t>
  </si>
  <si>
    <t>https://arizona.app.box.com/file/386232511809</t>
  </si>
  <si>
    <t>fargo-moorhead metropolitan area flood risk management proposed construction of flood protection measures red river of the north basin nd and mn</t>
  </si>
  <si>
    <t>Draft(06/11/2010)</t>
  </si>
  <si>
    <t>https://arizona.app.box.com/file/386241277086</t>
  </si>
  <si>
    <t>feather river west levee project to reduce flood risk in the sutter basin sutter and butte counties ca</t>
  </si>
  <si>
    <t>https://arizona.app.box.com/file/389262554255</t>
  </si>
  <si>
    <t>https://arizona.app.box.com/file/386269404600</t>
  </si>
  <si>
    <t>rahway river basin flood risk management plan</t>
  </si>
  <si>
    <t>Draft(12/09/2016)</t>
  </si>
  <si>
    <t>https://arizona.app.box.com/file/389176085234</t>
  </si>
  <si>
    <t>project305</t>
  </si>
  <si>
    <t>federal hardrock mineral prospecting permits project to conduct mineral exploration drilling and geophysical activities on the superior national forest issuance of special use permit cook lake st. louis and koochiching counties min</t>
  </si>
  <si>
    <t>Draft(04/01/2011);Final(06/01/2012)</t>
  </si>
  <si>
    <t>Final(06/01/2012)</t>
  </si>
  <si>
    <t>https://arizona.app.box.com/file/389166082930</t>
  </si>
  <si>
    <t>federal hardrock mineral prospecting permits project to conduct mineral exploration drilling and geophysical activities on the superior national forest cook lake st. louis and koochiching counties min</t>
  </si>
  <si>
    <t>Draft(04/01/2011)</t>
  </si>
  <si>
    <t>https://arizona.app.box.com/file/389161867388</t>
  </si>
  <si>
    <t>adoption - federal hardrock mineral prospecting permits project to conduct mineral exploration drilling and geophysical activities on the superior national forest issuance of prospecting permits cook lake st. louis and koochiching counties mn</t>
  </si>
  <si>
    <t>https://arizona.app.box.com/file/386245967424</t>
  </si>
  <si>
    <t>minnesota's lake superior coastal program approval and implementation st. louis and cook counties mn</t>
  </si>
  <si>
    <t>Draft(08/07/1998);Final(06/04/1999)</t>
  </si>
  <si>
    <t>https://arizona.app.box.com/file/386230057381</t>
  </si>
  <si>
    <t>virginia forest management project area resource management activities on 101 000 acres of federal land superior national forest east region st. louis county mn</t>
  </si>
  <si>
    <t>Draft(02/06/2004)</t>
  </si>
  <si>
    <t>https://arizona.app.box.com/file/386275370531</t>
  </si>
  <si>
    <t>project306</t>
  </si>
  <si>
    <t>federal way link extension</t>
  </si>
  <si>
    <t>Final(11/18/2016);Draft(04/10/2015)</t>
  </si>
  <si>
    <t>Draft(04/10/2015)</t>
  </si>
  <si>
    <t>https://arizona.app.box.com/file/389268547638</t>
  </si>
  <si>
    <t>https://arizona.app.box.com/file/389172685106</t>
  </si>
  <si>
    <t>lynnwood link extension</t>
  </si>
  <si>
    <t>Final(04/03/2015);Draft(07/26/2013)</t>
  </si>
  <si>
    <t>https://arizona.app.box.com/file/389267265674</t>
  </si>
  <si>
    <t>https://arizona.app.box.com/file/389152740434</t>
  </si>
  <si>
    <t>https://arizona.app.box.com/file/389277004156</t>
  </si>
  <si>
    <t>https://arizona.app.box.com/file/389166179056</t>
  </si>
  <si>
    <t>project308</t>
  </si>
  <si>
    <t>ferguson slide permanent restoration project</t>
  </si>
  <si>
    <t>Final(02/07/2014);Draft(11/19/2010)</t>
  </si>
  <si>
    <t>Final(02/07/2014);Revised Draft(07/26/2013)</t>
  </si>
  <si>
    <t>FHWA DOT</t>
  </si>
  <si>
    <t>https://arizona.app.box.com/file/389264471716</t>
  </si>
  <si>
    <t>https://arizona.app.box.com/file/389260330750</t>
  </si>
  <si>
    <t>https://arizona.app.box.com/file/389163853516</t>
  </si>
  <si>
    <t>ferguson slide permanent restoration project proposes to restore full highway access along state route 140 from 8 miles east of briceburg to 7.6 miles west of el portal in mariposa county ca</t>
  </si>
  <si>
    <t>Draft(11/19/2010)</t>
  </si>
  <si>
    <t>https://arizona.app.box.com/file/386243273203</t>
  </si>
  <si>
    <t>devil's slide bypass improvements ca-1 to half moon bay airport to linda mar boulevard funding and coe section 404 permit pacifica and san mateo counties ca</t>
  </si>
  <si>
    <t>san diego (la-5) ocean dredged material disposal site permanent designation for material dredged from san diego bay los angeles county ca</t>
  </si>
  <si>
    <t>Final(08/26/1988)</t>
  </si>
  <si>
    <t>devil's slide bypass improvements ca-1 to half moon bay airport to linda mar boulevard updated information funding and coe section 404 permit pacifica and san mateo counties ca</t>
  </si>
  <si>
    <t>Second Draft Supplemental(04/09/1999)</t>
  </si>
  <si>
    <t>project311</t>
  </si>
  <si>
    <t>Final(01/08/2016);Draft(08/08/2014)</t>
  </si>
  <si>
    <t>fire island national seashore general management plan</t>
  </si>
  <si>
    <t>Draft(06/19/2015);Final(10/21/2016)</t>
  </si>
  <si>
    <t>https://arizona.app.box.com/file/389169635047</t>
  </si>
  <si>
    <t>https://arizona.app.box.com/file/386236897236</t>
  </si>
  <si>
    <t>https://arizona.app.box.com/file/389164532975</t>
  </si>
  <si>
    <t>https://arizona.app.box.com/file/386241544711</t>
  </si>
  <si>
    <t>https://arizona.app.box.com/file/389262004413</t>
  </si>
  <si>
    <t>https://arizona.app.box.com/file/389160834971</t>
  </si>
  <si>
    <t>project315</t>
  </si>
  <si>
    <t>fishlake national forest oil and gas leasing analysis project</t>
  </si>
  <si>
    <t>Draft(10/21/2011);Final(09/13/2013)</t>
  </si>
  <si>
    <t>Final(09/13/2013)</t>
  </si>
  <si>
    <t>https://arizona.app.box.com/file/389256471130</t>
  </si>
  <si>
    <t>https://arizona.app.box.com/file/389152632283</t>
  </si>
  <si>
    <t>white river national forest oil and gas leasing</t>
  </si>
  <si>
    <t>https://arizona.app.box.com/file/389256688316</t>
  </si>
  <si>
    <t>https://arizona.app.box.com/file/389169865148</t>
  </si>
  <si>
    <t>pawnee national grassland oil and gas leasing analysis</t>
  </si>
  <si>
    <t>Draft(08/29/2014);Final(12/12/2014)</t>
  </si>
  <si>
    <t>https://arizona.app.box.com/file/389266280244</t>
  </si>
  <si>
    <t>https://arizona.app.box.com/file/389168611917</t>
  </si>
  <si>
    <t>https://arizona.app.box.com/file/389264918339</t>
  </si>
  <si>
    <t>https://arizona.app.box.com/file/389172267617</t>
  </si>
  <si>
    <t>lewis and clark national forest plan implementation oil and gas leasing analysis upper missouri river basin several counties mt</t>
  </si>
  <si>
    <t>Draft(08/09/1996);Final(10/03/1997)</t>
  </si>
  <si>
    <t>https://arizona.app.box.com/file/386239904716</t>
  </si>
  <si>
    <t>fishlake national forest oil and gas leasing analysis project to exploration development and production of mineral and energy resources and reclamation of activities beaver garfield iron juab millard piute sanpete sevier and wayne counties ut</t>
  </si>
  <si>
    <t>Draft(10/21/2011)</t>
  </si>
  <si>
    <t>https://arizona.app.box.com/file/389163073509</t>
  </si>
  <si>
    <t>project316</t>
  </si>
  <si>
    <t>flagstaff watershed protection project</t>
  </si>
  <si>
    <t>Final(07/02/2015);Draft(07/03/2014)</t>
  </si>
  <si>
    <t>https://arizona.app.box.com/file/389259798556</t>
  </si>
  <si>
    <t>https://arizona.app.box.com/file/389164317550</t>
  </si>
  <si>
    <t>https://arizona.app.box.com/file/389166466750</t>
  </si>
  <si>
    <t>https://arizona.app.box.com/file/386240750942</t>
  </si>
  <si>
    <t>rio de flag flood control study improvement flood protection city of flagstaff coconino county az</t>
  </si>
  <si>
    <t>Final(10/27/2000)</t>
  </si>
  <si>
    <t>rio de flag flood control study improved flood protection city of flagstaff coconino county az</t>
  </si>
  <si>
    <t>wupatki national monument general management plan implementation flagstaff area coconino county az</t>
  </si>
  <si>
    <t>Final(03/21/2003)</t>
  </si>
  <si>
    <t>howard creek watershed flood control and watershed protection wv</t>
  </si>
  <si>
    <t>Draft(02/06/1987)</t>
  </si>
  <si>
    <t>NRCS</t>
  </si>
  <si>
    <t>project319</t>
  </si>
  <si>
    <t>folsom lake state recreation area &amp; folsom powerhouse state historic park general plan/resource management plan implementation placer county ca</t>
  </si>
  <si>
    <t>Final(01/29/2010);Draft(02/08/2008)</t>
  </si>
  <si>
    <t>https://arizona.app.box.com/file/386239334925</t>
  </si>
  <si>
    <t>https://arizona.app.box.com/file/386215046060</t>
  </si>
  <si>
    <t>san luis reservoir state recreation area resource management plan/general plan</t>
  </si>
  <si>
    <t>Final(07/05/2013)</t>
  </si>
  <si>
    <t>https://arizona.app.box.com/file/389262506707</t>
  </si>
  <si>
    <t>https://arizona.app.box.com/file/389163289701</t>
  </si>
  <si>
    <t>lake chelan national recreation area general management plan implementation chelan county wa</t>
  </si>
  <si>
    <t>Draft(08/26/1994);Final(07/21/1995)</t>
  </si>
  <si>
    <t>san luis reservoir state recreation area resource management plan/general plan implementation vicinity of los banos ca</t>
  </si>
  <si>
    <t>Draft(08/10/2012)</t>
  </si>
  <si>
    <t>https://arizona.app.box.com/file/386227741968</t>
  </si>
  <si>
    <t>gateway national recreation area general management plan</t>
  </si>
  <si>
    <t>Draft(08/02/2013)</t>
  </si>
  <si>
    <t>https://arizona.app.box.com/file/389261766473</t>
  </si>
  <si>
    <t>https://arizona.app.box.com/file/389153400320</t>
  </si>
  <si>
    <t>project320</t>
  </si>
  <si>
    <t>folsom south of us 50 specific plan project proposed land use development in the specific plan area city of folsom sacramento county ca</t>
  </si>
  <si>
    <t>Draft(07/16/2010);Final(05/27/2011)</t>
  </si>
  <si>
    <t>Draft(07/16/2010)</t>
  </si>
  <si>
    <t>https://arizona.app.box.com/file/386234568473</t>
  </si>
  <si>
    <t>folsom south of u.s. 50 specific plan project proposed land use development in the specific plan area city of folsom sacramento county ca</t>
  </si>
  <si>
    <t>Final(05/27/2011)</t>
  </si>
  <si>
    <t>https://arizona.app.box.com/file/386240577626</t>
  </si>
  <si>
    <t>downtown sacramento-folsom corridor transit services improvement us 50/folsom boulevard coe section 404 permit transportation systems management (tsm) and light rail transit city and county of sacramento ca</t>
  </si>
  <si>
    <t>Draft(09/10/1999)</t>
  </si>
  <si>
    <t>downtown sacramento - folsom corridor project improvement of transit services us 50/folsom boulevard funding and coe section 404 permit transportation systems management (tsm) and light rail transit (lrt) city and county of sacramento ca</t>
  </si>
  <si>
    <t>Final(03/31/2000)</t>
  </si>
  <si>
    <t>suncreek specific plan project development of mixed uses sacramento county ca</t>
  </si>
  <si>
    <t>https://arizona.app.box.com/file/386246550678</t>
  </si>
  <si>
    <t>project323</t>
  </si>
  <si>
    <t>fort bliss army growth and force structure realignment project implementing land use changes and improving training infrastructure to support the growth the army (gta) stationing decision el paso country tx and dona ana and otero counties nm</t>
  </si>
  <si>
    <t>Draft(10/30/2009);Final(05/07/2010)</t>
  </si>
  <si>
    <t>nan NM</t>
  </si>
  <si>
    <t>https://arizona.app.box.com/file/386231073160</t>
  </si>
  <si>
    <t>programmatic - fort bliss texas and new mexico mission and master plan to modify current land use el paso tx and dona ana and otero counties nm</t>
  </si>
  <si>
    <t>Draft Supplement(10/13/2006);Final Supplement(03/23/2007)</t>
  </si>
  <si>
    <t>NM TX</t>
  </si>
  <si>
    <t>https://arizona.app.box.com/file/386231632946</t>
  </si>
  <si>
    <t>https://arizona.app.box.com/file/386232616986</t>
  </si>
  <si>
    <t>programmatic - fort bliss mission and real property master plan revised land use and enhance management of the land airspace and infrastructure el pasco county tx and dona ana and otero counties nm</t>
  </si>
  <si>
    <t>Draft(08/21/1998)</t>
  </si>
  <si>
    <t>programmatic - fort bliss mission and real property master plan revised land use and enhance management of the land airspace and infrastructure el pasco county tx and dona ana and otera counties nm</t>
  </si>
  <si>
    <t>Final(03/16/2001)</t>
  </si>
  <si>
    <t>roving sands joint training exercise program and white sands missile range implementation 11th air defense artillery brigade site specific fort bliss el paso county tx and otero and dona ana counties nm</t>
  </si>
  <si>
    <t>Final(02/18/1994);Draft(04/16/1993)</t>
  </si>
  <si>
    <t>project324</t>
  </si>
  <si>
    <t>fort george g. meade maryland to address campus development site m as an operational complex and to construct and operate consolidated facilities for intelligence community use fort george g. meade md</t>
  </si>
  <si>
    <t>Draft(07/02/2010);Final(09/24/2010)</t>
  </si>
  <si>
    <t>https://arizona.app.box.com/file/386263883197</t>
  </si>
  <si>
    <t>https://arizona.app.box.com/file/386246991671</t>
  </si>
  <si>
    <t>fort george g. meade utilities upgrade project proposes to construct and operate (1) north utility plant (2) south generator facility and (3) central boiler plant fort george m. meade md</t>
  </si>
  <si>
    <t>Final(02/06/2009);Draft(10/17/2008)</t>
  </si>
  <si>
    <t>https://arizona.app.box.com/file/386264916015</t>
  </si>
  <si>
    <t>https://arizona.app.box.com/file/386247386727</t>
  </si>
  <si>
    <t>fort george g. meade future development and operations a new administrative and support buildings anne arundel and howard counties md</t>
  </si>
  <si>
    <t>Draft(03/16/2001)</t>
  </si>
  <si>
    <t>https://arizona.app.box.com/file/386243148245</t>
  </si>
  <si>
    <t>fort george g. meade future development and operations of a new administrative and support buildings anne arundel and howard counties md</t>
  </si>
  <si>
    <t>Final(08/10/2001)</t>
  </si>
  <si>
    <t>food and drug administration consolidation site selection montgomery county campus montgomery and prince george's counties md</t>
  </si>
  <si>
    <t>Draft(12/16/1994)</t>
  </si>
  <si>
    <t>project328</t>
  </si>
  <si>
    <t>fort monroe us army garrison base realignment and closure (brac) 2005 disposal and reuse of surplus nonreverting property fort monroe va</t>
  </si>
  <si>
    <t>Draft(09/11/2009);Final(06/11/2010)</t>
  </si>
  <si>
    <t>https://arizona.app.box.com/file/386242519509</t>
  </si>
  <si>
    <t>https://arizona.app.box.com/file/386240736709</t>
  </si>
  <si>
    <t>fort belvoir 2005 base realignment and closure (brac) recommendations and related army actions implementation fairfax county va</t>
  </si>
  <si>
    <t>Final(07/06/2007);Draft(03/02/2007)</t>
  </si>
  <si>
    <t>https://arizona.app.box.com/file/386247428998</t>
  </si>
  <si>
    <t>https://arizona.app.box.com/file/386246778269</t>
  </si>
  <si>
    <t>fort benning u.s. army infantry center base realignment and closure (brac) 2005 and transformation actions implementation chattahoochee and muscogee counties ga</t>
  </si>
  <si>
    <t>Final(10/26/2007);Draft(04/20/2007);Final(09/21/2007)</t>
  </si>
  <si>
    <t>https://arizona.app.box.com/file/386239799662</t>
  </si>
  <si>
    <t>https://arizona.app.box.com/file/386246709105</t>
  </si>
  <si>
    <t>disposal and reuse of surplus property at naval station newport</t>
  </si>
  <si>
    <t>https://arizona.app.box.com/file/389172966419</t>
  </si>
  <si>
    <t>https://arizona.app.box.com/file/386230857340</t>
  </si>
  <si>
    <t>eglin air force base program base realignment and closure (brac) 2005 decisions and related action implementation fl</t>
  </si>
  <si>
    <t>Final(10/17/2008);Draft(03/28/2008)</t>
  </si>
  <si>
    <t>https://arizona.app.box.com/file/386244410770</t>
  </si>
  <si>
    <t>https://arizona.app.box.com/file/386247473253</t>
  </si>
  <si>
    <t>project33</t>
  </si>
  <si>
    <t>amendment 3 to the 2006 consolidated atlantic highly migratory species (hms) fishery management plan to implement management measures that prevent overfishing and rebuild overfished stocks implementation</t>
  </si>
  <si>
    <t>Draft(07/24/2009);Final(03/19/2010)</t>
  </si>
  <si>
    <t>https://arizona.app.box.com/file/386214028919</t>
  </si>
  <si>
    <t>https://arizona.app.box.com/file/386241679251</t>
  </si>
  <si>
    <t>amendment 2 to the consolidated atlantic highly migratory species fishery management plan to implement management measures that prevent overfishing and rebuild overfished stocks implementation exclusive economic zone (eez) of the atlantic qcean gulf of mexico and caribbean sea</t>
  </si>
  <si>
    <t>Draft(07/27/2007);Final(04/18/2008)</t>
  </si>
  <si>
    <t>https://arizona.app.box.com/file/386263580842</t>
  </si>
  <si>
    <t>https://arizona.app.box.com/file/386245784879</t>
  </si>
  <si>
    <t>amendment 7 to the 2006 consolidated atlantic highly migratory species (hms) fishery management plan (fmp)</t>
  </si>
  <si>
    <t>Draft(08/30/2013)</t>
  </si>
  <si>
    <t>https://arizona.app.box.com/file/389267505766</t>
  </si>
  <si>
    <t>https://arizona.app.box.com/file/389171801862</t>
  </si>
  <si>
    <t>amendment 5b to the 2006 consolidated atlantic highly migratory species fishery management plan</t>
  </si>
  <si>
    <t>Draft(10/21/2016)</t>
  </si>
  <si>
    <t>https://arizona.app.box.com/file/389170042484</t>
  </si>
  <si>
    <t>https://arizona.app.box.com/file/386225918791</t>
  </si>
  <si>
    <t>final amendment 5b to the 2006 consolidated atlantic highly migratory species fishery management plan</t>
  </si>
  <si>
    <t>Final(02/24/2017)</t>
  </si>
  <si>
    <t>https://arizona.app.box.com/file/389176078159</t>
  </si>
  <si>
    <t>https://arizona.app.box.com/file/386226347009</t>
  </si>
  <si>
    <t>project330</t>
  </si>
  <si>
    <t>fort raleigh national historic site general management plan</t>
  </si>
  <si>
    <t>Final(03/14/2014);Draft(04/05/2013)</t>
  </si>
  <si>
    <t>https://arizona.app.box.com/file/389266081029</t>
  </si>
  <si>
    <t>https://arizona.app.box.com/file/389162098174</t>
  </si>
  <si>
    <t>fort raleigh national historic site draft general management plan</t>
  </si>
  <si>
    <t>Draft(04/05/2013)</t>
  </si>
  <si>
    <t>https://arizona.app.box.com/file/389267856819</t>
  </si>
  <si>
    <t>https://arizona.app.box.com/file/389161382784</t>
  </si>
  <si>
    <t>fort bowie national historic site general management plan implementation cochise county az</t>
  </si>
  <si>
    <t>Final(03/23/2001);Draft(11/26/1999)</t>
  </si>
  <si>
    <t>https://arizona.app.box.com/file/386259794066</t>
  </si>
  <si>
    <t>fort vancouver national historic site general management plan and development concept plans implementation oregon county wa</t>
  </si>
  <si>
    <t>Final(01/16/2004);Draft(12/27/2002)</t>
  </si>
  <si>
    <t>https://arizona.app.box.com/file/386240659751</t>
  </si>
  <si>
    <t>project332</t>
  </si>
  <si>
    <t>fort wainwright hangars 2 and 3 disposition</t>
  </si>
  <si>
    <t>Draft(06/21/2013);Final(01/31/2014)</t>
  </si>
  <si>
    <t>Final(01/31/2014)</t>
  </si>
  <si>
    <t>https://arizona.app.box.com/file/389255062893</t>
  </si>
  <si>
    <t>https://arizona.app.box.com/file/389167027330</t>
  </si>
  <si>
    <t>fort wainwright disposition of hangars 2 and 3</t>
  </si>
  <si>
    <t>Draft(06/21/2013)</t>
  </si>
  <si>
    <t>https://arizona.app.box.com/file/389261781770</t>
  </si>
  <si>
    <t>https://arizona.app.box.com/file/389160730731</t>
  </si>
  <si>
    <t>fort wainwright maneuver area resource management plan for nonmilitary uses ak</t>
  </si>
  <si>
    <t>Draft(09/02/1988);Final(01/14/1994)</t>
  </si>
  <si>
    <t>u.s. army alaska (usarak) project proposes the stationing and training of increased aviation assts fort wainwright fairbank ak</t>
  </si>
  <si>
    <t>Final(09/11/2009)</t>
  </si>
  <si>
    <t>https://arizona.app.box.com/file/386218264638</t>
  </si>
  <si>
    <t>u.s. army alaska (usarak) project proposes the stationing and training of incresased aviation assts fort wainwright fairbank ak</t>
  </si>
  <si>
    <t>Draft(05/08/2009)</t>
  </si>
  <si>
    <t>https://arizona.app.box.com/file/386246877405</t>
  </si>
  <si>
    <t>project333</t>
  </si>
  <si>
    <t>four corners power plant and navajo mine energy project</t>
  </si>
  <si>
    <t>Draft(03/28/2014);Final(05/01/2015)</t>
  </si>
  <si>
    <t>OSMRE</t>
  </si>
  <si>
    <t>https://arizona.app.box.com/file/389263698551</t>
  </si>
  <si>
    <t>https://arizona.app.box.com/file/389152515316</t>
  </si>
  <si>
    <t>desert rock energy project construction and operation of coal-fired power plant right-of-way permit navajo nation indian reservation san juan county nm</t>
  </si>
  <si>
    <t>Draft(06/22/2007)</t>
  </si>
  <si>
    <t>https://arizona.app.box.com/file/386216141956</t>
  </si>
  <si>
    <t>southern trails pipeline project (cp99-163-000) conversion of an existing crude oil pipeline (known as the arco four corners pipeline 90 system) to natural gas service construction and operation ca ut az and nm</t>
  </si>
  <si>
    <t>Final(07/28/2000)</t>
  </si>
  <si>
    <t>southern trails pipeline project (cp99-163-000) conversion of an existing crude oil pipeline (known as the arco four corners pipeline line 90 system) to natural gas service construction and operation ca ut az nm</t>
  </si>
  <si>
    <t>Draft(03/03/2000)</t>
  </si>
  <si>
    <t>https://arizona.app.box.com/file/386239860429</t>
  </si>
  <si>
    <t>project334</t>
  </si>
  <si>
    <t>four-forest restoration initiative coconino and kaibab national forests</t>
  </si>
  <si>
    <t>Draft(03/29/2013);Final(12/05/2014)</t>
  </si>
  <si>
    <t>Draft(03/29/2013)</t>
  </si>
  <si>
    <t>https://arizona.app.box.com/file/389260808292</t>
  </si>
  <si>
    <t>https://arizona.app.box.com/file/389164611528</t>
  </si>
  <si>
    <t>bill williams mountain restoration project kaibab national forest coconino county az</t>
  </si>
  <si>
    <t>Draft(07/13/2012)</t>
  </si>
  <si>
    <t>https://arizona.app.box.com/file/389261786885</t>
  </si>
  <si>
    <t>https://arizona.app.box.com/file/389151290859</t>
  </si>
  <si>
    <t>kaibab national forest plan revision</t>
  </si>
  <si>
    <t>Final(03/07/2014)</t>
  </si>
  <si>
    <t>https://arizona.app.box.com/file/389262733196</t>
  </si>
  <si>
    <t>kaibab national forest land and resource management plan implementation coconino yavapai and mohave counties az</t>
  </si>
  <si>
    <t>Final(04/15/1988)</t>
  </si>
  <si>
    <t>project335</t>
  </si>
  <si>
    <t>fowler ridge wind farm</t>
  </si>
  <si>
    <t>Final(01/17/2014);Draft(04/05/2013)</t>
  </si>
  <si>
    <t>fowler ridge wind farm final eis</t>
  </si>
  <si>
    <t>Final(01/17/2014)</t>
  </si>
  <si>
    <t>https://arizona.app.box.com/file/389261770729</t>
  </si>
  <si>
    <t>https://arizona.app.box.com/file/389164439225</t>
  </si>
  <si>
    <t>fowler ridge wind habitat conservation plan and incidental take permit</t>
  </si>
  <si>
    <t>https://arizona.app.box.com/file/389267414834</t>
  </si>
  <si>
    <t>https://arizona.app.box.com/file/389155905868</t>
  </si>
  <si>
    <t>mohave county wind farm project</t>
  </si>
  <si>
    <t>Final(05/17/2013)</t>
  </si>
  <si>
    <t>https://arizona.app.box.com/file/389272179825</t>
  </si>
  <si>
    <t>https://arizona.app.box.com/file/389138989844</t>
  </si>
  <si>
    <t>interconnection of the grande prairie wind farm</t>
  </si>
  <si>
    <t>Draft(06/20/2014);Final(01/16/2015)</t>
  </si>
  <si>
    <t>https://arizona.app.box.com/file/389255060066</t>
  </si>
  <si>
    <t>https://arizona.app.box.com/file/389162256448</t>
  </si>
  <si>
    <t>https://arizona.app.box.com/file/389268265537</t>
  </si>
  <si>
    <t>https://arizona.app.box.com/file/389163592732</t>
  </si>
  <si>
    <t>chokecherry and sierra madre wind energy project development of a wind farm carbon county wy</t>
  </si>
  <si>
    <t>https://arizona.app.box.com/file/386213728663</t>
  </si>
  <si>
    <t>project338</t>
  </si>
  <si>
    <t>freeport harbor channel improvement project proposes to deepen and widen the freeport harbor channel and associated turning basins brazoria county tx</t>
  </si>
  <si>
    <t>Final(09/07/2012);Draft(12/23/2010)</t>
  </si>
  <si>
    <t>https://arizona.app.box.com/file/386240518886</t>
  </si>
  <si>
    <t>https://arizona.app.box.com/file/386250804543</t>
  </si>
  <si>
    <t>brazos harbor navigation district project proposed port freeport channel widening to the entrance and jetty reach of the freeport harbor jetty channel and entrance brazoria county tx</t>
  </si>
  <si>
    <t>Final(01/11/2008)</t>
  </si>
  <si>
    <t>https://arizona.app.box.com/file/386266372070</t>
  </si>
  <si>
    <t>brazos harbor navigation district project proposed port freeport channel widening to the entrance and jetty reach of the freeport harborjetty channel and entrance brazoria county tx</t>
  </si>
  <si>
    <t>Draft(11/09/2006)</t>
  </si>
  <si>
    <t>https://arizona.app.box.com/file/386249723661</t>
  </si>
  <si>
    <t>calhoun port authority's proposed matagorda ship channel improvement project to widened and deepen berthing facilities us army coe section 10 and 404 permits calhoun and matagorda counties tx</t>
  </si>
  <si>
    <t>Final(07/31/2009)</t>
  </si>
  <si>
    <t>https://arizona.app.box.com/file/386245171267</t>
  </si>
  <si>
    <t>calhoun county navigation district's (ccnd) proposed matagorda ship channel improvement project to widened and deepen berthing facilities us army coe section 10 and 404 permits calhoun and matagorda counties tx</t>
  </si>
  <si>
    <t>Draft(05/18/2007)</t>
  </si>
  <si>
    <t>https://arizona.app.box.com/file/386237348496</t>
  </si>
  <si>
    <t>project34</t>
  </si>
  <si>
    <t>amendment 31 to the fishery management plan for reef fish resources addresses bycatch of sea turtles in the bottom longline component of the reef fish fishery gulf of mexico</t>
  </si>
  <si>
    <t>Draft(11/13/2009);Final(02/05/2010)</t>
  </si>
  <si>
    <t>Final(02/05/2010)</t>
  </si>
  <si>
    <t>https://arizona.app.box.com/file/386247769472</t>
  </si>
  <si>
    <t>amendment 31 to the fishery management plan for reef fish resources addresses bycatch of sea turles in the bottom longline component of the reef fish fishery gulf of mexico</t>
  </si>
  <si>
    <t>Draft(11/13/2009)</t>
  </si>
  <si>
    <t>https://arizona.app.box.com/file/386241806520</t>
  </si>
  <si>
    <t>red snapper allocation amendment 28 to the fishery management plan for the reef fish resources of the gulf of mexico</t>
  </si>
  <si>
    <t>Draft(06/05/2015);Final(01/15/2016)</t>
  </si>
  <si>
    <t>https://arizona.app.box.com/file/389167744385</t>
  </si>
  <si>
    <t>https://arizona.app.box.com/file/386215772322</t>
  </si>
  <si>
    <t>https://arizona.app.box.com/file/389172896535</t>
  </si>
  <si>
    <t>https://arizona.app.box.com/file/386238791824</t>
  </si>
  <si>
    <t>regional management of recreational red snapper amendment 39 to the fishery management plan for the reef fish resources in the gulf of mexico</t>
  </si>
  <si>
    <t>Draft(12/18/2015)</t>
  </si>
  <si>
    <t>https://arizona.app.box.com/file/389163463721</t>
  </si>
  <si>
    <t>https://arizona.app.box.com/file/386237622370</t>
  </si>
  <si>
    <t>recreational red snapper sector separation amendment 40 to the fishery management plan for the reef fish resources of the gulf of mexico</t>
  </si>
  <si>
    <t>Final(01/30/2015);Draft(09/05/2014)</t>
  </si>
  <si>
    <t>https://arizona.app.box.com/file/389165928556</t>
  </si>
  <si>
    <t>https://arizona.app.box.com/file/389164937093</t>
  </si>
  <si>
    <t>project340</t>
  </si>
  <si>
    <t>fremont-winema national forests invasive plant treatment propose to treat up to 8 700 acres of invasive plant infestation per year klamath and lake counties or</t>
  </si>
  <si>
    <t>Final(05/13/2011);Draft(11/13/2009)</t>
  </si>
  <si>
    <t>https://arizona.app.box.com/file/386212332432</t>
  </si>
  <si>
    <t>https://arizona.app.box.com/file/389161933462</t>
  </si>
  <si>
    <t>winema national forest land and resource management plan implementation klamath county or</t>
  </si>
  <si>
    <t>Draft(12/31/1987);Final(10/05/1990)</t>
  </si>
  <si>
    <t>fremont national forest land and resource management plan implementation lake and klamath counties or</t>
  </si>
  <si>
    <t>Draft(11/13/1987);Final(05/26/1989)</t>
  </si>
  <si>
    <t>crown pacific limited partnership land exchange project implementation consolidate land ownership and enhance furture resource deschutes fremont and winema national forests deschutes jefferson klamath and lake counties or</t>
  </si>
  <si>
    <t>Draft(11/14/1997);Final(03/27/1998)</t>
  </si>
  <si>
    <t>project341</t>
  </si>
  <si>
    <t>futuregen 2.0 project</t>
  </si>
  <si>
    <t>Final(11/01/2013);Draft(05/03/2013)</t>
  </si>
  <si>
    <t>https://arizona.app.box.com/file/389264694295</t>
  </si>
  <si>
    <t>https://arizona.app.box.com/file/389166943055</t>
  </si>
  <si>
    <t>https://arizona.app.box.com/file/389262729415</t>
  </si>
  <si>
    <t>https://arizona.app.box.com/file/389152042586</t>
  </si>
  <si>
    <t>project353</t>
  </si>
  <si>
    <t>generic - license renewal of nuclear plants regarding braidwood station units 1 and 2</t>
  </si>
  <si>
    <t>Final(11/27/2015);Draft(03/27/2015)</t>
  </si>
  <si>
    <t>https://arizona.app.box.com/file/389169727266</t>
  </si>
  <si>
    <t>https://arizona.app.box.com/file/386214307967</t>
  </si>
  <si>
    <t>generic - license renewal of nuclear plants supplement 55 regarding braidwood station units 1 and 2</t>
  </si>
  <si>
    <t>Draft(03/27/2015)</t>
  </si>
  <si>
    <t>https://arizona.app.box.com/file/389268413506</t>
  </si>
  <si>
    <t>https://arizona.app.box.com/file/389160249766</t>
  </si>
  <si>
    <t>generic- license renewal of nuclear plants regarding sequoyah nuclear plant units 1 and 2</t>
  </si>
  <si>
    <t>Draft(08/15/2014)</t>
  </si>
  <si>
    <t>https://arizona.app.box.com/file/389263371787</t>
  </si>
  <si>
    <t>https://arizona.app.box.com/file/389167100255</t>
  </si>
  <si>
    <t>generic- license renewal of nuclear plants supplement 53 regarding sequoyah nuclear station units 1 and 2</t>
  </si>
  <si>
    <t>https://arizona.app.box.com/file/389264584178</t>
  </si>
  <si>
    <t>https://arizona.app.box.com/file/389165683737</t>
  </si>
  <si>
    <t>generic - license renewal of nuclear plants supplement 49 regarding limerick generating station units 1 and 2</t>
  </si>
  <si>
    <t>Draft Supplement(05/10/2013)</t>
  </si>
  <si>
    <t>https://arizona.app.box.com/file/389263360895</t>
  </si>
  <si>
    <t>project355</t>
  </si>
  <si>
    <t>generic - license renewal of nuclear plants regarding davis-besse nuclear power station</t>
  </si>
  <si>
    <t>Draft(02/28/2014);Final(05/15/2015)</t>
  </si>
  <si>
    <t>generic-license renewal of nuclear plants regarding davis-besse nuclear station</t>
  </si>
  <si>
    <t>Draft(02/28/2014)</t>
  </si>
  <si>
    <t>https://arizona.app.box.com/file/389266493083</t>
  </si>
  <si>
    <t>https://arizona.app.box.com/file/389138255441</t>
  </si>
  <si>
    <t>generic - license renewal of nuclear plants supplement 50 regarding grand gulf nuclear station unit 1</t>
  </si>
  <si>
    <t>Draft Supplement(12/20/2013);Final(12/12/2014)</t>
  </si>
  <si>
    <t>https://arizona.app.box.com/file/389262469258</t>
  </si>
  <si>
    <t>https://arizona.app.box.com/file/389161568144</t>
  </si>
  <si>
    <t>https://arizona.app.box.com/file/389263327802</t>
  </si>
  <si>
    <t>https://arizona.app.box.com/file/389168232799</t>
  </si>
  <si>
    <t>project357</t>
  </si>
  <si>
    <t>generic - license renewal of nuclear plants regarding hope creek generating station and salem nuclear generating station units 1 and 2 supplement 45 to nureg-1437 lower alloway creek township salem county nj</t>
  </si>
  <si>
    <t>Draft(10/29/2010);Final(04/08/2011)</t>
  </si>
  <si>
    <t>https://arizona.app.box.com/file/386242750066</t>
  </si>
  <si>
    <t>generic - license renewal of nuclear plants (nureg-1437)</t>
  </si>
  <si>
    <t>https://arizona.app.box.com/file/389267219327</t>
  </si>
  <si>
    <t>generic - license renewal of nuclear plants supplement 48 regarding south texas project units 1 and 2 (nureg 1437) matagorda county tx</t>
  </si>
  <si>
    <t>Draft Supplement(12/14/2012)</t>
  </si>
  <si>
    <t>https://arizona.app.box.com/file/389254000791</t>
  </si>
  <si>
    <t>https://arizona.app.box.com/file/386263958257</t>
  </si>
  <si>
    <t>generic eis - license renewal of nuclear plants regarding palo verde nuclear generating station supplement 43 nureg-1437 maricopa county az</t>
  </si>
  <si>
    <t>Final(01/21/2011);Draft(08/20/2010)</t>
  </si>
  <si>
    <t>https://arizona.app.box.com/file/386250193303</t>
  </si>
  <si>
    <t>https://arizona.app.box.com/file/386219078432</t>
  </si>
  <si>
    <t>project358</t>
  </si>
  <si>
    <t>generic - license renewal of nuclear plants regarding palo verde nuclear generating station supplement 43 nureg-1437 maricopa county az</t>
  </si>
  <si>
    <t>generic - license renewal of nuclear plants supplement 47 regarding columbia generating station (nureg - 1437) issuance of a renewed operating license benton county wa</t>
  </si>
  <si>
    <t>Draft(09/02/2011)</t>
  </si>
  <si>
    <t>https://arizona.app.box.com/file/386242824635</t>
  </si>
  <si>
    <t>nureg-1437 license renewal of nuclear plants supplement 46 regarding seabrook station</t>
  </si>
  <si>
    <t>Draft Supplement(05/03/2013)</t>
  </si>
  <si>
    <t>NH</t>
  </si>
  <si>
    <t>https://arizona.app.box.com/file/389263701217</t>
  </si>
  <si>
    <t>https://arizona.app.box.com/file/389171442397</t>
  </si>
  <si>
    <t>generic - license renewal of nuclear plants supplement 38 to nureg -1437 regarding indian point nuclear generating unit nos. 2 and 3 westchester county ny</t>
  </si>
  <si>
    <t>Draft(01/09/2009);Final(12/17/2010)</t>
  </si>
  <si>
    <t>https://arizona.app.box.com/file/386242729509</t>
  </si>
  <si>
    <t>https://arizona.app.box.com/file/386260488866</t>
  </si>
  <si>
    <t>project360</t>
  </si>
  <si>
    <t>generic - license renewal of nuclear plants supplement 48 regarding south texas project, units 1 and 2</t>
  </si>
  <si>
    <t>Final(11/29/2013);Draft(12/14/2012)</t>
  </si>
  <si>
    <t>generic - license renewal of nuclear plants supplement 48 regarding south texas project units 1 and 2</t>
  </si>
  <si>
    <t>Final Supplement(11/29/2013)</t>
  </si>
  <si>
    <t>https://arizona.app.box.com/file/389268018325</t>
  </si>
  <si>
    <t>project361</t>
  </si>
  <si>
    <t>generic - license renewal of nuclear plants supplement 49 regarding limerick generating station, units 1 and 2</t>
  </si>
  <si>
    <t>Draft(05/07/2013);Final(09/04/2014)</t>
  </si>
  <si>
    <t>project366</t>
  </si>
  <si>
    <t>generic - license renewal of nuclear plants supplement 57 regarding lasalle county station, units 1 and 2</t>
  </si>
  <si>
    <t>Draft(02/19/2016);Final(09/09/2016)</t>
  </si>
  <si>
    <t>generic - license renewal on nuclear plants, supplement 57, regarding lasalle county station, units 1 and 2</t>
  </si>
  <si>
    <t>Final Supplement(09/09/2016)</t>
  </si>
  <si>
    <t>https://arizona.app.box.com/file/389169409524</t>
  </si>
  <si>
    <t>https://arizona.app.box.com/file/386241137460</t>
  </si>
  <si>
    <t>project367</t>
  </si>
  <si>
    <t>generic - license renewal of nuclear plants, supplement 54, regarding byron station, units 1 and 2,nureg-1437,</t>
  </si>
  <si>
    <t>Draft(01/02/2015);Final(07/31/2015)</t>
  </si>
  <si>
    <t>plant-specific supplement 54 license renewal of nuclear plants regarding byron station units 1 and 2</t>
  </si>
  <si>
    <t>Draft(01/02/2015)</t>
  </si>
  <si>
    <t>https://arizona.app.box.com/file/389262397267</t>
  </si>
  <si>
    <t>https://arizona.app.box.com/file/389163486618</t>
  </si>
  <si>
    <t>project368</t>
  </si>
  <si>
    <t>genesis project proposes expansion of existing mine pits and development of the bluestar ridge open pit mine newmont mining corporation eureka county nv</t>
  </si>
  <si>
    <t>Draft(04/30/2010);Final(04/15/2011)</t>
  </si>
  <si>
    <t>https://arizona.app.box.com/file/386240038132</t>
  </si>
  <si>
    <t>https://arizona.app.box.com/file/386214288299</t>
  </si>
  <si>
    <t>betze pit expansion project development of new facilities and expansion of existing open-pit gold mining eureka and elko counties nv</t>
  </si>
  <si>
    <t>Second Draft Supplemental(08/22/2008);Second Final Supplemental(03/27/2009)</t>
  </si>
  <si>
    <t>https://arizona.app.box.com/file/386240191777</t>
  </si>
  <si>
    <t>https://arizona.app.box.com/file/386212516137</t>
  </si>
  <si>
    <t>newmont gold quarry open-pit mine and ore processing facility expansion and operation plan of operation approval npdes and coe section 404 permits eureka and elko counties nv</t>
  </si>
  <si>
    <t>Final(12/03/1993);Draft(05/21/1993)</t>
  </si>
  <si>
    <t>https://arizona.app.box.com/file/386241984269</t>
  </si>
  <si>
    <t>https://arizona.app.box.com/file/386213057742</t>
  </si>
  <si>
    <t>newmont gold mining south operations area project amendment operation and expansion plan of operations approval elko and eureka counties nv</t>
  </si>
  <si>
    <t>Draft(09/01/2000)</t>
  </si>
  <si>
    <t>https://arizona.app.box.com/file/386238662447</t>
  </si>
  <si>
    <t>project370</t>
  </si>
  <si>
    <t>griffon mining project implementation issuance plan of operations approval humboldt-toiyabe national forests ely ranger district white pine county nv</t>
  </si>
  <si>
    <t>Draft(12/27/1996)</t>
  </si>
  <si>
    <t>project376</t>
  </si>
  <si>
    <t>gold bar mine project</t>
  </si>
  <si>
    <t>Final(10/06/2017);Draft(03/03/2017)</t>
  </si>
  <si>
    <t>Final(10/06/2017)</t>
  </si>
  <si>
    <t>https://arizona.app.box.com/file/389173778635</t>
  </si>
  <si>
    <t>https://arizona.app.box.com/file/386226309731</t>
  </si>
  <si>
    <t>gold bar mine project deis</t>
  </si>
  <si>
    <t>Draft(03/03/2017)</t>
  </si>
  <si>
    <t>https://arizona.app.box.com/file/389174199670</t>
  </si>
  <si>
    <t>https://arizona.app.box.com/file/386214478848</t>
  </si>
  <si>
    <t>gold rock mine project</t>
  </si>
  <si>
    <t>Draft(02/13/2015)</t>
  </si>
  <si>
    <t>https://arizona.app.box.com/file/389168294936</t>
  </si>
  <si>
    <t>haile gold mine project</t>
  </si>
  <si>
    <t>Draft(03/21/2014);Final(08/01/2014)</t>
  </si>
  <si>
    <t>https://arizona.app.box.com/file/389263793270</t>
  </si>
  <si>
    <t>https://arizona.app.box.com/file/389170774510</t>
  </si>
  <si>
    <t>https://arizona.app.box.com/file/389265323128</t>
  </si>
  <si>
    <t>https://arizona.app.box.com/file/389153193780</t>
  </si>
  <si>
    <t>johnson bar fire salvage project</t>
  </si>
  <si>
    <t>https://arizona.app.box.com/file/389167317528</t>
  </si>
  <si>
    <t>https://arizona.app.box.com/file/386240945928</t>
  </si>
  <si>
    <t>project377</t>
  </si>
  <si>
    <t>golden gate national recreation area and muir woods national monument final general management plan</t>
  </si>
  <si>
    <t>Final(04/25/2014);Draft(09/09/2011)</t>
  </si>
  <si>
    <t>https://arizona.app.box.com/file/389263109905</t>
  </si>
  <si>
    <t>golden gate national recreation area and muir woods national monument draft general management plan city of san francisco marin san francisco san mateo counties ca</t>
  </si>
  <si>
    <t>Draft(09/09/2011)</t>
  </si>
  <si>
    <t>https://arizona.app.box.com/file/386231721310</t>
  </si>
  <si>
    <t>golden gate national recreation area (ggnra) fire management plan implementation muir woods national monument fort point national historic site san mateo san francisco and marin counties ca</t>
  </si>
  <si>
    <t>Final(12/23/2005);Draft(03/18/2005)</t>
  </si>
  <si>
    <t>https://arizona.app.box.com/file/386230966668</t>
  </si>
  <si>
    <t>https://arizona.app.box.com/file/386249844172</t>
  </si>
  <si>
    <t>golden gate national recreation area dog management plan</t>
  </si>
  <si>
    <t>Final(12/09/2016)</t>
  </si>
  <si>
    <t>https://arizona.app.box.com/file/389176022285</t>
  </si>
  <si>
    <t>presidio of san francisco general management plan implementation golden gate national recreation area city and county of san francisco ca</t>
  </si>
  <si>
    <t>Draft(10/22/1993)</t>
  </si>
  <si>
    <t>project378</t>
  </si>
  <si>
    <t>golden hand no. 1 and no. 2 lode mining claims project</t>
  </si>
  <si>
    <t>Final(12/29/2014);Draft(06/29/2012)</t>
  </si>
  <si>
    <t>Final(12/29/2014)</t>
  </si>
  <si>
    <t>https://arizona.app.box.com/file/389268286967</t>
  </si>
  <si>
    <t>https://arizona.app.box.com/file/389153250290</t>
  </si>
  <si>
    <t>golden hand no. 1 and no. 2 lode mining claims project krassel ranger district payette national forest valley and idaho counties id</t>
  </si>
  <si>
    <t>https://arizona.app.box.com/file/389159813099</t>
  </si>
  <si>
    <t>golden hand no. 3 and no. 4 lode mining claims operations plan implementation frank church-river of no return (fc-ronr) wilderness payette national forest krassel ranger district valley county id</t>
  </si>
  <si>
    <t>Final(05/09/2003);Draft(03/07/2003)</t>
  </si>
  <si>
    <t>south twin lode mining and development proposal approval of plan of operations arc dome recommended wilderness area toiyabe mountains toiyabe national forest nye county nv</t>
  </si>
  <si>
    <t>Draft(08/25/1989);Final(03/09/1990)</t>
  </si>
  <si>
    <t>granite area mining projects proposal to approve plans of operation on 16 mining claims within the granite creek watershed implementation north fork john day ranger district umatilla national forest grant county or</t>
  </si>
  <si>
    <t>Draft(07/26/2002)</t>
  </si>
  <si>
    <t>https://arizona.app.box.com/file/386265589677</t>
  </si>
  <si>
    <t>project38</t>
  </si>
  <si>
    <t>amendment 7 to the 2006 consolidated atlantic highly migratory species fishery management plan</t>
  </si>
  <si>
    <t>Final(09/05/2014);Draft(08/30/2013)</t>
  </si>
  <si>
    <t>amendment 5a to the 2006 consolidated highly migratory species fishery management plan</t>
  </si>
  <si>
    <t>https://arizona.app.box.com/file/389267332405</t>
  </si>
  <si>
    <t>https://arizona.app.box.com/file/389164845550</t>
  </si>
  <si>
    <t>amendment 5 to the consolidated atlantic highly migratory species fishery management plan atlantic ocean caribbean sea and gulf of mexico</t>
  </si>
  <si>
    <t>Draft(12/07/2012)</t>
  </si>
  <si>
    <t>https://arizona.app.box.com/file/389185034593</t>
  </si>
  <si>
    <t>https://arizona.app.box.com/file/386247621334</t>
  </si>
  <si>
    <t>project381</t>
  </si>
  <si>
    <t>gore creek restoration</t>
  </si>
  <si>
    <t>Draft(07/19/2013);Final(08/01/2014)</t>
  </si>
  <si>
    <t>https://arizona.app.box.com/file/389261016662</t>
  </si>
  <si>
    <t>https://arizona.app.box.com/file/389162637075</t>
  </si>
  <si>
    <t>https://arizona.app.box.com/file/389261041243</t>
  </si>
  <si>
    <t>lower joseph creek restoration project</t>
  </si>
  <si>
    <t>Draft(11/14/2014);Final(07/22/2016)</t>
  </si>
  <si>
    <t>sequoyah fuels corporation site proposed reclamation activities for the 243-hectare (600 acre) site (nureg-1888) in gore ok</t>
  </si>
  <si>
    <t>Draft(09/21/2007);Final(05/30/2008)</t>
  </si>
  <si>
    <t>https://arizona.app.box.com/file/386254725723</t>
  </si>
  <si>
    <t>https://arizona.app.box.com/file/386232964073</t>
  </si>
  <si>
    <t>project382</t>
  </si>
  <si>
    <t>granby pumping plant windy gap substation transmission line rebuild</t>
  </si>
  <si>
    <t>Draft(03/30/2012);Final(07/05/2013)</t>
  </si>
  <si>
    <t>https://arizona.app.box.com/file/389139144565</t>
  </si>
  <si>
    <t>granby pumping plant switchyard - windy gap substation transmission line rebuild to replace existing transmission line with double circuit transmission grand county co</t>
  </si>
  <si>
    <t>https://arizona.app.box.com/file/386238866794</t>
  </si>
  <si>
    <t>albany-eugene 115 kilovolt no. 1 transmission line rebuild project extending from albany substation to the alderwood tap linn and lane counties or</t>
  </si>
  <si>
    <t>Draft(01/20/2012);Final(04/27/2012)</t>
  </si>
  <si>
    <t>https://arizona.app.box.com/file/386241643884</t>
  </si>
  <si>
    <t>https://arizona.app.box.com/file/386227520546</t>
  </si>
  <si>
    <t>project384</t>
  </si>
  <si>
    <t>grand junction field office resource management plan</t>
  </si>
  <si>
    <t>Draft(01/25/2013);Final(04/10/2015)</t>
  </si>
  <si>
    <t>https://arizona.app.box.com/file/389264577078</t>
  </si>
  <si>
    <t>https://arizona.app.box.com/file/389153133767</t>
  </si>
  <si>
    <t>grand junction field office resource management plan mesa garfield montrose and rio blanco counties co</t>
  </si>
  <si>
    <t>https://arizona.app.box.com/file/389167737337</t>
  </si>
  <si>
    <t>https://arizona.app.box.com/file/389172430439</t>
  </si>
  <si>
    <t>https://arizona.app.box.com/file/386238663428</t>
  </si>
  <si>
    <t>https://arizona.app.box.com/file/386237350867</t>
  </si>
  <si>
    <t>buffalo field office planning area resource management plan</t>
  </si>
  <si>
    <t>https://arizona.app.box.com/file/389263839623</t>
  </si>
  <si>
    <t>https://arizona.app.box.com/file/389139488641</t>
  </si>
  <si>
    <t>project385</t>
  </si>
  <si>
    <t>grand parkway (state highway 99) segment b</t>
  </si>
  <si>
    <t>Draft(06/29/2012);Final(06/03/2016)</t>
  </si>
  <si>
    <t>https://arizona.app.box.com/file/389165777783</t>
  </si>
  <si>
    <t>https://arizona.app.box.com/file/386216431474</t>
  </si>
  <si>
    <t>grand parkway (state highway 99) segment b construction from sh-288 to ih -45 usace section 404 permit brazoria and galveston counties tx</t>
  </si>
  <si>
    <t>https://arizona.app.box.com/file/386217958164</t>
  </si>
  <si>
    <t>grand parkway (state highway tx-99) segment f-2 from tx-249 to interstate highway 45 construction of a new location facility right-of-way permit and us army coe section 404 permit city of houston harris county tx</t>
  </si>
  <si>
    <t>https://arizona.app.box.com/file/386244621838</t>
  </si>
  <si>
    <t>project386</t>
  </si>
  <si>
    <t>grand parkway (state highway 99) segment c construction from us 59 to state highway (sh) 288 usace section 404 permit finding fort bend and brazoria counties tx</t>
  </si>
  <si>
    <t>Final(09/07/2012);Draft(05/26/2000)</t>
  </si>
  <si>
    <t>https://arizona.app.box.com/file/386245041430</t>
  </si>
  <si>
    <t>grand parkway (tx-99) segment c construction from us 59 to tx 288 funding and right-of-way requirements city of houston fort bend and brazoria counties tx</t>
  </si>
  <si>
    <t>Draft(05/26/2000)</t>
  </si>
  <si>
    <t>project387</t>
  </si>
  <si>
    <t>grand parkway segments h and i-1</t>
  </si>
  <si>
    <t>Draft(06/24/2011);Final(05/09/2014)</t>
  </si>
  <si>
    <t>https://arizona.app.box.com/file/389263527851</t>
  </si>
  <si>
    <t>https://arizona.app.box.com/file/389153629380</t>
  </si>
  <si>
    <t>https://arizona.app.box.com/file/389255700330</t>
  </si>
  <si>
    <t>https://arizona.app.box.com/file/389170381266</t>
  </si>
  <si>
    <t>https://arizona.app.box.com/file/386216367225</t>
  </si>
  <si>
    <t>proposed land use plan amendments for segments 8 and 9 of the gateway west 500-kv transmission line project</t>
  </si>
  <si>
    <t>Final Supplement(10/07/2016)</t>
  </si>
  <si>
    <t>https://arizona.app.box.com/file/389171477193</t>
  </si>
  <si>
    <t>https://arizona.app.box.com/file/386238603596</t>
  </si>
  <si>
    <t>john day river management plan implementation wild and scenic river segments and land &amp; state scenic waterways segments prineville district or</t>
  </si>
  <si>
    <t>Draft(10/29/1993)</t>
  </si>
  <si>
    <t>project388</t>
  </si>
  <si>
    <t>granite creek watershed mining project</t>
  </si>
  <si>
    <t>Draft(02/02/2015);Final(03/16/2016)</t>
  </si>
  <si>
    <t>Draft(02/20/2015)</t>
  </si>
  <si>
    <t>USFS USDA</t>
  </si>
  <si>
    <t>https://arizona.app.box.com/file/389166421858</t>
  </si>
  <si>
    <t>https://arizona.app.box.com/file/389256592174</t>
  </si>
  <si>
    <t>https://arizona.app.box.com/file/389153322472</t>
  </si>
  <si>
    <t>beaver creek watershed placer mining management plan approval and 404 permit implementation white mountain national recreation area anchorage ak</t>
  </si>
  <si>
    <t>Draft(04/22/1988);Final(11/18/1988)</t>
  </si>
  <si>
    <t>north chickamauga creek watershed designation of land unsuitable for surface coal mining operations hamilton county tn</t>
  </si>
  <si>
    <t>Draft(04/03/1987);Final(09/11/1987)</t>
  </si>
  <si>
    <t>project391</t>
  </si>
  <si>
    <t>great northern transmission line project</t>
  </si>
  <si>
    <t>Final(11/06/2015);Draft(06/26/2015)</t>
  </si>
  <si>
    <t>great northern transmission line project draft environmental impact statement</t>
  </si>
  <si>
    <t>Draft(06/26/2015)</t>
  </si>
  <si>
    <t>https://arizona.app.box.com/file/389154475185</t>
  </si>
  <si>
    <t>https://arizona.app.box.com/file/386240809153</t>
  </si>
  <si>
    <t>void - northern pass transmission line project</t>
  </si>
  <si>
    <t>Draft Supplement(11/20/2015)</t>
  </si>
  <si>
    <t>https://arizona.app.box.com/file/389174516905</t>
  </si>
  <si>
    <t>plains and eastern clean line transmission project</t>
  </si>
  <si>
    <t>https://arizona.app.box.com/file/389265067004</t>
  </si>
  <si>
    <t>https://arizona.app.box.com/file/389167635134</t>
  </si>
  <si>
    <t>project396</t>
  </si>
  <si>
    <t>green river diversion rehabilitation project</t>
  </si>
  <si>
    <t>Draft(03/14/2014);Final(06/27/2014)</t>
  </si>
  <si>
    <t>Natural Resource Conservation Service</t>
  </si>
  <si>
    <t>https://arizona.app.box.com/file/389260715601</t>
  </si>
  <si>
    <t>https://arizona.app.box.com/file/389166283125</t>
  </si>
  <si>
    <t>https://arizona.app.box.com/file/389262841081</t>
  </si>
  <si>
    <t>https://arizona.app.box.com/file/389152014559</t>
  </si>
  <si>
    <t>green mountain project</t>
  </si>
  <si>
    <t>https://arizona.app.box.com/file/389170642136</t>
  </si>
  <si>
    <t>https://arizona.app.box.com/file/386239372641</t>
  </si>
  <si>
    <t>crooked river valley rehabilitation project</t>
  </si>
  <si>
    <t>https://arizona.app.box.com/file/389260397711</t>
  </si>
  <si>
    <t>https://arizona.app.box.com/file/389167187739</t>
  </si>
  <si>
    <t>upper green river area rangeland project</t>
  </si>
  <si>
    <t>Draft(10/07/2016)</t>
  </si>
  <si>
    <t>https://arizona.app.box.com/file/389170763061</t>
  </si>
  <si>
    <t>https://arizona.app.box.com/file/386239001587</t>
  </si>
  <si>
    <t>crooked river valley rehabilitation</t>
  </si>
  <si>
    <t>Final(06/19/2015)</t>
  </si>
  <si>
    <t>https://arizona.app.box.com/file/389162605250</t>
  </si>
  <si>
    <t>https://arizona.app.box.com/file/386214413565</t>
  </si>
  <si>
    <t>project397</t>
  </si>
  <si>
    <t>green-horse habitat restoration and maintenance project</t>
  </si>
  <si>
    <t>Final(12/11/2015);Draft(11/07/2014)</t>
  </si>
  <si>
    <t>Draft(11/07/2014);Final(12/11/2015)</t>
  </si>
  <si>
    <t>https://arizona.app.box.com/file/389264601663</t>
  </si>
  <si>
    <t>https://arizona.app.box.com/file/389166490484</t>
  </si>
  <si>
    <t>https://arizona.app.box.com/file/389172371236</t>
  </si>
  <si>
    <t>center horse landscape restoration project</t>
  </si>
  <si>
    <t>Final(04/21/2017);Draft(12/31/2015)</t>
  </si>
  <si>
    <t>https://arizona.app.box.com/file/389174554307</t>
  </si>
  <si>
    <t>https://arizona.app.box.com/file/386244012142</t>
  </si>
  <si>
    <t>https://arizona.app.box.com/file/389170584146</t>
  </si>
  <si>
    <t>horse creek community protection and forest restoration project</t>
  </si>
  <si>
    <t>Draft(04/28/2017);Final(06/23/2017)</t>
  </si>
  <si>
    <t>https://arizona.app.box.com/file/389168502801</t>
  </si>
  <si>
    <t>https://arizona.app.box.com/file/386239289620</t>
  </si>
  <si>
    <t>https://arizona.app.box.com/file/389174375348</t>
  </si>
  <si>
    <t>green diamond forest habitat conservation plan</t>
  </si>
  <si>
    <t>Draft(07/20/2018)</t>
  </si>
  <si>
    <t>https://arizona.app.box.com/file/389165808610</t>
  </si>
  <si>
    <t>https://arizona.app.box.com/file/386214603167</t>
  </si>
  <si>
    <t>project399</t>
  </si>
  <si>
    <t>greens creek mine tailings disposal facility expansion</t>
  </si>
  <si>
    <t>Final(09/13/2013);Draft(04/20/2012)</t>
  </si>
  <si>
    <t>greens creek mine tailings disposal facility expansion usace section 404 permit admiralty national monument tongass national forest juneau ak</t>
  </si>
  <si>
    <t>Second Draft(04/20/2012)</t>
  </si>
  <si>
    <t>https://arizona.app.box.com/file/389165964606</t>
  </si>
  <si>
    <t>greens creek tailings disposal project construction authorization for additional dry tailings disposal storage admiralty national monument tongass national forest ak</t>
  </si>
  <si>
    <t>Draft(04/25/2003)</t>
  </si>
  <si>
    <t>https://arizona.app.box.com/file/389137053731</t>
  </si>
  <si>
    <t>ray mine tailings storage facility</t>
  </si>
  <si>
    <t>Final(09/07/2018)</t>
  </si>
  <si>
    <t>https://arizona.app.box.com/file/389168442381</t>
  </si>
  <si>
    <t>https://arizona.app.box.com/file/386242699437</t>
  </si>
  <si>
    <t>greens creek tailings disposal project additional dry tailings disposal storage facilities construction authorization admiralty national park monument tongass national forest ak</t>
  </si>
  <si>
    <t>Final(11/14/2003)</t>
  </si>
  <si>
    <t>https://arizona.app.box.com/file/389163879643</t>
  </si>
  <si>
    <t>thompson creek mine expansion and public land disposal proposed resource management plan amendment</t>
  </si>
  <si>
    <t>https://arizona.app.box.com/file/389267972675</t>
  </si>
  <si>
    <t>https://arizona.app.box.com/file/389167454325</t>
  </si>
  <si>
    <t>project40</t>
  </si>
  <si>
    <t>american river watershed common features project/ natomas post-authorization change report/natomas levee improvement program phase 4b landside improvements project sacramento and sutter counties ca</t>
  </si>
  <si>
    <t>https://arizona.app.box.com/file/386246907187</t>
  </si>
  <si>
    <t>https://arizona.app.box.com/file/386249950260</t>
  </si>
  <si>
    <t>natomas levee improvement program phase 3 landside improvements project issuance of section 408 and 404 permits sacramento and sutter counties ca</t>
  </si>
  <si>
    <t>Final(08/21/2009)</t>
  </si>
  <si>
    <t>https://arizona.app.box.com/file/386268887625</t>
  </si>
  <si>
    <t>american river watershed lower american river common features mayhew levee project reconstruction sacramento county ca</t>
  </si>
  <si>
    <t>Final(12/29/2006);Draft(11/18/2005)</t>
  </si>
  <si>
    <t>https://arizona.app.box.com/file/386243149144</t>
  </si>
  <si>
    <t>https://arizona.app.box.com/file/386241448216</t>
  </si>
  <si>
    <t>natomas levee improvement program phase 4a landside improvement project issuing of 408 permission and 404 permit california department of water resources (dwr) and the california central valley flood protection board sutter and sacramento counties ca</t>
  </si>
  <si>
    <t>Draft(08/28/2009)</t>
  </si>
  <si>
    <t>https://arizona.app.box.com/file/386265654452</t>
  </si>
  <si>
    <t>natomas levee improvement program phase 4a landside improvement project issuing of 408 permission and 404 permits california department of water resources (dwr) and the california central valley flood protection board sutter and sacramento counties ca</t>
  </si>
  <si>
    <t>Final(02/19/2010)</t>
  </si>
  <si>
    <t>https://arizona.app.box.com/file/386265398674</t>
  </si>
  <si>
    <t>project400</t>
  </si>
  <si>
    <t>greys mountain ecological restoration project proposed forest management treatments to reduce fire hazard and restore forest health sierra national forest bass lake ranger district madera and mariposa counties ca</t>
  </si>
  <si>
    <t>Draft(12/16/2011);Final(03/30/2012)</t>
  </si>
  <si>
    <t>Final(03/30/2012)</t>
  </si>
  <si>
    <t>greys mountain ecological restoration project proposed forest management treatments to reduce fire hazard and restore forest health sierra national forest bass lake ranger district madera county ca</t>
  </si>
  <si>
    <t>Draft(12/16/2011)</t>
  </si>
  <si>
    <t>https://arizona.app.box.com/file/389151629648</t>
  </si>
  <si>
    <t>fish camp project proposes to create a network of landscape area treatments and defensible fuel sierra national forest bass lake ranger district madera and mariposa counties ca</t>
  </si>
  <si>
    <t>Draft(02/18/2011);Final(05/27/2011)</t>
  </si>
  <si>
    <t>https://arizona.app.box.com/file/389164743284</t>
  </si>
  <si>
    <t>https://arizona.app.box.com/file/389151117234</t>
  </si>
  <si>
    <t>sierra national forest land and resources management plan fresno madera and mariposa counties ca</t>
  </si>
  <si>
    <t>Final(04/03/1992)</t>
  </si>
  <si>
    <t>north fork fire salvage project harvest salvage merchantable timber volume sale and sierra national forest land and resource management plan implementation bass lake ranger district madera county ca</t>
  </si>
  <si>
    <t>Final(04/11/2003)</t>
  </si>
  <si>
    <t>https://arizona.app.box.com/file/389159267931</t>
  </si>
  <si>
    <t>project401</t>
  </si>
  <si>
    <t>groton generation station (ggs) project proposes to modify its interconnection agreement basin electric power cooperative for the (ggs) to eliminate 50-megawatts (mw) annual average operating limit brown county sd</t>
  </si>
  <si>
    <t>Final(06/03/2011);Draft(08/06/2010)</t>
  </si>
  <si>
    <t>https://arizona.app.box.com/file/389166316613</t>
  </si>
  <si>
    <t>https://arizona.app.box.com/file/389165812861</t>
  </si>
  <si>
    <t>umatilla generating project construction and operation gas-fired combined cycle electric power generation plant nominal generation capacity of 550 megawatts (mw) connection to the regional grid at mcnary station umatilla county or</t>
  </si>
  <si>
    <t>Draft(08/24/2001)</t>
  </si>
  <si>
    <t>https://arizona.app.box.com/file/386239385699</t>
  </si>
  <si>
    <t>umatilla generating project gas-fired combined cycle electric power generation plant construction and operation with a nominal generation capacity of 550 megawatts (mw) for connection to the rgional grid at mcnary station umatilla county or</t>
  </si>
  <si>
    <t>Final(02/01/2002)</t>
  </si>
  <si>
    <t>https://arizona.app.box.com/file/386241822684</t>
  </si>
  <si>
    <t>continued implementation of the 2008 operating agreement for the rio grande project</t>
  </si>
  <si>
    <t>Final(10/07/2016)</t>
  </si>
  <si>
    <t>https://arizona.app.box.com/file/389164150607</t>
  </si>
  <si>
    <t>https://arizona.app.box.com/file/386241074728</t>
  </si>
  <si>
    <t>project402</t>
  </si>
  <si>
    <t>guadalupe mountains national park general management plan</t>
  </si>
  <si>
    <t>Final(06/07/2013);Draft(04/18/2008)</t>
  </si>
  <si>
    <t>Final(06/07/2013)</t>
  </si>
  <si>
    <t>https://arizona.app.box.com/file/389257139343</t>
  </si>
  <si>
    <t>guadalupe mountains national park general management plan implementation culberson and hudspeth counties tx</t>
  </si>
  <si>
    <t>Draft(04/18/2008)</t>
  </si>
  <si>
    <t>https://arizona.app.box.com/file/386242213702</t>
  </si>
  <si>
    <t>biscayne national park final general management plan</t>
  </si>
  <si>
    <t>Final(06/05/2015)</t>
  </si>
  <si>
    <t>https://arizona.app.box.com/file/389154072848</t>
  </si>
  <si>
    <t>https://arizona.app.box.com/file/386225521097</t>
  </si>
  <si>
    <t>great smoky mountains national park general management plan amendment implementation elkmont historic district sevier county tn</t>
  </si>
  <si>
    <t>Draft(02/10/2006);Final(05/01/2009)</t>
  </si>
  <si>
    <t>https://arizona.app.box.com/file/386230915313</t>
  </si>
  <si>
    <t>https://arizona.app.box.com/file/386244590853</t>
  </si>
  <si>
    <t>north shore road great smoky mountains national park general management plan implementation fontana dam swain county nc</t>
  </si>
  <si>
    <t>Draft(01/06/2006);Final(10/12/2007)</t>
  </si>
  <si>
    <t>https://arizona.app.box.com/file/386244261682</t>
  </si>
  <si>
    <t>https://arizona.app.box.com/file/386249569061</t>
  </si>
  <si>
    <t>project403</t>
  </si>
  <si>
    <t>guam and commonwealth of the northern mariana islands (cnmi) military relocation relocating marines from okinawa visiting aircraft carrier berthing and army air and missile defense task force implementation gu</t>
  </si>
  <si>
    <t>Final(07/28/2010);Draft(11/20/2009)</t>
  </si>
  <si>
    <t>guam and commonwealth of the northern mariana islands (cnmi) military relocation proposed relocating marines from okinawa visiting aircraft carrier berthing and army air and missile defense task force implementation gu</t>
  </si>
  <si>
    <t>https://arizona.app.box.com/file/389155784904</t>
  </si>
  <si>
    <t>https://arizona.app.box.com/file/389165548129</t>
  </si>
  <si>
    <t>guam and commonwealth of the northern mariana islands military relocation (2012 roadmap adjustments)</t>
  </si>
  <si>
    <t>Draft Supplement(04/18/2014)</t>
  </si>
  <si>
    <t>https://arizona.app.box.com/file/389171204057</t>
  </si>
  <si>
    <t>guam and commonwealth of the northern mariana islands military relocation (2012 roadmap adjustments) supplemental environmental impact statement</t>
  </si>
  <si>
    <t>Final Supplement(07/17/2015)</t>
  </si>
  <si>
    <t>https://arizona.app.box.com/file/389163937258</t>
  </si>
  <si>
    <t>https://arizona.app.box.com/file/386237425901</t>
  </si>
  <si>
    <t>marianas islands military training implementation marianas training plan guam commonwealth of the northern mariana islands asia hawaii and alaska</t>
  </si>
  <si>
    <t>Draft(02/07/1997);Final(06/11/1999)</t>
  </si>
  <si>
    <t>https://arizona.app.box.com/file/389167878130</t>
  </si>
  <si>
    <t>commonwealth of the northern mariana islands (cjmt) joint military training</t>
  </si>
  <si>
    <t>Draft(04/03/2015)</t>
  </si>
  <si>
    <t>Other</t>
  </si>
  <si>
    <t>https://arizona.app.box.com/file/389264268119</t>
  </si>
  <si>
    <t>https://arizona.app.box.com/file/389172457982</t>
  </si>
  <si>
    <t>project405</t>
  </si>
  <si>
    <t>gulf of alaska navy training activities proposal to support and conduct current emerging and future training activities implementation gulf of alaska ak</t>
  </si>
  <si>
    <t>Draft(12/12/2009);Final(01/29/2010)</t>
  </si>
  <si>
    <t>Draft(12/11/2009);Final(03/11/2011)</t>
  </si>
  <si>
    <t>https://arizona.app.box.com/file/389162940575</t>
  </si>
  <si>
    <t>https://arizona.app.box.com/file/389171969815</t>
  </si>
  <si>
    <t>gulf of alaska navy training activities</t>
  </si>
  <si>
    <t>Final Supplement(07/29/2016);Draft Supplement(08/22/2014)</t>
  </si>
  <si>
    <t>https://arizona.app.box.com/file/389263060510</t>
  </si>
  <si>
    <t>https://arizona.app.box.com/file/389166889461</t>
  </si>
  <si>
    <t>https://arizona.app.box.com/file/389170144288</t>
  </si>
  <si>
    <t>https://arizona.app.box.com/file/386212028832</t>
  </si>
  <si>
    <t>atlantic fleet training and testing activities to support and conduct current emerging and future training and testing activities along the eastern coast of the u.s. and gulf of mexico</t>
  </si>
  <si>
    <t>Draft(05/11/2012)</t>
  </si>
  <si>
    <t>https://arizona.app.box.com/file/389162804759</t>
  </si>
  <si>
    <t>hawaii-southern california training and testing activities to support and conduct current emerging and future training and testing activities off southern california and around the hawaiian islands ca hi</t>
  </si>
  <si>
    <t>https://arizona.app.box.com/file/389166086724</t>
  </si>
  <si>
    <t>northwest training range complex (nwtrc) to support and conduct current emerging and future training and research development test and evaluation (rdt&amp;e) activities wa or and ca</t>
  </si>
  <si>
    <t>Draft(12/29/2008)</t>
  </si>
  <si>
    <t>https://arizona.app.box.com/file/389168099075</t>
  </si>
  <si>
    <t>project409</t>
  </si>
  <si>
    <t>gulf of mexico ocs oil and gas lease sales: 2014 and 2016; eastern planning area lease sales 225 and 226</t>
  </si>
  <si>
    <t>Draft(03/04/2013);Final(10/22/2013)</t>
  </si>
  <si>
    <t>https://arizona.app.box.com/file/389264776005</t>
  </si>
  <si>
    <t>https://arizona.app.box.com/file/389138131286</t>
  </si>
  <si>
    <t>https://arizona.app.box.com/file/389255053362</t>
  </si>
  <si>
    <t>https://arizona.app.box.com/file/389163554550</t>
  </si>
  <si>
    <t>https://arizona.app.box.com/file/389266459890</t>
  </si>
  <si>
    <t>https://arizona.app.box.com/file/389162354854</t>
  </si>
  <si>
    <t>gulf of mexicio outer continental shelf (ocs) oil and gas lease sales 2016 and 2017 central planning area lease sales 241 and 247; eastern planning area lease sales 226</t>
  </si>
  <si>
    <t>Draft Supplement(01/30/2015)</t>
  </si>
  <si>
    <t>https://arizona.app.box.com/file/389167450589</t>
  </si>
  <si>
    <t>https://arizona.app.box.com/file/389264033488</t>
  </si>
  <si>
    <t>project410</t>
  </si>
  <si>
    <t>Final(03/21/2014);Draft(10/28/2013)</t>
  </si>
  <si>
    <t>gulf of mexico ocs oil and gas lease sales: 2013-2014 western planning area lease sale 233 central planning area lease sale 231</t>
  </si>
  <si>
    <t>Final Supplement(04/12/2013)</t>
  </si>
  <si>
    <t>https://arizona.app.box.com/file/389263645999</t>
  </si>
  <si>
    <t>https://arizona.app.box.com/file/389163555750</t>
  </si>
  <si>
    <t>project414</t>
  </si>
  <si>
    <t>Draft(03/24/2014);Final(09/19/2014)</t>
  </si>
  <si>
    <t>https://arizona.app.box.com/file/389266347022</t>
  </si>
  <si>
    <t>https://arizona.app.box.com/file/389152134689</t>
  </si>
  <si>
    <t>gulf of mexico outer continental shelf (ocs) oil and gas lease sales: 2012-2017 western planning area lease sales 229 233 238 246 and 248: central planning area lease sales 227 231 235 241 and 247 tx la ms al and northwestern fl</t>
  </si>
  <si>
    <t>Draft(12/30/2011);Final(07/06/2012)</t>
  </si>
  <si>
    <t>https://arizona.app.box.com/file/386245462942</t>
  </si>
  <si>
    <t>https://arizona.app.box.com/file/386239826243</t>
  </si>
  <si>
    <t>gulf of mexico outer continental shelf (ocs) oil and gas lease sales: 2013-2014 western planning area lease sales 233: central planning area lease sales 231</t>
  </si>
  <si>
    <t>Draft Supplement(11/09/2012)</t>
  </si>
  <si>
    <t>https://arizona.app.box.com/file/389184805704</t>
  </si>
  <si>
    <t>https://arizona.app.box.com/file/386227827786</t>
  </si>
  <si>
    <t>project415</t>
  </si>
  <si>
    <t>gulf of mexico outer continental shelf oil and gas lease sales: 2012 central planning area lease sales: 216 and 222 potential changes to the baseline conditions offshore marine enivornment and coastal counties/parishes of ms la al</t>
  </si>
  <si>
    <t>Final(01/20/2012);Draft(07/01/2011)</t>
  </si>
  <si>
    <t>Second Draft Supplemental(07/01/2011);Final Supplement(01/20/2012)</t>
  </si>
  <si>
    <t>BOEMRE BOEM</t>
  </si>
  <si>
    <t>https://arizona.app.box.com/file/386245693310</t>
  </si>
  <si>
    <t>https://arizona.app.box.com/file/386239045531</t>
  </si>
  <si>
    <t>gulf of mexico outer continental shelf oil and gas lease sales: 2009-2012 western planning area sales: 210 in 2009 215 in 2010 and 218 in 2011 and central planning area sales: 208 in 2009 213 in 2010 216 in 2011 and 222 in 2012 tx la ms al and fl</t>
  </si>
  <si>
    <t>Final Supplement(10/03/2008);Draft Supplement(04/11/2008)</t>
  </si>
  <si>
    <t>https://arizona.app.box.com/file/386216082521</t>
  </si>
  <si>
    <t>https://arizona.app.box.com/file/386213444091</t>
  </si>
  <si>
    <t>central planning area gulf of mexico outer continental shelf oil and gas lease sales 169 172 175 178 and 182 lease offering offshore marine environment and coastal counties/parishes of al ms la and tx</t>
  </si>
  <si>
    <t>Draft(05/30/1997);Final(11/28/1997)</t>
  </si>
  <si>
    <t>gulf of mexico outer continental shelf oil and gas lease sales: 2007-2012 western planning area sales 204 207 210 215 and 218: central planning area sales 205 206 208 213 216 and 222 tx la ms al and fl</t>
  </si>
  <si>
    <t>Draft(11/17/2006);Final(04/13/2007)</t>
  </si>
  <si>
    <t>https://arizona.app.box.com/file/386245368705</t>
  </si>
  <si>
    <t>https://arizona.app.box.com/file/386245461407</t>
  </si>
  <si>
    <t>project417</t>
  </si>
  <si>
    <t>gulf of mexico reef fish fmp amendment 28</t>
  </si>
  <si>
    <t>Final(01/15/2016);Draft(05/29/2015)</t>
  </si>
  <si>
    <t>reef fish fishery of the gulf of mexico fishery management plan amendment 4 updated information concerning permit approvals and special management zones establishment implementation fl al ms la tx and gulf of mexico</t>
  </si>
  <si>
    <t>Final Supplement(10/15/1993)</t>
  </si>
  <si>
    <t>reef fish fishery management plan (fmp) amendment 23 to set vermilion snapper sustainable fisheries act targets and thresholds and to establish a plan to end overfishing and rebuild the stock gulf of mexico</t>
  </si>
  <si>
    <t>DC(05/28/2004)</t>
  </si>
  <si>
    <t>project423</t>
  </si>
  <si>
    <t>Final(08/01/2014);Draft(03/21/2014)</t>
  </si>
  <si>
    <t>south pipeline mine project proposal to extend gold mining operations implementation lander county nv</t>
  </si>
  <si>
    <t>Final(03/03/2000);Draft(08/06/1999)</t>
  </si>
  <si>
    <t>https://arizona.app.box.com/file/386226645574</t>
  </si>
  <si>
    <t>https://arizona.app.box.com/file/386245147061</t>
  </si>
  <si>
    <t>project424</t>
  </si>
  <si>
    <t>halletts point rezoning</t>
  </si>
  <si>
    <t>Final(09/13/2013);Draft(05/31/2013)</t>
  </si>
  <si>
    <t>https://arizona.app.box.com/file/389263098546</t>
  </si>
  <si>
    <t>https://arizona.app.box.com/file/389152294415</t>
  </si>
  <si>
    <t>hallets point rezoning</t>
  </si>
  <si>
    <t>https://arizona.app.box.com/file/389152728149</t>
  </si>
  <si>
    <t>sunrise douglas residential development project general plan amendment and rezoning approval and section 404 permit sacramento county ca</t>
  </si>
  <si>
    <t>Final(03/27/1992);Draft(12/21/1990)</t>
  </si>
  <si>
    <t>morrison creek mining reach upstream north of jackson highway implementation community plan amendment rezoning use permit amendment to existing use permit and coe section 404 permit sacramento county ca</t>
  </si>
  <si>
    <t>Final(04/26/1996);Draft(11/09/1995)</t>
  </si>
  <si>
    <t>programmatic - mcclellan air force base (afb) disposal and reuse including rezoning of the main base implementation federal permits licenses or entitlements sacramento county ca</t>
  </si>
  <si>
    <t>Final(07/03/1997);Draft(03/28/1997)</t>
  </si>
  <si>
    <t>project426</t>
  </si>
  <si>
    <t>hampton national historic site general management plan implementation baltimore county md</t>
  </si>
  <si>
    <t>Draft(10/15/2010);Final(03/23/2012)</t>
  </si>
  <si>
    <t>https://arizona.app.box.com/file/386260269266</t>
  </si>
  <si>
    <t>https://arizona.app.box.com/file/386245253679</t>
  </si>
  <si>
    <t>whitman national historic site general management plan development concept plan implementation walla walla county wa</t>
  </si>
  <si>
    <t>Draft(09/03/1999)</t>
  </si>
  <si>
    <t>project427</t>
  </si>
  <si>
    <t>hanford site tank closure and waste management project richland benton county wa</t>
  </si>
  <si>
    <t>Final(12/14/2012);Draft(10/30/2009)</t>
  </si>
  <si>
    <t>https://arizona.app.box.com/file/389186983906</t>
  </si>
  <si>
    <t>https://arizona.app.box.com/file/386241411317</t>
  </si>
  <si>
    <t>hanford site tank closure and waste management project implementation richland benton county wa</t>
  </si>
  <si>
    <t>Draft(10/30/2009)</t>
  </si>
  <si>
    <t>https://arizona.app.box.com/file/386212770636</t>
  </si>
  <si>
    <t>hanford site defense high-level transuranic and tank wastes disposal implementation richland county wa</t>
  </si>
  <si>
    <t>Final(12/31/1987)</t>
  </si>
  <si>
    <t>hanford site tank waste remediation systems (twrs) management and disposal of radioactive hazardous and mixed wastes npdes permit and approval of several permits in the city of richland grant county wa</t>
  </si>
  <si>
    <t>Draft(04/12/1996);Final(08/30/1996)</t>
  </si>
  <si>
    <t>hanford site k basins management of spent nuclear fuel storage and disposal application for approval of construction and npdes permit issuance columbia river richland benton county wa</t>
  </si>
  <si>
    <t>Final(02/02/1996);Draft(11/09/1995)</t>
  </si>
  <si>
    <t>project430</t>
  </si>
  <si>
    <t>harvest specifications and management measures for the 2011-2012 pacific coast groundfish fishery and amendment 16-5 to the pacific coast groundfish fishery management plan and adopt a rebuilding plan for petrale sole rin-0648-ba01 wa or and ca</t>
  </si>
  <si>
    <t>Draft(08/27/2010);Final(03/11/2011)</t>
  </si>
  <si>
    <t>https://arizona.app.box.com/file/386243994082</t>
  </si>
  <si>
    <t>https://arizona.app.box.com/file/386230173814</t>
  </si>
  <si>
    <t>harvest specifications and management measures for the 2013-2014 pacific coast groundfish fishery and amendment 21-2 to the pacific coast fishery management plan implementation off the coast of wa or and ca</t>
  </si>
  <si>
    <t>https://arizona.app.box.com/file/389257237779</t>
  </si>
  <si>
    <t>https://arizona.app.box.com/file/386249679772</t>
  </si>
  <si>
    <t>harvest specifications and management measures for the 2013-2014 pacific coast groundfish fishery and amendment 21-2 to the pacific coast fishery management plan federal waters off the coast of wa or and ca</t>
  </si>
  <si>
    <t>https://arizona.app.box.com/file/389263745615</t>
  </si>
  <si>
    <t>https://arizona.app.box.com/file/386242202843</t>
  </si>
  <si>
    <t>pacific coast groundfish fishery management plan proposed acceptable biological catch and optimum yield specifications and management measures for the 2007-2008 pacific coast groundfish fishery and amendment 16-4 rebuilding plans for seven depleted pacific coast groundfish species wa or and ca</t>
  </si>
  <si>
    <t>Draft(07/28/2006);Final(10/20/2006)</t>
  </si>
  <si>
    <t>https://arizona.app.box.com/file/386244043060</t>
  </si>
  <si>
    <t>https://arizona.app.box.com/file/386218671861</t>
  </si>
  <si>
    <t>harvest specifications and management measures for 2015-2016 and biennial periods thereafter (pacific coast groundfish fishery management plan)</t>
  </si>
  <si>
    <t>Draft(10/24/2014)</t>
  </si>
  <si>
    <t>https://arizona.app.box.com/file/389267705539</t>
  </si>
  <si>
    <t>https://arizona.app.box.com/file/389170448280</t>
  </si>
  <si>
    <t>project434</t>
  </si>
  <si>
    <t>hawaii volcanoes national park project protecting and restoring native ecosystems by managing non-native ungulates hawaii county hi</t>
  </si>
  <si>
    <t>Draft(11/18/2011);Final(01/25/2013)</t>
  </si>
  <si>
    <t>https://arizona.app.box.com/file/386245024003</t>
  </si>
  <si>
    <t>hawaii volcanoes national park management plan</t>
  </si>
  <si>
    <t>https://arizona.app.box.com/file/389173249428</t>
  </si>
  <si>
    <t>ala kahakai 'trail by the sea' national trail study implementation hawaii island hawaii county hi</t>
  </si>
  <si>
    <t>Final(04/03/1998);Draft(08/08/1997)</t>
  </si>
  <si>
    <t>restoration of native species in high elevation aquatic ecosystems plan and feis</t>
  </si>
  <si>
    <t>Final(06/10/2016)</t>
  </si>
  <si>
    <t>https://arizona.app.box.com/file/389170795475</t>
  </si>
  <si>
    <t>project439</t>
  </si>
  <si>
    <t>Draft(09/02/2016);Final(12/16/2016)</t>
  </si>
  <si>
    <t>https://arizona.app.box.com/file/389175755125</t>
  </si>
  <si>
    <t>https://arizona.app.box.com/file/386216354432</t>
  </si>
  <si>
    <t>north inlet/winyah bay national estuarine research reserve management plan site designation funding georgetown county sc</t>
  </si>
  <si>
    <t>Draft(10/18/1991);Final(05/22/1992)</t>
  </si>
  <si>
    <t>https://arizona.app.box.com/file/386232100073</t>
  </si>
  <si>
    <t>https://arizona.app.box.com/file/386239780568</t>
  </si>
  <si>
    <t>kachemak bay national estuarine research reserve (kbnerr) management plan operations and development southcentral ak</t>
  </si>
  <si>
    <t>Draft(03/20/1998);Final(09/25/1998)</t>
  </si>
  <si>
    <t>project44</t>
  </si>
  <si>
    <t>angoon airport project</t>
  </si>
  <si>
    <t>Draft(01/09/2015);Final(09/02/2016)</t>
  </si>
  <si>
    <t>Final(09/02/2016)</t>
  </si>
  <si>
    <t>https://arizona.app.box.com/file/389170270845</t>
  </si>
  <si>
    <t>https://arizona.app.box.com/file/386239079291</t>
  </si>
  <si>
    <t>angoon airport</t>
  </si>
  <si>
    <t>Draft(01/09/2015)</t>
  </si>
  <si>
    <t>https://arizona.app.box.com/file/389268317669</t>
  </si>
  <si>
    <t>https://arizona.app.box.com/file/389168283666</t>
  </si>
  <si>
    <t>angoon hydroelectric project construction and operation special-use-authorization thayer creek admiralty island national monument tongass national forest ak</t>
  </si>
  <si>
    <t>Final(03/20/2009)</t>
  </si>
  <si>
    <t>https://arizona.app.box.com/file/389166907330</t>
  </si>
  <si>
    <t>angoon hydroeletric project construction and operation special-use-authorization thayer creek admiralty island national monument tongass national forest ak</t>
  </si>
  <si>
    <t>Draft(05/25/2007)</t>
  </si>
  <si>
    <t>https://arizona.app.box.com/file/389163390150</t>
  </si>
  <si>
    <t>cal black memorial airport</t>
  </si>
  <si>
    <t>Draft Supplement(12/12/2014)</t>
  </si>
  <si>
    <t>https://arizona.app.box.com/file/389257419779</t>
  </si>
  <si>
    <t>https://arizona.app.box.com/file/389164853256</t>
  </si>
  <si>
    <t>project441</t>
  </si>
  <si>
    <t>herbert hoover dike dam safety modification study</t>
  </si>
  <si>
    <t>Draft(12/24/2015);Final(06/03/2016)</t>
  </si>
  <si>
    <t>https://arizona.app.box.com/file/389164893973</t>
  </si>
  <si>
    <t>https://arizona.app.box.com/file/386216358015</t>
  </si>
  <si>
    <t>https://arizona.app.box.com/file/389172993835</t>
  </si>
  <si>
    <t>https://arizona.app.box.com/file/386239028482</t>
  </si>
  <si>
    <t>herbert hoover dike major rehabilitation evaluation study flood protection water supply and navigation implementation lake okeechobee fl</t>
  </si>
  <si>
    <t>Draft(08/06/1999)</t>
  </si>
  <si>
    <t>https://arizona.app.box.com/file/386233874873</t>
  </si>
  <si>
    <t>hoover creek stream management plan implementation herbert hoover national historic site ia</t>
  </si>
  <si>
    <t>Draft(09/30/2005);Final(06/23/2006)</t>
  </si>
  <si>
    <t>https://arizona.app.box.com/file/386250477542</t>
  </si>
  <si>
    <t>https://arizona.app.box.com/file/386249590910</t>
  </si>
  <si>
    <t>herbert hoover dike major rehabilitation evaluation study proposed to reduce the probability of a breach of reach one lake okeechobee martin and palm beach counties fl</t>
  </si>
  <si>
    <t>Draft Supplement(04/01/2005);Final(07/08/2005)</t>
  </si>
  <si>
    <t>https://arizona.app.box.com/file/386231894791</t>
  </si>
  <si>
    <t>https://arizona.app.box.com/file/386247496607</t>
  </si>
  <si>
    <t>bluestone dam safety modification</t>
  </si>
  <si>
    <t>Final Supplement(05/12/2017)</t>
  </si>
  <si>
    <t>https://arizona.app.box.com/file/389174589178</t>
  </si>
  <si>
    <t>https://arizona.app.box.com/file/386241292728</t>
  </si>
  <si>
    <t>project443</t>
  </si>
  <si>
    <t>hermosa park/ mitchell lakes land exchange project proposed land exchange between federal and non-federal lands implementation federal land in laplata county and non-federal land in san juan county co</t>
  </si>
  <si>
    <t>Draft(08/17/2009);Final(06/11/2010)</t>
  </si>
  <si>
    <t>https://arizona.app.box.com/file/386239150923</t>
  </si>
  <si>
    <t>https://arizona.app.box.com/file/389161697456</t>
  </si>
  <si>
    <t>hermosa landscape grazing analysis project proposes to continue to authorize livestock grazing cascade reservoir dutch creek elbert creek hope creek south fork and upper hermosa allotments columbine ranger district san juan national forest laplata and san juan counties co</t>
  </si>
  <si>
    <t>Draft(10/03/2008);Final(05/29/2009)</t>
  </si>
  <si>
    <t>https://arizona.app.box.com/file/389161872065</t>
  </si>
  <si>
    <t>https://arizona.app.box.com/file/389161962666</t>
  </si>
  <si>
    <t>black river exchange project proposal to exchange federal and non-federal lands apache-sitgreaves national forests apache county az</t>
  </si>
  <si>
    <t>Final(10/02/2009);Draft(06/13/2008)</t>
  </si>
  <si>
    <t>https://arizona.app.box.com/file/389137903492</t>
  </si>
  <si>
    <t>https://arizona.app.box.com/file/389169510023</t>
  </si>
  <si>
    <t>san juan public lands draft land management plan (dlmp) implementation san juan national forest archuleta conejos dolores hinsdale laplata mineral montezuma montrose rio grande san juan and san miguel counties co</t>
  </si>
  <si>
    <t>Draft(12/14/2007)</t>
  </si>
  <si>
    <t>https://arizona.app.box.com/file/389163239377</t>
  </si>
  <si>
    <t>project450</t>
  </si>
  <si>
    <t>honolulu seawater air conditioning project</t>
  </si>
  <si>
    <t>Final(06/13/2014);Draft(03/18/2011)</t>
  </si>
  <si>
    <t>https://arizona.app.box.com/file/389152234949</t>
  </si>
  <si>
    <t>honolulu seawater air conditioning project proposal to construct a seawater air conditioning system us coe section 10 and 404 permits city and county of honolulu hi</t>
  </si>
  <si>
    <t>Draft(03/18/2011)</t>
  </si>
  <si>
    <t>https://arizona.app.box.com/file/386241685662</t>
  </si>
  <si>
    <t>bellows air force station land use and development plan implementation waimanalo honolulu county hi</t>
  </si>
  <si>
    <t>Draft(04/14/1995);Final(12/15/1995)</t>
  </si>
  <si>
    <t>honolulu rail transit project (formerly the honolulu high-capacity transit corridor project)</t>
  </si>
  <si>
    <t>Draft Supplement(06/07/2013)</t>
  </si>
  <si>
    <t>https://arizona.app.box.com/file/389263933565</t>
  </si>
  <si>
    <t>https://arizona.app.box.com/file/389162260427</t>
  </si>
  <si>
    <t>honolulu rail transit project amended record of decision</t>
  </si>
  <si>
    <t>Final Supplement(10/25/2013)</t>
  </si>
  <si>
    <t>https://arizona.app.box.com/file/389261263250</t>
  </si>
  <si>
    <t>project453</t>
  </si>
  <si>
    <t>howard elliot johnson fuel and vegetation management project proposed fuels and vegetation treatments reduce the risk of stand loss due to overly dense stand condition crook county or</t>
  </si>
  <si>
    <t>Draft(02/04/2011);Final(05/27/2011)</t>
  </si>
  <si>
    <t>https://arizona.app.box.com/file/389137730731</t>
  </si>
  <si>
    <t>https://arizona.app.box.com/file/389162865916</t>
  </si>
  <si>
    <t>canyon fuels and vegetation management project proposed fuels and vegetation treatment to reduce the risk of stand loss due to overly dense stand conditions lookout mountain ranger district ochoco national forest crook county or</t>
  </si>
  <si>
    <t>Final(04/30/2010);Draft(12/18/2009)</t>
  </si>
  <si>
    <t>https://arizona.app.box.com/file/389166800530</t>
  </si>
  <si>
    <t>https://arizona.app.box.com/file/389165706606</t>
  </si>
  <si>
    <t>east maury fuels and vegetation management project proposed fuels and vegetation treatments reduce the risk of stand loss lookout mountain ranger district ochoco national forest crook county or</t>
  </si>
  <si>
    <t>Final(08/15/2008);Draft(04/18/2008)</t>
  </si>
  <si>
    <t>https://arizona.app.box.com/file/389151654031</t>
  </si>
  <si>
    <t>https://arizona.app.box.com/file/389151888808</t>
  </si>
  <si>
    <t>mudflow vegetation management project to improve or sustain the health and resiliency of the forest and reduce the risk of stand-replacing wildfire siskiyou county ca</t>
  </si>
  <si>
    <t>Final(06/03/2011);Draft(03/04/2011)</t>
  </si>
  <si>
    <t>https://arizona.app.box.com/file/389137426531</t>
  </si>
  <si>
    <t>deadlog vegetation management project to implement treatments that would reduce the risk of high intensity stand replacement wildlife and the risk of heavy tree mortality from insects and disease deschutes national forest lands deschutes county or</t>
  </si>
  <si>
    <t>Final(11/06/2009);Draft(07/31/2009)</t>
  </si>
  <si>
    <t>https://arizona.app.box.com/file/389166841727</t>
  </si>
  <si>
    <t>https://arizona.app.box.com/file/389137533731</t>
  </si>
  <si>
    <t>project455</t>
  </si>
  <si>
    <t>hyde park/north logan corridor project proposed 200 east transportation corridor between north logan city and hyde park funding right-of-way acquisitions and us army coe section 404 permit cache county ut</t>
  </si>
  <si>
    <t>Draft(03/30/2007);Final(07/08/2011)</t>
  </si>
  <si>
    <t>https://arizona.app.box.com/file/386241006330</t>
  </si>
  <si>
    <t>https://arizona.app.box.com/file/386245452598</t>
  </si>
  <si>
    <t>south logan to providence transportation corridor project improvements to 100 east street between 300 south (logan) to providence lane (100 north) in providence funding and right-of way grant cities of logan and providence cache county ut</t>
  </si>
  <si>
    <t>Draft(12/15/2006);Final(08/10/2007)</t>
  </si>
  <si>
    <t>https://arizona.app.box.com/file/386238693393</t>
  </si>
  <si>
    <t>https://arizona.app.box.com/file/386244827408</t>
  </si>
  <si>
    <t>us-89/logan canyon highway improvements right fork 9 miles east of logan to garden city funding 404 permit and special use permit wasatch-cache national forest cache and rich counties ut</t>
  </si>
  <si>
    <t>Draft(11/30/1990);Final(03/19/1993)</t>
  </si>
  <si>
    <t>i-15 north corridor project improvements from 400 south in salt lake city to 200 north in kaysville funding and coe section 404 permit salt lake and davis counties ut</t>
  </si>
  <si>
    <t>Draft(10/02/1998)</t>
  </si>
  <si>
    <t>us 231 transportation project new construction from cr-200 n to cr-1150'1 funding right-of-way permit and coe section 404 permit spencer and dubois counties in</t>
  </si>
  <si>
    <t>Draft(07/24/1998)</t>
  </si>
  <si>
    <t>project456</t>
  </si>
  <si>
    <t>i-12 to bush louisiana proposed highway project proposes to construct a high-speed four-lane arterial highway from the southern terminus of la-21 to i-12 st. tammany parish la</t>
  </si>
  <si>
    <t>Final(03/09/2012);Draft(09/09/2011)</t>
  </si>
  <si>
    <t>https://arizona.app.box.com/file/386246604820</t>
  </si>
  <si>
    <t>i-12 to bush louisiana proposed highway project proposes to construct a high-speed four-lane arterial highway from the southern terminus of the current modern four-lane arterial portion of louisiana highway (la) 21 in bush la to interstate 12 (i12) st. tammany parish la</t>
  </si>
  <si>
    <t>https://arizona.app.box.com/file/386244286051</t>
  </si>
  <si>
    <t>pearl river in the vicinity of walkiah bluff wetland restoration implementation picayune pearl river county ms and st. tammany parish la</t>
  </si>
  <si>
    <t>Draft(08/02/1996);Final(05/30/1997)</t>
  </si>
  <si>
    <t>small diversion at convent/blind river proposes to construct a freshwater diversion project integrated feasibility study louisiana coastal area st. james parish la</t>
  </si>
  <si>
    <t>https://arizona.app.box.com/file/386265391300</t>
  </si>
  <si>
    <t>https://arizona.app.box.com/file/386247103095</t>
  </si>
  <si>
    <t>project457</t>
  </si>
  <si>
    <t>i-15 corridor improvement and local arterial improvements project collectively known as project neon to improve the safety and travel efficiency in the i-15 corridor city of las vegas clark county nv</t>
  </si>
  <si>
    <t>Draft(09/18/2009);Final(06/11/2010)</t>
  </si>
  <si>
    <t>https://arizona.app.box.com/file/386252212734</t>
  </si>
  <si>
    <t>https://arizona.app.box.com/file/386248225061</t>
  </si>
  <si>
    <t>las vegas resort corridor project transportation improvements funding city of las vegas clark county nv</t>
  </si>
  <si>
    <t>Draft(02/22/2002);Final(02/21/2003)</t>
  </si>
  <si>
    <t>https://arizona.app.box.com/file/386245131671</t>
  </si>
  <si>
    <t>https://arizona.app.box.com/file/386230000828</t>
  </si>
  <si>
    <t>las vegas land and resource management plan (formerly known as stateline resource area land and resource management plan) implemenation clark and nye counties nv</t>
  </si>
  <si>
    <t>Final(06/05/1998)</t>
  </si>
  <si>
    <t>us-95 improvements summerlin parkway to the local and arterial road network in the northwest region of las vagas funding and approvals clark county nv</t>
  </si>
  <si>
    <t>Final(12/03/1999)</t>
  </si>
  <si>
    <t>https://arizona.app.box.com/file/386238864965</t>
  </si>
  <si>
    <t>project458</t>
  </si>
  <si>
    <t>i-395/route 9 transportation system</t>
  </si>
  <si>
    <t>Final(01/30/2015);Draft(03/23/2012)</t>
  </si>
  <si>
    <t>Final(01/30/2015)</t>
  </si>
  <si>
    <t>https://arizona.app.box.com/file/389266545339</t>
  </si>
  <si>
    <t>https://arizona.app.box.com/file/389164545425</t>
  </si>
  <si>
    <t>i-395/route 9 transportation system to improve transportation system linkage safety and mobility usace 404 permit application penobscot and hancock counties me</t>
  </si>
  <si>
    <t>https://arizona.app.box.com/file/386238838737</t>
  </si>
  <si>
    <t>pyramid highway/us 395 connection</t>
  </si>
  <si>
    <t>Draft(09/13/2013);Final(06/29/2018)</t>
  </si>
  <si>
    <t>https://arizona.app.box.com/file/389263792631</t>
  </si>
  <si>
    <t>https://arizona.app.box.com/file/389160160067</t>
  </si>
  <si>
    <t>https://arizona.app.box.com/file/389178411483</t>
  </si>
  <si>
    <t>https://arizona.app.box.com/file/386216592668</t>
  </si>
  <si>
    <t>capital beltway study transportation improvement to the 14-mile section of capital beltway (i-495) between the i-95/i-395/i-495 interchange and the american legion bridge fairfax county va</t>
  </si>
  <si>
    <t>Final(04/28/2006);Draft(04/12/2002)</t>
  </si>
  <si>
    <t>https://arizona.app.box.com/file/386240427674</t>
  </si>
  <si>
    <t>project460</t>
  </si>
  <si>
    <t>i-69 evansville to indianapolis indiana project section 5 bloomington to martinsville</t>
  </si>
  <si>
    <t>Final(08/16/2013);Draft(10/26/2012)</t>
  </si>
  <si>
    <t>i-69 evansville to indianapolis tier 2 indiana project section 5 bloomington to martinsville monroe and morgan counties in</t>
  </si>
  <si>
    <t>https://arizona.app.box.com/file/386240672130</t>
  </si>
  <si>
    <t>i-69 evansville to indianapolis corridor study i-69 completion in southwestern indiana and corridor selection in</t>
  </si>
  <si>
    <t>Draft(08/09/2002);Final(12/24/2003)</t>
  </si>
  <si>
    <t>https://arizona.app.box.com/file/386217459202</t>
  </si>
  <si>
    <t>https://arizona.app.box.com/file/386242539953</t>
  </si>
  <si>
    <t>i-69 evansville to indianapolis tier 2 section 4 project from u.s. 231 (crane nswc) to in-37 south of bloomington in section 4 greene and monroe counties in</t>
  </si>
  <si>
    <t>Draft(07/30/2010);Final(07/22/2011)</t>
  </si>
  <si>
    <t>https://arizona.app.box.com/file/386213864518</t>
  </si>
  <si>
    <t>https://arizona.app.box.com/file/386242756387</t>
  </si>
  <si>
    <t>i-69 evansville to indianapolis indiana project section 2 oakland city to washington (in-64 to us 50) gibson pike and daviess counties in</t>
  </si>
  <si>
    <t>Second Draft(02/06/2009)</t>
  </si>
  <si>
    <t>i-69 evansville to indianapolis indiana project section 3 washington to crane nswc (us 50 to us 231) daviess greene knox and martin counties in</t>
  </si>
  <si>
    <t>Final(12/11/2009);Second Draft(02/06/2009)</t>
  </si>
  <si>
    <t>https://arizona.app.box.com/file/386249430469</t>
  </si>
  <si>
    <t>https://arizona.app.box.com/file/386241282245</t>
  </si>
  <si>
    <t>project462</t>
  </si>
  <si>
    <t>i-69 section of independent utility # 11 project construction of multi-lane interstate highway from benoit to robinsonville us army coe section 404 permit mississippi river bridge bolivar coahoma tunica and sunflower counties ms</t>
  </si>
  <si>
    <t>Final(07/09/2010);Draft(11/26/2004)</t>
  </si>
  <si>
    <t>i--69 section of independent utility # 11 project construction of multi-lane interstate highway from benoit to robinsonville us army coe section 404 permit mississippi river bridge bolivar coahoma tunica and sunflower counties ms</t>
  </si>
  <si>
    <t>https://arizona.app.box.com/file/386242317689</t>
  </si>
  <si>
    <t>https://arizona.app.box.com/file/386243062624</t>
  </si>
  <si>
    <t>i-69 mississippi river crossing construction from a western terminus at u.s. 65 near mcgehee ar to an eastern terminus at state highway 1 near benoit ms us coast guard bridge permit us army corps section 10 and 404 permit npdes permit desha county ar and bolivar county ms</t>
  </si>
  <si>
    <t>Draft(08/09/2002)</t>
  </si>
  <si>
    <t>https://arizona.app.box.com/file/386216811230</t>
  </si>
  <si>
    <t>i-69 mississippi river crossing construction from a western terminus at us 65 near mcgehee ar to an eastern terminus at state highway 1 near benoit ms us coast guard bridge permit us army corps section 10 and 404 permits npdes permit desha county ar and bolivar county ms</t>
  </si>
  <si>
    <t>Final(04/02/2004)</t>
  </si>
  <si>
    <t>great river bridge construction us 65 near mcgehee arkansas to ms-1 near benoit mississippi funding u.s. coast guard bridge permit coe section 10 and 404 permits and npdes permit desha county ar and bolivar county ms</t>
  </si>
  <si>
    <t>Final(02/04/2000)</t>
  </si>
  <si>
    <t>greenville connector project from relocated us 82 to proposed i-69 corridor south of benoit city of greenville. washington and bolivar counties ms</t>
  </si>
  <si>
    <t>Draft(04/24/2009)</t>
  </si>
  <si>
    <t>https://arizona.app.box.com/file/386244788768</t>
  </si>
  <si>
    <t>project465</t>
  </si>
  <si>
    <t>ice age complex at cross plains general management plan implementation ice age national scenic trail dane county wi</t>
  </si>
  <si>
    <t>Final(12/31/2012);Draft(03/02/2012)</t>
  </si>
  <si>
    <t>https://arizona.app.box.com/file/386218396756</t>
  </si>
  <si>
    <t>https://arizona.app.box.com/file/389254461665</t>
  </si>
  <si>
    <t>https://arizona.app.box.com/file/386240002658</t>
  </si>
  <si>
    <t>ozark national scenic riverways general management plan</t>
  </si>
  <si>
    <t>Final(12/12/2014)</t>
  </si>
  <si>
    <t>https://arizona.app.box.com/file/389268159042</t>
  </si>
  <si>
    <t>https://arizona.app.box.com/file/389170647660</t>
  </si>
  <si>
    <t>us 12 highway improvement sauk city to middleton funding and coe section 404 permits issuance sauk and dane counties wi</t>
  </si>
  <si>
    <t>Final(01/08/1999);Draft(05/05/1995)</t>
  </si>
  <si>
    <t>https://arizona.app.box.com/file/386218167326</t>
  </si>
  <si>
    <t>us 18/151 improvement cth-g to cth-pd city of verona dane county wi</t>
  </si>
  <si>
    <t>Draft(06/09/1989);Final(06/28/1991)</t>
  </si>
  <si>
    <t>project468</t>
  </si>
  <si>
    <t>idaho panhandle national forests revised land management plan</t>
  </si>
  <si>
    <t>Draft(01/06/2012);Final(10/04/2013)</t>
  </si>
  <si>
    <t>https://arizona.app.box.com/file/389161238717</t>
  </si>
  <si>
    <t>revised land and resource management plan for the national forests in mississippi</t>
  </si>
  <si>
    <t>Draft(02/08/2013)</t>
  </si>
  <si>
    <t>https://arizona.app.box.com/file/389266167769</t>
  </si>
  <si>
    <t>https://arizona.app.box.com/file/389152421305</t>
  </si>
  <si>
    <t>texas national forests and grasslands revised land and resource management plan implementation several counties tx</t>
  </si>
  <si>
    <t>Final(06/28/1996);Draft(09/23/1994)</t>
  </si>
  <si>
    <t>https://arizona.app.box.com/file/389160143159</t>
  </si>
  <si>
    <t>west gold creek project forest management activities plan implementation idaho panhandle national forests sandpoints ranger district bonner county id</t>
  </si>
  <si>
    <t>Final(11/29/2002)</t>
  </si>
  <si>
    <t>prichard creek analysis area land and resource management plan implementation idaho panhandle national forests wallace ranger district coeur d'alene river id</t>
  </si>
  <si>
    <t>Final(05/20/1994);Draft(10/22/1993)</t>
  </si>
  <si>
    <t>project47</t>
  </si>
  <si>
    <t>Final(08/01/2014);Draft(07/26/2013)</t>
  </si>
  <si>
    <t>https://arizona.app.box.com/file/389263679984</t>
  </si>
  <si>
    <t>https://arizona.app.box.com/file/389164405868</t>
  </si>
  <si>
    <t>project470</t>
  </si>
  <si>
    <t>illiana corridor project tier two transportation system improvements</t>
  </si>
  <si>
    <t>Draft(01/24/2014);Final(09/26/2014)</t>
  </si>
  <si>
    <t>illiana corridor tier two</t>
  </si>
  <si>
    <t>Second Final(09/26/2014)</t>
  </si>
  <si>
    <t>https://arizona.app.box.com/file/389261393825</t>
  </si>
  <si>
    <t>https://arizona.app.box.com/file/389162616730</t>
  </si>
  <si>
    <t>illiana corridor project tier one transportation system improvements will and kankakee counties il and lake county in</t>
  </si>
  <si>
    <t>Final(01/25/2013);Draft(07/13/2012)</t>
  </si>
  <si>
    <t>nan IL</t>
  </si>
  <si>
    <t>https://arizona.app.box.com/file/386232032734</t>
  </si>
  <si>
    <t>https://arizona.app.box.com/file/389153287085</t>
  </si>
  <si>
    <t>project472</t>
  </si>
  <si>
    <t>illinois coastal management program to preserve protect restore and where possible enhance coastal resources in illinois</t>
  </si>
  <si>
    <t>Final(12/23/2011);Draft(09/16/2011)</t>
  </si>
  <si>
    <t>https://arizona.app.box.com/file/386246836745</t>
  </si>
  <si>
    <t>https://arizona.app.box.com/file/386246177128</t>
  </si>
  <si>
    <t>cascade siskiyou ecological emphasis area management plan to maintain protect restore or enhance the ecological processes planning area for designation as a national monument by the president or and ca</t>
  </si>
  <si>
    <t>https://arizona.app.box.com/file/386226913027</t>
  </si>
  <si>
    <t>santa clara valley habitat plan to protect and enhance ecological diversity and function in the greater portion of santa clara county implementation santa clara county ca</t>
  </si>
  <si>
    <t>Draft(12/17/2010)</t>
  </si>
  <si>
    <t>https://arizona.app.box.com/file/389169266794</t>
  </si>
  <si>
    <t>https://arizona.app.box.com/file/389162896137</t>
  </si>
  <si>
    <t>taos field office riparian and aquaatic habitat management to restore and protect several counties nm</t>
  </si>
  <si>
    <t>project475</t>
  </si>
  <si>
    <t>implementation of energy water and solid waste sustainability initiatives at fort bliss</t>
  </si>
  <si>
    <t>Final(03/21/2014);Draft(05/17/2013)</t>
  </si>
  <si>
    <t>https://arizona.app.box.com/file/389260276950</t>
  </si>
  <si>
    <t>https://arizona.app.box.com/file/389137982155</t>
  </si>
  <si>
    <t>implementation of energy water and solid waste sustainability initiatives at fort bliss texas &amp; new mexico</t>
  </si>
  <si>
    <t>Draft(05/17/2013)</t>
  </si>
  <si>
    <t>https://arizona.app.box.com/file/389259235739</t>
  </si>
  <si>
    <t>https://arizona.app.box.com/file/389167243727</t>
  </si>
  <si>
    <t>fort lewis military installation comprehensive solid waste management program implementation city of dupont pierce and thurston counties wa</t>
  </si>
  <si>
    <t>Draft(05/27/1994);Final(05/12/1995)</t>
  </si>
  <si>
    <t>twin falls county solid waste landfill facility construction and operation land acquisition twin falls county id</t>
  </si>
  <si>
    <t>Final(07/01/1994);Draft(01/21/1994)</t>
  </si>
  <si>
    <t>cortina integrated solid waste management project development and operation approval of land lease colusa county ca</t>
  </si>
  <si>
    <t>Final(09/01/2000)</t>
  </si>
  <si>
    <t>https://arizona.app.box.com/file/386238439751</t>
  </si>
  <si>
    <t>project476</t>
  </si>
  <si>
    <t>indiana dunes national lakeshore white-tailed deer management plan implementation lake porter laporte counties in</t>
  </si>
  <si>
    <t>Final(04/27/2012);Draft(02/06/2009)</t>
  </si>
  <si>
    <t>Final(04/27/2012)</t>
  </si>
  <si>
    <t>https://arizona.app.box.com/file/386235831887</t>
  </si>
  <si>
    <t>indiana dunes national lakeshore draft white-tailed deer management plan implementation lake porter laporte counties in</t>
  </si>
  <si>
    <t>Draft(02/06/2009)</t>
  </si>
  <si>
    <t>https://arizona.app.box.com/file/386216037093</t>
  </si>
  <si>
    <t>indiana dunes national lakeshore shoreline restoration and management plan lake porter and laporte counties in</t>
  </si>
  <si>
    <t>https://arizona.app.box.com/file/386246857804</t>
  </si>
  <si>
    <t>indiana lake michigan coastal program document federal approval and implementation coastal zone management lake porter and laporte counties in</t>
  </si>
  <si>
    <t>Final(06/21/2002);Draft(09/21/2001)</t>
  </si>
  <si>
    <t>MI IN</t>
  </si>
  <si>
    <t>https://arizona.app.box.com/file/386241968843</t>
  </si>
  <si>
    <t>https://arizona.app.box.com/file/386214106733</t>
  </si>
  <si>
    <t>gary marina development approval indiana dunes national lakeshore city of gary lake county in</t>
  </si>
  <si>
    <t>Draft(04/28/1989);Final(09/29/1995)</t>
  </si>
  <si>
    <t>project478</t>
  </si>
  <si>
    <t>integrated non-native plant control project proposes a forest-wide integrated management strategy to control the spread of non-native invasive plant species (nnip) mark twain national forest in portions of barry bellinger boone butler callaway carter christian crawford dent douglas howell iron laclede madison oregon ozark phelps pulaski reynolds ripley shannon ste. genevieve st. francois stone taney texas washington wayne and wright counties mo</t>
  </si>
  <si>
    <t>Draft(06/24/2011);Final(02/24/2012)</t>
  </si>
  <si>
    <t>https://arizona.app.box.com/file/389161585642</t>
  </si>
  <si>
    <t>https://arizona.app.box.com/file/389264031386</t>
  </si>
  <si>
    <t>salem and potosi ranger districts off-highway recreational vehicle opportunties designation/ nondesignation mark twain national forest implementation crawford dent iron reynolds shannon and washington counties mo published fr 12-23-93 - officiall</t>
  </si>
  <si>
    <t>Draft(12/23/1993)</t>
  </si>
  <si>
    <t>oak decline and forest health project to improve forest health treat affected stands recover valuable timber products promote public safety potosi and salem ranger districts mark twain national forest crawford dent iron reynolds shannon and washington counties mo</t>
  </si>
  <si>
    <t>Draft(12/21/2001)</t>
  </si>
  <si>
    <t>oak decline and forest health project to improve forest health treat affected stands recover valuable timber products and promote public safety potosi and salem ranger districts mark twain national forest crawford dent iron reynolds shannon and washington counties mo</t>
  </si>
  <si>
    <t>Final(05/10/2002)</t>
  </si>
  <si>
    <t>east fredericktown project shortleaf pine restoration forest health improvement treat affected stands and recover valuable timber products mark twain national forest potosi/fredericktown ranger district bollinger madison st. francois and ste. genevieve counties mo</t>
  </si>
  <si>
    <t>Draft(08/06/2004)</t>
  </si>
  <si>
    <t>https://arizona.app.box.com/file/386249179804</t>
  </si>
  <si>
    <t>project481</t>
  </si>
  <si>
    <t>interstate 25 improvements through pueblo</t>
  </si>
  <si>
    <t>Final(09/13/2013);Draft(11/04/2011)</t>
  </si>
  <si>
    <t>https://arizona.app.box.com/file/389271554625</t>
  </si>
  <si>
    <t>https://arizona.app.box.com/file/389163098763</t>
  </si>
  <si>
    <t>i-25 improvements through the new pueblo freeway project to improve safety by addressing deteriorating roadways and bridges and unsafe road characteristics pueblo county co</t>
  </si>
  <si>
    <t>https://arizona.app.box.com/file/386241398848</t>
  </si>
  <si>
    <t>i-195 transportation improvements between the west end of the washington bridge and interstate route i-95 through providence funding coe section 404 and us coast guard bridge permits providence county ri</t>
  </si>
  <si>
    <t>Draft(06/04/1993);Final(08/16/1996)</t>
  </si>
  <si>
    <t>in-25 transportation corridor improvements from interstate 65 interchange to us 42 funding right-of-way permit and coe section 404 permit hoosier heartland highway tippecanoe carroll and cass counties in</t>
  </si>
  <si>
    <t>Draft(09/06/2002)</t>
  </si>
  <si>
    <t>https://arizona.app.box.com/file/386243811884</t>
  </si>
  <si>
    <t>project483</t>
  </si>
  <si>
    <t>interstate 395 (i-395) development and environment study project from i-95 to west channel bridges of the macarthur causeway at biscayne bay city of miami miami-dade county fl</t>
  </si>
  <si>
    <t>Final(04/02/2010);Draft(07/24/2009)</t>
  </si>
  <si>
    <t>https://arizona.app.box.com/file/386241230476</t>
  </si>
  <si>
    <t>https://arizona.app.box.com/file/386218125090</t>
  </si>
  <si>
    <t>withdrawn - interstate 395 (i-395) development and environment study project from i-95 to west channel bridges of the macarthur causeway at biscayne bay city of miami miami-dade county fl</t>
  </si>
  <si>
    <t>Final(03/12/2010)</t>
  </si>
  <si>
    <t>port of miami tunnel and access improvements from i-395 via macarthur causeway bridge dade county fl</t>
  </si>
  <si>
    <t>Draft(05/03/1996)</t>
  </si>
  <si>
    <t>biscayne national park general management plan implementation miami-dade county fl</t>
  </si>
  <si>
    <t>https://arizona.app.box.com/file/386247154753</t>
  </si>
  <si>
    <t>miami river project river sediments dredging and disposal maintenance dredging dredged material management plan biscayne bay city of miami miami-dade county fl</t>
  </si>
  <si>
    <t>Draft(03/29/2002)</t>
  </si>
  <si>
    <t>https://arizona.app.box.com/file/386243341241</t>
  </si>
  <si>
    <t>project485</t>
  </si>
  <si>
    <t>interstate 5 columbia river crossing project bridge transit and highway improvements from state route 500 in vancouver wa to columbia boulevard in portland or funding us coe section 10 &amp; 404 permits npdes permit</t>
  </si>
  <si>
    <t>Final(09/23/2011);Draft(05/02/2008)</t>
  </si>
  <si>
    <t>OR nan</t>
  </si>
  <si>
    <t>https://arizona.app.box.com/file/386243067682</t>
  </si>
  <si>
    <t>https://arizona.app.box.com/file/386244781005</t>
  </si>
  <si>
    <t>us 231 highway project improvements from interstate 64 extends to state road 56 in haysville funding npdes permit us army coe section 10 and 404 permits dubois county in</t>
  </si>
  <si>
    <t>Draft(03/19/2004)</t>
  </si>
  <si>
    <t>https://arizona.app.box.com/file/386240372125</t>
  </si>
  <si>
    <t>kenai river bridge crossing project construction from sterling highway to funny river road funding coe section 10 and 404 permits us cgd permit and epa npdes permit kenai peninsula ak</t>
  </si>
  <si>
    <t>Draft(10/09/1992);Final(01/16/1998)</t>
  </si>
  <si>
    <t>i-15/state street corridor highway and transit improvements updated information construction between 10800 south street to 500 north street funding npdes and coe 404 permits salt lake county ut</t>
  </si>
  <si>
    <t>Second Draft Supplemental(10/13/1995)</t>
  </si>
  <si>
    <t>us 30/columbia river highway improvements bennett road to columbia road funding and 404 permit columbia county or</t>
  </si>
  <si>
    <t>Draft(06/02/1989);Final(12/07/1990)</t>
  </si>
  <si>
    <t>project487</t>
  </si>
  <si>
    <t>interstate 55 interchange at e.h. crump boulevard and south boulevard project to provide a balanced solution for safety and capacity issues at the i55 interchange city of memphis shelby county tn</t>
  </si>
  <si>
    <t>Draft(05/01/2009);Final(07/22/2011)</t>
  </si>
  <si>
    <t>https://arizona.app.box.com/file/386248076542</t>
  </si>
  <si>
    <t>https://arizona.app.box.com/file/386244757568</t>
  </si>
  <si>
    <t>north second street corridor improvement project from interstate 40 at north second street to the intersection of u.s 51/sr-32 whitney avenue in memphis shelby county tn</t>
  </si>
  <si>
    <t>https://arizona.app.box.com/file/386245345005</t>
  </si>
  <si>
    <t>interstate 69 section of independent utility #9 construction from the interstate 55/ms state route 304 interchange in hernando ms to the intersection of u.s. 51 and state route 385 in millington tn desoto and marshall counties ms and shelby and fayette counties tn</t>
  </si>
  <si>
    <t>Draft(05/14/2004);Final(12/15/2006)</t>
  </si>
  <si>
    <t>nan MS</t>
  </si>
  <si>
    <t>https://arizona.app.box.com/file/386214278288</t>
  </si>
  <si>
    <t>interstate 5/cosumnes river boulevard interchange project extension of cosumnes river boulevard from franklin boulevard to freeport boulevard with an interchange at interstate 5 south of the pocket/meadowview road interchange and north of the laguna boulevard interchange city of sacramento sacramento county ca</t>
  </si>
  <si>
    <t>Draft(03/10/2006);Final(10/26/2007)</t>
  </si>
  <si>
    <t>https://arizona.app.box.com/file/386217842415</t>
  </si>
  <si>
    <t>https://arizona.app.box.com/file/386246717432</t>
  </si>
  <si>
    <t>kirby parkway construction split oak drive to stage road and sycamore view road extension mullins station road to kirby parkway funding city of memphis shelby county tn</t>
  </si>
  <si>
    <t>Draft(11/25/1988)</t>
  </si>
  <si>
    <t>project488</t>
  </si>
  <si>
    <t>interstate 64 peninsula from interstate 95 in the city of richmond to interstate 664</t>
  </si>
  <si>
    <t>Final(12/13/2013);Draft(11/02/2012)</t>
  </si>
  <si>
    <t>Final(12/13/2013)</t>
  </si>
  <si>
    <t>https://arizona.app.box.com/file/389267127766</t>
  </si>
  <si>
    <t>interstate 64 peninsula from interstate 95 in the city of richmond to interstate 664 in the city of hampton va</t>
  </si>
  <si>
    <t>Draft(11/02/2012)</t>
  </si>
  <si>
    <t>https://arizona.app.box.com/file/389170835228</t>
  </si>
  <si>
    <t>https://arizona.app.box.com/file/386240187184</t>
  </si>
  <si>
    <t>i-64 hampton roads bridge tunnel from i-664 in the city of hampton to i-564 in the city of norfolk va</t>
  </si>
  <si>
    <t>Draft(12/21/2012)</t>
  </si>
  <si>
    <t>https://arizona.app.box.com/file/389181829729</t>
  </si>
  <si>
    <t>https://arizona.app.box.com/file/386245404610</t>
  </si>
  <si>
    <t>northern corridor interstate 73 project proposes construct from i-95 to future interstate 74 marlboro and dillion counties sc and richmond county nc</t>
  </si>
  <si>
    <t>Draft(08/03/2007)</t>
  </si>
  <si>
    <t>https://arizona.app.box.com/file/386229168387</t>
  </si>
  <si>
    <t>interstate 73 north project construct on new alignment from i-95 to future i-74 in nc funding us army coe section 404 permit dillon and malboro counties sc and richmond and scotland counties nc</t>
  </si>
  <si>
    <t>Final(08/22/2008)</t>
  </si>
  <si>
    <t>https://arizona.app.box.com/file/386243237828</t>
  </si>
  <si>
    <t>project49</t>
  </si>
  <si>
    <t>apex expansion project proposal to expand its natural gas pipeline system wy ut and nv</t>
  </si>
  <si>
    <t>Final(07/30/2010);Draft(04/02/2010)</t>
  </si>
  <si>
    <t>https://arizona.app.box.com/file/386243698951</t>
  </si>
  <si>
    <t>https://arizona.app.box.com/file/386239339139</t>
  </si>
  <si>
    <t>grasslands pipeline project interstate natural gas pipeline system construction and operation wy nd and mt</t>
  </si>
  <si>
    <t>Final(05/16/2003);Draft(01/31/2003)</t>
  </si>
  <si>
    <t>https://arizona.app.box.com/file/386215635165</t>
  </si>
  <si>
    <t>https://arizona.app.box.com/file/386238135686</t>
  </si>
  <si>
    <t>ruby pipeline project proposed natural gas pipeline facilities right-of-way grants (and/or temporary use or special use permits) wy ut nv and or</t>
  </si>
  <si>
    <t>Final(01/15/2010);Draft(06/26/2009)</t>
  </si>
  <si>
    <t>https://arizona.app.box.com/file/386217707182</t>
  </si>
  <si>
    <t>https://arizona.app.box.com/file/386227815721</t>
  </si>
  <si>
    <t>new jersey-new york expansion project propose to modify and expand their existing natural gas transmission pipeline systems in new jersey new york and connecticut</t>
  </si>
  <si>
    <t>Final(03/23/2012);Draft(09/16/2011)</t>
  </si>
  <si>
    <t>https://arizona.app.box.com/file/386243677510</t>
  </si>
  <si>
    <t>https://arizona.app.box.com/file/386217448007</t>
  </si>
  <si>
    <t>hubline/east to west project proposes to modify its existing natural gas transmission pipeline system in ma ct ri and nj</t>
  </si>
  <si>
    <t>Final(10/02/2009);Draft(11/14/2008)</t>
  </si>
  <si>
    <t>https://arizona.app.box.com/file/386235139918</t>
  </si>
  <si>
    <t>https://arizona.app.box.com/file/386238222106</t>
  </si>
  <si>
    <t>project492</t>
  </si>
  <si>
    <t>interstate 87 (i-87) exit 4 access improvements</t>
  </si>
  <si>
    <t>Final(10/24/2014);Draft(02/14/2014)</t>
  </si>
  <si>
    <t>https://arizona.app.box.com/file/389258255468</t>
  </si>
  <si>
    <t>https://arizona.app.box.com/file/389162205953</t>
  </si>
  <si>
    <t>https://arizona.app.box.com/file/389261706978</t>
  </si>
  <si>
    <t>https://arizona.app.box.com/file/389162725362</t>
  </si>
  <si>
    <t>sr 87 connector</t>
  </si>
  <si>
    <t>Draft(10/17/2014)</t>
  </si>
  <si>
    <t>https://arizona.app.box.com/file/389264059582</t>
  </si>
  <si>
    <t>https://arizona.app.box.com/file/389138084390</t>
  </si>
  <si>
    <t>iron county transportation corridors construction from station road 56 to exit 51 on interstate 15 funding and right-of-way grant southwest of the cedar city limits iron county ut</t>
  </si>
  <si>
    <t>Draft(06/25/2004)</t>
  </si>
  <si>
    <t>https://arizona.app.box.com/file/386217836040</t>
  </si>
  <si>
    <t>derry-londonderry i-93 exit 4a</t>
  </si>
  <si>
    <t>Draft Supplement(11/16/2018)</t>
  </si>
  <si>
    <t>https://arizona.app.box.com/file/389176252241</t>
  </si>
  <si>
    <t>project494</t>
  </si>
  <si>
    <t>ione band of miwok indians project 228.04 acre fee-to-trust land transfer and casino project amador county ca</t>
  </si>
  <si>
    <t>Final(08/13/2010);Draft(04/18/2008)</t>
  </si>
  <si>
    <t>ione band of miwok indians project proposed 228.04 acre fee-to-trust land transfer and casino project amador county ca</t>
  </si>
  <si>
    <t>https://arizona.app.box.com/file/386214760448</t>
  </si>
  <si>
    <t>https://arizona.app.box.com/file/386243764232</t>
  </si>
  <si>
    <t>scotts valley band of pomo indians proposed 29.87 acre fee-to-trust transfer and casino project contra costa county ca</t>
  </si>
  <si>
    <t>Draft(02/17/2006)</t>
  </si>
  <si>
    <t>https://arizona.app.box.com/file/386245134110</t>
  </si>
  <si>
    <t>scotts valley band of pomo indians proposed 29.87 acre fee-to-trust transfer and casino project contra costa county</t>
  </si>
  <si>
    <t>Final(03/28/2008)</t>
  </si>
  <si>
    <t>https://arizona.app.box.com/file/386240703084</t>
  </si>
  <si>
    <t>the pokagon band of potawatomi indians fee-to-trust transfer for tribal village and casino</t>
  </si>
  <si>
    <t>Final(07/22/2016)</t>
  </si>
  <si>
    <t>https://arizona.app.box.com/file/389172799337</t>
  </si>
  <si>
    <t>https://arizona.app.box.com/file/386212549656</t>
  </si>
  <si>
    <t>nottawaseppi huron band of potawatomi indians (the tribe) proposes fee-to-trust transfer and casino project calhoun county mi</t>
  </si>
  <si>
    <t>Draft(08/05/2005);Final(07/03/2006)</t>
  </si>
  <si>
    <t>https://arizona.app.box.com/file/386242353511</t>
  </si>
  <si>
    <t>https://arizona.app.box.com/file/386241923928</t>
  </si>
  <si>
    <t>project495</t>
  </si>
  <si>
    <t>ironwood forest national monument resource management plan implementation tucson field office az</t>
  </si>
  <si>
    <t>Final(09/23/2011);Draft(03/02/2007)</t>
  </si>
  <si>
    <t>https://arizona.app.box.com/file/386239915539</t>
  </si>
  <si>
    <t>https://arizona.app.box.com/file/386212714032</t>
  </si>
  <si>
    <t>project496</t>
  </si>
  <si>
    <t>isabella lake dam safety modification project to remediate seismic seepage and hydrologic deficiencies in the main dam spillway and auxillary dam kern county ca</t>
  </si>
  <si>
    <t>Final(10/26/2012);Draft(03/23/2012)</t>
  </si>
  <si>
    <t>https://arizona.app.box.com/file/386232722531</t>
  </si>
  <si>
    <t>https://arizona.app.box.com/file/389261801319</t>
  </si>
  <si>
    <t>https://arizona.app.box.com/file/386265200906</t>
  </si>
  <si>
    <t>success dam seismic remediation dam safety project proposes to remediate deficiencies in the dam's foundation tulare river tulare county ca</t>
  </si>
  <si>
    <t>Draft(11/24/2006)</t>
  </si>
  <si>
    <t>https://arizona.app.box.com/file/386235881652</t>
  </si>
  <si>
    <t>mormon island auxiliary dam modification project addressing hydrologic seismic static and flood management issues sacramento and el dorado counties ca</t>
  </si>
  <si>
    <t>Draft Supplement(12/04/2009);Final Supplement(05/14/2010)</t>
  </si>
  <si>
    <t>https://arizona.app.box.com/file/386240418879</t>
  </si>
  <si>
    <t>https://arizona.app.box.com/file/386246189424</t>
  </si>
  <si>
    <t>folsom dam safety and flood damage reduction project addressing hydrologic seismic static and flood management issues sacramento el dorado and placer counties ca</t>
  </si>
  <si>
    <t>Draft(12/01/2006);Final(03/30/2007)</t>
  </si>
  <si>
    <t>https://arizona.app.box.com/file/386215468398</t>
  </si>
  <si>
    <t>https://arizona.app.box.com/file/386239397243</t>
  </si>
  <si>
    <t>adoption - folsom dam safety and flood damage reduction project addressing hydrologic seismic static and flood management issues sacramento el dorado and placer counties ca</t>
  </si>
  <si>
    <t>Final(04/20/2007)</t>
  </si>
  <si>
    <t>https://arizona.app.box.com/file/386251334572</t>
  </si>
  <si>
    <t>project5</t>
  </si>
  <si>
    <t>6th street viaduct seismic improvement project retrofitting or demolition and replacement of the existing viaduct over the los angeles river between mateo and mill streets los angeles county ca</t>
  </si>
  <si>
    <t>Final(11/04/2011);Draft(07/10/2009)</t>
  </si>
  <si>
    <t>https://arizona.app.box.com/file/386241191511</t>
  </si>
  <si>
    <t>https://arizona.app.box.com/file/386229415969</t>
  </si>
  <si>
    <t>1st street viaduct and street widening project to replace two traffic lanes on the 1st street viaduct between vignes street and mission road funding in the city and county of los angeles ca</t>
  </si>
  <si>
    <t>Draft(02/25/2005);Final(12/23/2005)</t>
  </si>
  <si>
    <t>https://arizona.app.box.com/file/386214079956</t>
  </si>
  <si>
    <t>https://arizona.app.box.com/file/386240523409</t>
  </si>
  <si>
    <t>mill creek/west sixth street bridge replacement funding city of the dalles wasco county or</t>
  </si>
  <si>
    <t>Final(03/31/1995);Draft(04/08/1988)</t>
  </si>
  <si>
    <t>southwest fisheries science center (swfsc) demolition soil stabilization and seismic improvement in la jolla ca</t>
  </si>
  <si>
    <t>Draft Supplement(09/23/2011)</t>
  </si>
  <si>
    <t>https://arizona.app.box.com/file/386214315312</t>
  </si>
  <si>
    <t>southwest fisheries science center demolition soil stabilization and seismic improvements la jolla ca</t>
  </si>
  <si>
    <t>Final Supplement(05/25/2012)</t>
  </si>
  <si>
    <t>project500</t>
  </si>
  <si>
    <t>ivanpah solar electric generating system (07-afc-5) project proposal to construct a 400-m megawatt concentrated solar power tower thermal-electric power plant san bernardino county ca</t>
  </si>
  <si>
    <t>Draft(11/13/2009);Final(08/06/2010)</t>
  </si>
  <si>
    <t>Draft Supplement(04/16/2010);Draft(11/13/2009);Final(08/06/2010)</t>
  </si>
  <si>
    <t>https://arizona.app.box.com/file/386212583658</t>
  </si>
  <si>
    <t>https://arizona.app.box.com/file/386240246280</t>
  </si>
  <si>
    <t>https://arizona.app.box.com/file/386241237084</t>
  </si>
  <si>
    <t>adoption - ivanpah solar electric generating system (07-afc-5) project proposal to construct a 400-m megawatt concentrated solar power tower thermal-electric power plant san bernardino county ca</t>
  </si>
  <si>
    <t>Final(10/22/2010)</t>
  </si>
  <si>
    <t>sonoran solar energy project construction and operation of a 3756-megawatt (mw) concentrated solar thermal power plant and ancillary facilities on 3 702 areas right-of-way granting maricopa county az</t>
  </si>
  <si>
    <t>Final(10/21/2011);Draft(04/09/2010)</t>
  </si>
  <si>
    <t>https://arizona.app.box.com/file/386226834360</t>
  </si>
  <si>
    <t>https://arizona.app.box.com/file/386227355009</t>
  </si>
  <si>
    <t>https://arizona.app.box.com/file/386240687153</t>
  </si>
  <si>
    <t>project501</t>
  </si>
  <si>
    <t>Draft(03/30/2012);Final(02/15/2013)</t>
  </si>
  <si>
    <t>izembek national wildlife refuge land exchange/road corridor proposed land exchange for the purpose of construction of a road between communities of king cove and cold bay usace section 10 and 404 permits ak</t>
  </si>
  <si>
    <t>https://arizona.app.box.com/file/389169300251</t>
  </si>
  <si>
    <t>san luis valley national wildlife refuge complex</t>
  </si>
  <si>
    <t>https://arizona.app.box.com/file/389163996359</t>
  </si>
  <si>
    <t>new madrid national wildlife refuge establishment land acquisition new madrid county mo</t>
  </si>
  <si>
    <t>Draft(03/05/1993)</t>
  </si>
  <si>
    <t>project502</t>
  </si>
  <si>
    <t>jack rabbit to big sky meadow village 161 kv transmission line upgrade</t>
  </si>
  <si>
    <t>Draft(10/19/2012);Final(03/29/2013)</t>
  </si>
  <si>
    <t>Final(03/29/2013)</t>
  </si>
  <si>
    <t>https://arizona.app.box.com/file/389263182734</t>
  </si>
  <si>
    <t>https://arizona.app.box.com/file/389153480695</t>
  </si>
  <si>
    <t>jack rabbit to big sky meadow village 161 kv transmission line upgrade bozeman ranger district gallatin national forest gallatin county mt</t>
  </si>
  <si>
    <t>https://arizona.app.box.com/file/389262456788</t>
  </si>
  <si>
    <t>https://arizona.app.box.com/file/389150559631</t>
  </si>
  <si>
    <t>rutherford-williamson-davidson power supply improvement project proposes to construct and operate a new 500-kilovolt (kv) rutherford substation a new 27-mile 500-kv transmission line and two new 9- and 15 mile 161-kv transmission lines rutherford williamson and maury counties tn</t>
  </si>
  <si>
    <t>Final(04/18/2008)</t>
  </si>
  <si>
    <t>https://arizona.app.box.com/file/386218086830</t>
  </si>
  <si>
    <t>https://arizona.app.box.com/file/389268395077</t>
  </si>
  <si>
    <t>https://arizona.app.box.com/file/389164468262</t>
  </si>
  <si>
    <t>project503</t>
  </si>
  <si>
    <t>jackson hole airport use agreement extension project to enable continued air transportation services grand teton national park teton county wy</t>
  </si>
  <si>
    <t>Draft(04/10/2009);Final(10/15/2010)</t>
  </si>
  <si>
    <t>https://arizona.app.box.com/file/386250675749</t>
  </si>
  <si>
    <t>https://arizona.app.box.com/file/386224553627</t>
  </si>
  <si>
    <t>grand teton national park transportation plan implementation grand teton national park teton county wy</t>
  </si>
  <si>
    <t>Draft(06/03/2005);Final(10/06/2006)</t>
  </si>
  <si>
    <t>https://arizona.app.box.com/file/386242110696</t>
  </si>
  <si>
    <t>https://arizona.app.box.com/file/386242775331</t>
  </si>
  <si>
    <t>jackson hole ski area master development plan revision implementation bridger-teton national forest jackson ranger district teton county wy</t>
  </si>
  <si>
    <t>Final(12/06/1996)</t>
  </si>
  <si>
    <t>jackson hole ski area master development plan revision implementation briger-teton national forest jackson ranger district teton county wy</t>
  </si>
  <si>
    <t>Draft(03/15/1996)</t>
  </si>
  <si>
    <t>snake river resource management plan blm-administrated public land and resources allocation and management snake river jackson hole teton county wy</t>
  </si>
  <si>
    <t>Draft(02/14/2003);Final(10/03/2003)</t>
  </si>
  <si>
    <t>https://arizona.app.box.com/file/386242113405</t>
  </si>
  <si>
    <t>https://arizona.app.box.com/file/386239536591</t>
  </si>
  <si>
    <t>project504</t>
  </si>
  <si>
    <t>jackson south project us/26/89/189/91 improvements funding and right-of-way approval teton county wy</t>
  </si>
  <si>
    <t>Draft(01/23/2009);Final(09/17/2010)</t>
  </si>
  <si>
    <t>Final(09/17/2010)</t>
  </si>
  <si>
    <t>https://arizona.app.box.com/file/386245357351</t>
  </si>
  <si>
    <t>jackson south project proposes to improve seven miles of u.s. 26/89/189/191/ funding and right-of-way approval teton county wy</t>
  </si>
  <si>
    <t>Draft(01/23/2009)</t>
  </si>
  <si>
    <t>https://arizona.app.box.com/file/386242311380</t>
  </si>
  <si>
    <t>snake river canyon highway improvement us 26/89 between alpine junction to hoback junction funding and coe 404 permit teton and lincoln counties wy</t>
  </si>
  <si>
    <t>Final(02/11/1994);Draft(02/22/1991)</t>
  </si>
  <si>
    <t>project508</t>
  </si>
  <si>
    <t>jess project</t>
  </si>
  <si>
    <t>Draft(10/04/2014);Final(03/16/2016)</t>
  </si>
  <si>
    <t>Final(03/04/2016);Draft(10/03/2014)</t>
  </si>
  <si>
    <t>https://arizona.app.box.com/file/389267603090</t>
  </si>
  <si>
    <t>https://arizona.app.box.com/file/389162568041</t>
  </si>
  <si>
    <t>https://arizona.app.box.com/file/389173565348</t>
  </si>
  <si>
    <t>https://arizona.app.box.com/file/386216460043</t>
  </si>
  <si>
    <t>project510</t>
  </si>
  <si>
    <t>john day basin resource management plan to provide direction for managing public lands in central and eastern oregon prineville district grant wheeler gilliam wasco sherman umatilla jefferson and morrow counties or</t>
  </si>
  <si>
    <t>Draft(10/31/2008);Final(04/20/2012)</t>
  </si>
  <si>
    <t>https://arizona.app.box.com/file/386238745025</t>
  </si>
  <si>
    <t>https://arizona.app.box.com/file/386240001930</t>
  </si>
  <si>
    <t>john day river management plan implementation john day river basin gilliam grant wheeler crook harney jefferso morrow sherman umatilla union and wasco counties or</t>
  </si>
  <si>
    <t>Draft(12/03/1999)</t>
  </si>
  <si>
    <t>sierra resource management plan provide direction for managing public lands several counties ca</t>
  </si>
  <si>
    <t>Draft(09/15/2006);Final(06/08/2007)</t>
  </si>
  <si>
    <t>https://arizona.app.box.com/file/386244861334</t>
  </si>
  <si>
    <t>https://arizona.app.box.com/file/386240278479</t>
  </si>
  <si>
    <t>northeast oregon assembled land exchange resource management plan (rmp) implementation site specific john day umatilla granda ronde power river basins grant umatilla morrow wheeler baker wallowa and union or</t>
  </si>
  <si>
    <t>Draft(10/31/1997);Final(07/10/1998)</t>
  </si>
  <si>
    <t>https://arizona.app.box.com/file/386239950739</t>
  </si>
  <si>
    <t>dillon resource management plan to provide direction for managing public lands within the dillon field office implementation beaverhead and madison counties mt</t>
  </si>
  <si>
    <t>https://arizona.app.box.com/file/386238797325</t>
  </si>
  <si>
    <t>project513</t>
  </si>
  <si>
    <t>joint readiness training center and fort polk land acquisition program purchase and lease lands for training and management activities in the parishes of vernon sabine natchitoches la</t>
  </si>
  <si>
    <t>Draft(10/30/2009);Final(03/19/2010)</t>
  </si>
  <si>
    <t>https://arizona.app.box.com/file/386230802297</t>
  </si>
  <si>
    <t>kisatchie national forest revision land and resource management plan implementation claiborne grant natchitoches rapides vernon webster and winn parishes la</t>
  </si>
  <si>
    <t>Draft(11/07/1997);Final(10/29/1999)</t>
  </si>
  <si>
    <t>2nd armored cavalry regiment transformation and installation mission support joint readiness training center (jrtc) stryker brigade combat team long-term military training use of kisatchie national forest lands fort polk la</t>
  </si>
  <si>
    <t>https://arizona.app.box.com/file/386230969418</t>
  </si>
  <si>
    <t>2nd armored cavalry regiment transformation and installation mission support joint readiness training center (jrtc) stryker bridgade combat team long-term military training use of kisatchie national forest lands fort polk la</t>
  </si>
  <si>
    <t>Final(03/19/2004)</t>
  </si>
  <si>
    <t>adoption - 2nd armored cavalry regiment transformation and installation mission support joint readiness training center (jrtc) stryker bridgade combat team long-term military training use of kisatchie national forest lands fort polk la</t>
  </si>
  <si>
    <t>Final(05/14/2004)</t>
  </si>
  <si>
    <t>project515</t>
  </si>
  <si>
    <t>jump creek succor creek and cow creek watersheds grazing permit renewal</t>
  </si>
  <si>
    <t>Draft(05/03/2013);Final(10/04/2013)</t>
  </si>
  <si>
    <t>https://arizona.app.box.com/file/389268105895</t>
  </si>
  <si>
    <t>https://arizona.app.box.com/file/389152936295</t>
  </si>
  <si>
    <t>https://arizona.app.box.com/file/389262540564</t>
  </si>
  <si>
    <t>https://arizona.app.box.com/file/389162734115</t>
  </si>
  <si>
    <t>trout-west hazardous fuels reduction project proposed action to reduce fuels pike-san isabel national forest trout and west creek watersheds teller el paso and douglas counties co</t>
  </si>
  <si>
    <t>Final(07/25/2003);Draft(01/10/2003)</t>
  </si>
  <si>
    <t>https://arizona.app.box.com/file/389159109899</t>
  </si>
  <si>
    <t>https://arizona.app.box.com/file/389137122436</t>
  </si>
  <si>
    <t>kilarc-cow creek hydroeletric project (ferc project no. 606) proposes to surrender the license for operation project old crow creek and south cow creek shasta county ca</t>
  </si>
  <si>
    <t>Draft(07/02/2010);Final(08/26/2011)</t>
  </si>
  <si>
    <t>https://arizona.app.box.com/file/386238689902</t>
  </si>
  <si>
    <t>https://arizona.app.box.com/file/386252807220</t>
  </si>
  <si>
    <t>leclerc creek grazing allotment management planning</t>
  </si>
  <si>
    <t>https://arizona.app.box.com/file/389166756529</t>
  </si>
  <si>
    <t>https://arizona.app.box.com/file/386237535409</t>
  </si>
  <si>
    <t>skipping cow timber sale harvesting timber south half of zarembo island tongass national forest wrangell ranger district ak</t>
  </si>
  <si>
    <t>Final(06/16/2000);Draft(08/06/1999)</t>
  </si>
  <si>
    <t>project516</t>
  </si>
  <si>
    <t>Draft(11/25/2011);Final(03/16/2012)</t>
  </si>
  <si>
    <t>moapa solar energy center</t>
  </si>
  <si>
    <t>Draft(09/06/2013)</t>
  </si>
  <si>
    <t>https://arizona.app.box.com/file/389256472389</t>
  </si>
  <si>
    <t>https://arizona.app.box.com/file/389139020470</t>
  </si>
  <si>
    <t>clark county regional flood control master plan facilities construction and operation right-of-way approval and section 404 permit clark county nv</t>
  </si>
  <si>
    <t>Draft(10/26/1990);Final(04/12/1991)</t>
  </si>
  <si>
    <t>toqoup energy project construction and operation a 750 megawatt coal-fired generation facility right-of-way grant lincoln and clark counties nv</t>
  </si>
  <si>
    <t>Draft(10/12/2007)</t>
  </si>
  <si>
    <t>https://arizona.app.box.com/file/386242345528</t>
  </si>
  <si>
    <t>project517</t>
  </si>
  <si>
    <t>kahler dry forest restoration</t>
  </si>
  <si>
    <t>Draft(11/29/2013);Final(03/08/2016)</t>
  </si>
  <si>
    <t>Final(01/29/2016)</t>
  </si>
  <si>
    <t>https://arizona.app.box.com/file/389174836391</t>
  </si>
  <si>
    <t>https://arizona.app.box.com/file/386212265359</t>
  </si>
  <si>
    <t>kahler dry forest restoration project</t>
  </si>
  <si>
    <t>https://arizona.app.box.com/file/389264177246</t>
  </si>
  <si>
    <t>https://arizona.app.box.com/file/389153018434</t>
  </si>
  <si>
    <t>big dry land and resource management plan implementation miles city district several counties mt</t>
  </si>
  <si>
    <t>Draft(03/19/1993);Final(03/17/1995)</t>
  </si>
  <si>
    <t>dry fork vegetation restoration project to improve forest and watershed health and sustainability king hill ranger district lewis and clark national forest cascade and judith basin counties mt</t>
  </si>
  <si>
    <t>Draft(04/06/2001)</t>
  </si>
  <si>
    <t>https://arizona.app.box.com/file/386259484417</t>
  </si>
  <si>
    <t>dry tortugas national park general management plan implementation monroe county fl</t>
  </si>
  <si>
    <t>Draft(06/23/2000);Final(01/12/2001)</t>
  </si>
  <si>
    <t>https://arizona.app.box.com/file/386249679461</t>
  </si>
  <si>
    <t>https://arizona.app.box.com/file/386239560993</t>
  </si>
  <si>
    <t>project52</t>
  </si>
  <si>
    <t>fort pierce harbor offshore ocean dredged material disposal site (odmds) designation fort pierce fl</t>
  </si>
  <si>
    <t>Final(08/06/1993);Draft(01/22/1993)</t>
  </si>
  <si>
    <t>project520</t>
  </si>
  <si>
    <t>kansas river commercial sand and gravel dredging</t>
  </si>
  <si>
    <t>Final(10/20/2017);Draft(10/28/2016)</t>
  </si>
  <si>
    <t>missouri river commercial dredging proposal to extract sand and gravel from the missouri river us corp of engineer's section 10 and 404 permits kansas city central missouri and greater st. louis missouri</t>
  </si>
  <si>
    <t>nan MO</t>
  </si>
  <si>
    <t>https://arizona.app.box.com/file/386264890399</t>
  </si>
  <si>
    <t>https://arizona.app.box.com/file/386247338864</t>
  </si>
  <si>
    <t>chattahoochee river national recreation area sand gravel dredging section 404 permit issuance chattahoochee river gwinnett county ga</t>
  </si>
  <si>
    <t>Final(04/10/1992);Draft(04/19/1991)</t>
  </si>
  <si>
    <t>alleghany and ohio rivers commercial sand and gravel dredging operations granting and extending permits for continuance of dredging and us army coe section 10 and 404 permits issuance pa</t>
  </si>
  <si>
    <t>Final(04/21/2006)</t>
  </si>
  <si>
    <t>https://arizona.app.box.com/file/386231518779</t>
  </si>
  <si>
    <t>alleghany and ohio rivers commercial sand and gravel dredging operations granting and extending permits for continuance of dregding and us army coe section 10 and 404 permits issuance pa</t>
  </si>
  <si>
    <t>Draft(08/02/2002)</t>
  </si>
  <si>
    <t>https://arizona.app.box.com/file/386245537060</t>
  </si>
  <si>
    <t>kansas river commercial dredging project junction city to kansas-missouri state line section 10 permits douglas geary jefferson johnson leavenworth pottawatomie riley shawnee wabawnsee and wyandotte counties ks</t>
  </si>
  <si>
    <t>Draft(01/27/1989);Final(02/02/1990)</t>
  </si>
  <si>
    <t>project521</t>
  </si>
  <si>
    <t>kc-46a formal training unit (ftu) and first main operating base (mob 1) beddown</t>
  </si>
  <si>
    <t>Final(03/21/2014);Draft(10/25/2013)</t>
  </si>
  <si>
    <t>OK Multi</t>
  </si>
  <si>
    <t>https://arizona.app.box.com/file/389255573995</t>
  </si>
  <si>
    <t>https://arizona.app.box.com/file/389138220578</t>
  </si>
  <si>
    <t>https://arizona.app.box.com/file/389266218916</t>
  </si>
  <si>
    <t>kc-46a main operating base #4 (mob 4) beddown</t>
  </si>
  <si>
    <t>https://arizona.app.box.com/file/389170803068</t>
  </si>
  <si>
    <t>second main operating base kc-46a beddown alternative air national guard installations</t>
  </si>
  <si>
    <t>Draft(02/07/2014)</t>
  </si>
  <si>
    <t>https://arizona.app.box.com/file/389262749028</t>
  </si>
  <si>
    <t>https://arizona.app.box.com/file/389169675500</t>
  </si>
  <si>
    <t>second main operating base kc-46a beddown at alternative air national guard installations</t>
  </si>
  <si>
    <t>Final(06/20/2014)</t>
  </si>
  <si>
    <t>https://arizona.app.box.com/file/389261783757</t>
  </si>
  <si>
    <t>https://arizona.app.box.com/file/389166035856</t>
  </si>
  <si>
    <t>relocation of the c-5 formal training unit from altus air force base oklahoma to lackland air force base bexar county tx</t>
  </si>
  <si>
    <t>Final(01/28/2005);Draft(10/08/2004)</t>
  </si>
  <si>
    <t>https://arizona.app.box.com/file/386250556502</t>
  </si>
  <si>
    <t>https://arizona.app.box.com/file/386243078564</t>
  </si>
  <si>
    <t>project522</t>
  </si>
  <si>
    <t>kc-46a third main operating base beddown</t>
  </si>
  <si>
    <t>Draft(11/18/2016);Final(04/14/2017)</t>
  </si>
  <si>
    <t>project523</t>
  </si>
  <si>
    <t>keddie ridge hazardous fuels reduction project implementation plumas national forest mt. hough district plumas county ca</t>
  </si>
  <si>
    <t>Final(08/19/2011);Draft(02/04/2011)</t>
  </si>
  <si>
    <t>https://arizona.app.box.com/file/389137936828</t>
  </si>
  <si>
    <t>https://arizona.app.box.com/file/389151785542</t>
  </si>
  <si>
    <t>stream fire restoration project implemetation plumas national forest mt. hough ranger district plumas county ca</t>
  </si>
  <si>
    <t>Final(05/23/2003)</t>
  </si>
  <si>
    <t>stream fire restoration project implementation plumas natinal forest mt. hough ranger district plumas county ca</t>
  </si>
  <si>
    <t>Draft(01/31/2003)</t>
  </si>
  <si>
    <t>https://arizona.app.box.com/file/389150763995</t>
  </si>
  <si>
    <t>sugarloaf hazardous fuels reduction project</t>
  </si>
  <si>
    <t>https://arizona.app.box.com/file/389266966562</t>
  </si>
  <si>
    <t>https://arizona.app.box.com/file/389162206398</t>
  </si>
  <si>
    <t>sugarloaf hazardous fuels reduction</t>
  </si>
  <si>
    <t>https://arizona.app.box.com/file/389255221327</t>
  </si>
  <si>
    <t>project526</t>
  </si>
  <si>
    <t>ketchikan - misty fiords outfitter and guide management plan authorizes outfitter and guide operations through the issuance of special use permit tongass national forest ketchikan-misty ranger district ketchikan ak</t>
  </si>
  <si>
    <t>Final(03/09/2012);Draft(07/08/2011)</t>
  </si>
  <si>
    <t>https://arizona.app.box.com/file/389154170444</t>
  </si>
  <si>
    <t>ketchikan - misty fiords outfitter and guide management plan authorizes outfitter and guide operations through the issuance of special-use-permits tongass national forest ketchikan-misty ranger district ketchikan ak</t>
  </si>
  <si>
    <t>Draft(07/08/2011)</t>
  </si>
  <si>
    <t>https://arizona.app.box.com/file/389150799205</t>
  </si>
  <si>
    <t>withdrawn - gravina island timber sale implementation timber harvest and related activities ketchikan-misty fiords ranger district tongass national forest ak</t>
  </si>
  <si>
    <t>Final(08/20/2004)</t>
  </si>
  <si>
    <t>https://arizona.app.box.com/file/386265841302</t>
  </si>
  <si>
    <t>withdrawn- gravina island timber sale implementation timber harvest and related activities ketchikan-misty fiords ranger district tongass national forest ak</t>
  </si>
  <si>
    <t>https://arizona.app.box.com/file/386252572224</t>
  </si>
  <si>
    <t>emerald bay timber sale implementation additional information on the potential effects of the project alternatives ketchikan-misty fiords ranger district tongass national forest ak</t>
  </si>
  <si>
    <t>Final Supplement(11/18/2005);Draft Supplement(10/15/2004)</t>
  </si>
  <si>
    <t>https://arizona.app.box.com/file/389137171286</t>
  </si>
  <si>
    <t>https://arizona.app.box.com/file/389151453780</t>
  </si>
  <si>
    <t>project529</t>
  </si>
  <si>
    <t>kiowa rita blanca black kettle and mcclellan creek national grasslands land and resource management plan implementation cibola national forest and national grasslands mora harding union and colfax counties nm; dallam hemphill and gray counties tx; and cimarron and rogers mills counties ok</t>
  </si>
  <si>
    <t>Draft(09/30/2011);Final(09/14/2012)</t>
  </si>
  <si>
    <t>kiowa rita blanca black kettle and mcclellan creek national grasslands land and resource management plan implementation mora harding union and colfax counties nm; dallam hemphill and gray counties tx; and cimarron and rogers mills counties ok</t>
  </si>
  <si>
    <t>https://arizona.app.box.com/file/389136487876</t>
  </si>
  <si>
    <t>taos resource area resource management plan implementation union mora rio arriba colfax san miguel los alamos harding taos and santa fecounties nm</t>
  </si>
  <si>
    <t>taos resource management plan to provide broad-scale guidance for the management of public lands and resource administered by taos field office colfax harding los alamos mora rio arriba santa fe taos and union counties nm</t>
  </si>
  <si>
    <t>Draft(06/11/2010);Final(12/09/2011)</t>
  </si>
  <si>
    <t>https://arizona.app.box.com/file/386216701677</t>
  </si>
  <si>
    <t>project53</t>
  </si>
  <si>
    <t>aps sun valley to morgan 500/230kv transmission line project resource management plan amendment</t>
  </si>
  <si>
    <t>Draft(11/09/2012);Final(07/19/2013)</t>
  </si>
  <si>
    <t>aps sun valley to morgan 500/230kv transmission line project proposed resource management plan amendment</t>
  </si>
  <si>
    <t>Final(07/19/2013)</t>
  </si>
  <si>
    <t>https://arizona.app.box.com/file/389258549163</t>
  </si>
  <si>
    <t>https://arizona.app.box.com/file/389161842971</t>
  </si>
  <si>
    <t>sun valley to morgan 500/230kv transmission line project and draft resource management plan amendment maricopa county az</t>
  </si>
  <si>
    <t>Draft(11/09/2012)</t>
  </si>
  <si>
    <t>https://arizona.app.box.com/file/389262618140</t>
  </si>
  <si>
    <t>https://arizona.app.box.com/file/386239082812</t>
  </si>
  <si>
    <t>vantage to pomona heights 230kv transmission line project</t>
  </si>
  <si>
    <t>Final(10/21/2016)</t>
  </si>
  <si>
    <t>https://arizona.app.box.com/file/389171397651</t>
  </si>
  <si>
    <t>https://arizona.app.box.com/file/386225734225</t>
  </si>
  <si>
    <t>southline transmission line project and draft resource management plan amendment</t>
  </si>
  <si>
    <t>https://arizona.app.box.com/file/389263496110</t>
  </si>
  <si>
    <t>https://arizona.app.box.com/file/389162541036</t>
  </si>
  <si>
    <t>project533</t>
  </si>
  <si>
    <t>klamath national forest motorized route designation motorized travel management (formerly motorized route designation) implementation siskiyou county ca and jackson county or</t>
  </si>
  <si>
    <t>Final(01/29/2010);Draft(06/05/2009)</t>
  </si>
  <si>
    <t>nan CA</t>
  </si>
  <si>
    <t>https://arizona.app.box.com/file/389161659122</t>
  </si>
  <si>
    <t>https://arizona.app.box.com/file/389138625747</t>
  </si>
  <si>
    <t>rogue river national forest land and resource management plan implementation jackson klamath josephine and douglas counties ca and siskiyou county or</t>
  </si>
  <si>
    <t>Final(08/03/1990);Draft(12/18/1987)</t>
  </si>
  <si>
    <t>rogue river-siskiyou national forest motorized vehicle use to enact the travel management rule implementation douglas klamath jackson curry coos and josephine counties or and del norte and siskiyou counties ca</t>
  </si>
  <si>
    <t>Final(01/22/2010);Draft(03/27/2009)</t>
  </si>
  <si>
    <t>USFS USAF</t>
  </si>
  <si>
    <t>https://arizona.app.box.com/file/389162902867</t>
  </si>
  <si>
    <t>https://arizona.app.box.com/file/386245050339</t>
  </si>
  <si>
    <t>modoc national forest motorized travel management plan implementation national forest transportation system (nfts) modoc lassen and siskiyou counties ca</t>
  </si>
  <si>
    <t>Final(12/04/2009);Draft(12/29/2008)</t>
  </si>
  <si>
    <t>https://arizona.app.box.com/file/389164588782</t>
  </si>
  <si>
    <t>https://arizona.app.box.com/file/389163435916</t>
  </si>
  <si>
    <t>project534</t>
  </si>
  <si>
    <t>kootenai national forest land management plan revision</t>
  </si>
  <si>
    <t>Draft(01/06/2012);Final(09/27/2013)</t>
  </si>
  <si>
    <t>shoshone national forest land management plan revision</t>
  </si>
  <si>
    <t>https://arizona.app.box.com/file/389264138015</t>
  </si>
  <si>
    <t>https://arizona.app.box.com/file/389152063640</t>
  </si>
  <si>
    <t>plan revision for the coconino national forest land and resource management</t>
  </si>
  <si>
    <t>Second Draft(12/20/2013)</t>
  </si>
  <si>
    <t>https://arizona.app.box.com/file/389267496151</t>
  </si>
  <si>
    <t>https://arizona.app.box.com/file/389171928135</t>
  </si>
  <si>
    <t>programmatic - revision of the coronado national forest land and resource management plan</t>
  </si>
  <si>
    <t>https://arizona.app.box.com/file/389263905370</t>
  </si>
  <si>
    <t>https://arizona.app.box.com/file/389166544725</t>
  </si>
  <si>
    <t>project536</t>
  </si>
  <si>
    <t>la garita hills restoration project</t>
  </si>
  <si>
    <t>Draft(09/30/2016);Final(09/08/2017)</t>
  </si>
  <si>
    <t>Draft(09/30/2016)</t>
  </si>
  <si>
    <t>https://arizona.app.box.com/file/389164408266</t>
  </si>
  <si>
    <t>https://arizona.app.box.com/file/386212275642</t>
  </si>
  <si>
    <t>cretaceous hills ecological restoration project</t>
  </si>
  <si>
    <t>Final(09/21/2018)</t>
  </si>
  <si>
    <t>https://arizona.app.box.com/file/389166052236</t>
  </si>
  <si>
    <t>https://arizona.app.box.com/file/386241612238</t>
  </si>
  <si>
    <t>gas hills in-situ recovery uranium project</t>
  </si>
  <si>
    <t>Final(11/01/2013)</t>
  </si>
  <si>
    <t>https://arizona.app.box.com/file/389262987081</t>
  </si>
  <si>
    <t>https://arizona.app.box.com/file/389153999622</t>
  </si>
  <si>
    <t>project539</t>
  </si>
  <si>
    <t>adoption - lake charles liquefaction project</t>
  </si>
  <si>
    <t>Final(07/15/2016)</t>
  </si>
  <si>
    <t>https://arizona.app.box.com/file/389175604905</t>
  </si>
  <si>
    <t>project54</t>
  </si>
  <si>
    <t>arapahoe basin ski area projects</t>
  </si>
  <si>
    <t>Draft(02/05/2016);Final(08/12/2016)</t>
  </si>
  <si>
    <t>arapahoe basin ski area master development plan construction and operation coe section 404 permit white river national forest dillon ranger district summit county co</t>
  </si>
  <si>
    <t>Draft(08/14/1998)</t>
  </si>
  <si>
    <t>https://arizona.app.box.com/file/386248593010</t>
  </si>
  <si>
    <t>arapahoe basin ski area mster development plan construction and operation coe section 404 permit white river national forest dillon ranger district summit county co</t>
  </si>
  <si>
    <t>Final(11/19/1999)</t>
  </si>
  <si>
    <t>eldora mountain resort ski area projects</t>
  </si>
  <si>
    <t>Final(03/27/2015);Draft(02/28/2014)</t>
  </si>
  <si>
    <t>https://arizona.app.box.com/file/389265442277</t>
  </si>
  <si>
    <t>https://arizona.app.box.com/file/389256646540</t>
  </si>
  <si>
    <t>https://arizona.app.box.com/file/389170271900</t>
  </si>
  <si>
    <t>steamboat ski area improvements</t>
  </si>
  <si>
    <t>Final(06/08/2018)</t>
  </si>
  <si>
    <t>https://arizona.app.box.com/file/389177819504</t>
  </si>
  <si>
    <t>https://arizona.app.box.com/file/386237832466</t>
  </si>
  <si>
    <t>lookout pass ski area expansion</t>
  </si>
  <si>
    <t>Draft(03/11/2016)</t>
  </si>
  <si>
    <t>https://arizona.app.box.com/file/389169870146</t>
  </si>
  <si>
    <t>https://arizona.app.box.com/file/386226338809</t>
  </si>
  <si>
    <t>project541</t>
  </si>
  <si>
    <t>Draft(01/25/2013);Final(01/16/2015)</t>
  </si>
  <si>
    <t>lake meredith national recreation area off-road management plan tx</t>
  </si>
  <si>
    <t>https://arizona.app.box.com/file/389167110727</t>
  </si>
  <si>
    <t>lake meredith national recreation area and alibates flint quarries national monument general management plan</t>
  </si>
  <si>
    <t>Final(10/03/2014)</t>
  </si>
  <si>
    <t>https://arizona.app.box.com/file/389267504382</t>
  </si>
  <si>
    <t>project543</t>
  </si>
  <si>
    <t>lake tahoe basin management unit land management plan final environmental impact statement</t>
  </si>
  <si>
    <t>Draft(06/01/2012);Final(07/17/2015)</t>
  </si>
  <si>
    <t>sweetheart lake hydroelectric project final environmental impact statement</t>
  </si>
  <si>
    <t>https://arizona.app.box.com/file/389170033649</t>
  </si>
  <si>
    <t>hiline district proposed resource management plan and final environmental impact statement</t>
  </si>
  <si>
    <t>https://arizona.app.box.com/file/386237161102</t>
  </si>
  <si>
    <t>https://arizona.app.box.com/file/389165311998</t>
  </si>
  <si>
    <t>https://arizona.app.box.com/file/389170159606</t>
  </si>
  <si>
    <t>project545</t>
  </si>
  <si>
    <t>lake worth inlet palm beach harbor project</t>
  </si>
  <si>
    <t>Draft(04/19/2013);Final(02/07/2014)</t>
  </si>
  <si>
    <t>https://arizona.app.box.com/file/389258508681</t>
  </si>
  <si>
    <t>https://arizona.app.box.com/file/389152105640</t>
  </si>
  <si>
    <t>https://arizona.app.box.com/file/389264288206</t>
  </si>
  <si>
    <t>https://arizona.app.box.com/file/389151883889</t>
  </si>
  <si>
    <t>palm beach county beach erosion project updated information concerning shore protection for the ocean ridge segment from the martin county line to lake worth inlet and from the south lake worth inlet to the broward county line palm beach martin and bro</t>
  </si>
  <si>
    <t>Third Draft Supplemental(02/02/1996);Third Final Supplemental(06/06/1997)</t>
  </si>
  <si>
    <t>palm beach county beach erosion project updated information shore protection project jupiter/ carlin segment from martin co. line to lake worth inlet and from south lake worth inlet to broward general design plan implementation martin and broward co</t>
  </si>
  <si>
    <t>Final Supplement(02/17/1995)</t>
  </si>
  <si>
    <t>palm beach county beach erosion project updated information shore protection project jupiter/ carlin segment from martin co. line to lake worth inlet and from south lake worth inlet to broward general design plan implementation martin and and browar</t>
  </si>
  <si>
    <t>Second Draft Supplemental(03/26/1993)</t>
  </si>
  <si>
    <t>implementation palm beach county florida palm beach county beach erosion control project</t>
  </si>
  <si>
    <t>Final(07/10/1987)</t>
  </si>
  <si>
    <t>project548</t>
  </si>
  <si>
    <t>land-water interface and service pier extension at naval base kitsap bangor</t>
  </si>
  <si>
    <t>Final(07/15/2016);Draft(02/13/2015)</t>
  </si>
  <si>
    <t>https://arizona.app.box.com/file/389166870556</t>
  </si>
  <si>
    <t>https://arizona.app.box.com/file/389262662703</t>
  </si>
  <si>
    <t>https://arizona.app.box.com/file/389160947267</t>
  </si>
  <si>
    <t>land-water interface and service pier extension at naval base kitsap bangor, washington</t>
  </si>
  <si>
    <t>Draft Supplement(08/18/2017);Final Supplement(11/09/2018)</t>
  </si>
  <si>
    <t>https://arizona.app.box.com/file/389164939210</t>
  </si>
  <si>
    <t>https://arizona.app.box.com/file/386241723508</t>
  </si>
  <si>
    <t>https://arizona.app.box.com/file/389171273462</t>
  </si>
  <si>
    <t>naval base kitsap - bangor construct and operate a swimmer interdiction security system (siss) silverdale kitsap county wa</t>
  </si>
  <si>
    <t>naval base kitsap - bangor construct and operate a swimmer interdiction security system (siss) silverdatle kitsap county wa</t>
  </si>
  <si>
    <t>https://arizona.app.box.com/file/389153885622</t>
  </si>
  <si>
    <t>trident support facilities explosives handling wharf (ehw-2) construction and operating naval base kitsap bangor silverdale wa</t>
  </si>
  <si>
    <t>https://arizona.app.box.com/file/389167328396</t>
  </si>
  <si>
    <t>project55</t>
  </si>
  <si>
    <t>arctic national wildlife refuge</t>
  </si>
  <si>
    <t>Draft(08/26/2011);Final(02/06/2015)</t>
  </si>
  <si>
    <t>arctic national wildlife refuge comprehensive conservation plan wilderness review and wild river plan implementation ak</t>
  </si>
  <si>
    <t>Final(09/23/1988);Draft(01/29/1988)</t>
  </si>
  <si>
    <t>arctic national wildlife refuge coastal plain resource plan development and exploration for oil and gas</t>
  </si>
  <si>
    <t>LF(05/01/1987)</t>
  </si>
  <si>
    <t>arctic national wildlife refuge project draft revised comprehensive conservation plan wilderness review wild and scenic river review implementation fairbanks al</t>
  </si>
  <si>
    <t>Draft(08/26/2011)</t>
  </si>
  <si>
    <t>https://arizona.app.box.com/file/389153417018</t>
  </si>
  <si>
    <t>kanuti nat'l wildlife refuge comprehensive conservation mgmt. plan designation arctic circle ak</t>
  </si>
  <si>
    <t>Final(06/12/1987)</t>
  </si>
  <si>
    <t>project552</t>
  </si>
  <si>
    <t>levy nuclear plant units 1 and 2 application for combined licenses (cols) for construction permits and operating licenses (nureg-1941) levy county fl</t>
  </si>
  <si>
    <t>Draft(08/13/2010);Final(05/03/2012)</t>
  </si>
  <si>
    <t>levy nuclear plant units 1 and 2 application for combined licenses (cols) for construction permits and operating licenses (nureg-1941) levy county fl a</t>
  </si>
  <si>
    <t>Draft(08/13/2010)</t>
  </si>
  <si>
    <t>https://arizona.app.box.com/file/386233921516</t>
  </si>
  <si>
    <t>Final(05/04/2012)</t>
  </si>
  <si>
    <t>https://arizona.app.box.com/file/386249319302</t>
  </si>
  <si>
    <t>comanche peak nuclear power plant units 3 and 4 application for combined licenses (cols) for construction permits and operating licenses (nureg-1943) hood and somervell counties tx</t>
  </si>
  <si>
    <t>Draft(08/13/2010);Final(05/20/2011)</t>
  </si>
  <si>
    <t>https://arizona.app.box.com/file/386231113346</t>
  </si>
  <si>
    <t>https://arizona.app.box.com/file/386264559165</t>
  </si>
  <si>
    <t>turkey point nuclear plant units 6 and 7 combined licenses (cols)</t>
  </si>
  <si>
    <t>https://arizona.app.box.com/file/389262469868</t>
  </si>
  <si>
    <t>https://arizona.app.box.com/file/389172332985</t>
  </si>
  <si>
    <t>south texas project electric generating station units 3 and 4 application for combined licenses (cols) for construction permits and operating licenses matagorda county tx</t>
  </si>
  <si>
    <t>Final(03/04/2011);Draft(03/26/2010)</t>
  </si>
  <si>
    <t>https://arizona.app.box.com/file/386241143148</t>
  </si>
  <si>
    <t>project555</t>
  </si>
  <si>
    <t>limestone hills training area (lhta) withdrawal project to withdraw federal lands from within the lhta from doi bureau of land management for transfer to montana army national guard for military training use broadwater county mt</t>
  </si>
  <si>
    <t>Draft(07/20/2007);Final(09/30/2011)</t>
  </si>
  <si>
    <t>LD(07/20/2007);Final(09/30/2011)</t>
  </si>
  <si>
    <t>https://arizona.app.box.com/file/386218998853</t>
  </si>
  <si>
    <t>https://arizona.app.box.com/file/386231253628</t>
  </si>
  <si>
    <t>east harrison county connector construction i-10 to us 90 funding us army coe and us coast guard permits issuance and possible transfer of federal lands harrison county ms</t>
  </si>
  <si>
    <t>Draft(08/10/2001);Final(02/28/2002)</t>
  </si>
  <si>
    <t>https://arizona.app.box.com/file/386217649426</t>
  </si>
  <si>
    <t>https://arizona.app.box.com/file/386217844453</t>
  </si>
  <si>
    <t>montana statewide conventional oil and gas and coal bed methane gas exploration and development management plan within the bureau of land management's powder river and billings resources management plan areas and the state of montana implementation mt</t>
  </si>
  <si>
    <t>Draft(02/15/2002)</t>
  </si>
  <si>
    <t>https://arizona.app.box.com/file/386227025827</t>
  </si>
  <si>
    <t>montana air national guard air-to-ground training range development for use by the 120th fighter wing (120th fw) implementation phillips and blaine counties mt</t>
  </si>
  <si>
    <t>https://arizona.app.box.com/file/386264911862</t>
  </si>
  <si>
    <t>montana air national guard air-to-ground training range development for use by the 120th fighter wing (120thfw) implementation phillips and blaine counties mt</t>
  </si>
  <si>
    <t>https://arizona.app.box.com/file/386271546391</t>
  </si>
  <si>
    <t>project556</t>
  </si>
  <si>
    <t>lincoln home national historic site general management plan implementation sangamon county springfield il</t>
  </si>
  <si>
    <t>Final(12/30/2011);Draft(06/18/2010)</t>
  </si>
  <si>
    <t>https://arizona.app.box.com/file/386239976302</t>
  </si>
  <si>
    <t>https://arizona.app.box.com/file/386225186417</t>
  </si>
  <si>
    <t>hunter lake new supplemental water supply reservoir construction city of springfield application for permit sangamon county il</t>
  </si>
  <si>
    <t>Final(11/24/2000)</t>
  </si>
  <si>
    <t>https://arizona.app.box.com/file/386240503306</t>
  </si>
  <si>
    <t>hunter lake new supplemental water supply reservoir construction city of springfield apply for permit sangamon county il</t>
  </si>
  <si>
    <t>https://arizona.app.box.com/file/386242775377</t>
  </si>
  <si>
    <t>project559</t>
  </si>
  <si>
    <t>little snake resource management plan implementation moffat routt and rio blanco counties craig co</t>
  </si>
  <si>
    <t>Draft(02/16/2007);Final(08/13/2010)</t>
  </si>
  <si>
    <t>https://arizona.app.box.com/file/386232630285</t>
  </si>
  <si>
    <t>https://arizona.app.box.com/file/386227246369</t>
  </si>
  <si>
    <t>https://arizona.app.box.com/file/386242663543</t>
  </si>
  <si>
    <t>routt national forest land and resource management plan implementation grand routt rio blanco jackson moffat and garfield counties co</t>
  </si>
  <si>
    <t>Final(04/03/1998);Draft(02/16/1996)</t>
  </si>
  <si>
    <t>https://arizona.app.box.com/file/386266484443</t>
  </si>
  <si>
    <t>white river resource area land and resource management plan implementation craig district towns of meeker rangely and dinosaur rio blanco garfield and moffat counties co</t>
  </si>
  <si>
    <t>Draft(11/10/1994);Final(07/05/1996)</t>
  </si>
  <si>
    <t>routt national forest oil and gas exploration and development approval and leasing routt moffat jackson grand garfield and rio blanco counties co</t>
  </si>
  <si>
    <t>Final(03/26/1993);Draft(07/17/1992)</t>
  </si>
  <si>
    <t>routt national forest land and resource management plan incorporation of the dersch report implementation routt garfield grand moffat rio blanco jackson and summit counties co</t>
  </si>
  <si>
    <t>Draft Supplement(01/19/1989)</t>
  </si>
  <si>
    <t>project56</t>
  </si>
  <si>
    <t>arecibo observatory</t>
  </si>
  <si>
    <t>Final(08/04/2017);Draft(10/28/2016)</t>
  </si>
  <si>
    <t>NSF</t>
  </si>
  <si>
    <t>Final(08/04/2017)</t>
  </si>
  <si>
    <t>https://arizona.app.box.com/file/389173239257</t>
  </si>
  <si>
    <t>sacramento peak observatory</t>
  </si>
  <si>
    <t>https://arizona.app.box.com/file/389173235757</t>
  </si>
  <si>
    <t>arecibo waste-to-energy and resource recovery project</t>
  </si>
  <si>
    <t>Draft(08/14/2015);Final(02/03/2017)</t>
  </si>
  <si>
    <t>https://arizona.app.box.com/file/389165631964</t>
  </si>
  <si>
    <t>https://arizona.app.box.com/file/386238986730</t>
  </si>
  <si>
    <t>https://arizona.app.box.com/file/389170554650</t>
  </si>
  <si>
    <t>https://arizona.app.box.com/file/386241188768</t>
  </si>
  <si>
    <t>rio grande de arecibo basin flood control plan implementation arecibo river city of areciba pr</t>
  </si>
  <si>
    <t>Draft(11/08/1991);Final(12/10/1993)</t>
  </si>
  <si>
    <t>arecibo maqaquez0 ponce and yabocoa harbors ocean dredged material disposal site designation pr</t>
  </si>
  <si>
    <t>Final(05/27/1988)</t>
  </si>
  <si>
    <t>project561</t>
  </si>
  <si>
    <t>livestock grazing and vegetation management on five project area proposes to continue to authorize livestock grazing tongue medicine wheel/paintrock and power river districts of the bighorn national forest johnson sheridan big horn and washakie counties wy</t>
  </si>
  <si>
    <t>Final(09/16/2011);Draft(03/05/2010)</t>
  </si>
  <si>
    <t>Final(09/16/2011);Draft(09/03/2010)</t>
  </si>
  <si>
    <t>https://arizona.app.box.com/file/389164300604</t>
  </si>
  <si>
    <t>https://arizona.app.box.com/file/389163038709</t>
  </si>
  <si>
    <t>tongue allotment management plan proposal to continue livestock grazing on all or portion of 22 allotment bighorn national forest tongue and medicine wheel/paintrock ranger districts johnson sheridan and big horn counties wy</t>
  </si>
  <si>
    <t>Draft(01/23/2004)</t>
  </si>
  <si>
    <t>https://arizona.app.box.com/file/386252714542</t>
  </si>
  <si>
    <t>tongue allotment management plan proposal to continue livestock grazing on all or portions of the 22 allotment bighorn national forest tongue and medicine wheel/ paintrock ranger districts johnson sheridan and bighorn counties wy</t>
  </si>
  <si>
    <t>Final(02/04/2005)</t>
  </si>
  <si>
    <t>https://arizona.app.box.com/file/389137830147</t>
  </si>
  <si>
    <t>bighorn national forest revised land and resource management plan implementation big horn mountain range bighorn national forest johnson sheridan bighorn and washakie counties wy</t>
  </si>
  <si>
    <t>Draft(07/02/2004);Final(11/10/2005)</t>
  </si>
  <si>
    <t>https://arizona.app.box.com/file/389132924647</t>
  </si>
  <si>
    <t>https://arizona.app.box.com/file/389161808764</t>
  </si>
  <si>
    <t>medicine wheel national historic landmark protection project implementation bighorn national forest medicine wheel ranger district big horn county wy</t>
  </si>
  <si>
    <t>Draft(06/07/1991)</t>
  </si>
  <si>
    <t>project564</t>
  </si>
  <si>
    <t>lone star ore body development project</t>
  </si>
  <si>
    <t>Final(04/21/2017);Draft(06/10/2016)</t>
  </si>
  <si>
    <t>https://arizona.app.box.com/file/389170777475</t>
  </si>
  <si>
    <t>https://arizona.app.box.com/file/386211741061</t>
  </si>
  <si>
    <t>https://arizona.app.box.com/file/389173697602</t>
  </si>
  <si>
    <t>https://arizona.app.box.com/file/386226056546</t>
  </si>
  <si>
    <t>copper flat mining project construction and operation of new ore facilities hillsboro mining district sierra county nm</t>
  </si>
  <si>
    <t>Draft(02/23/1996)</t>
  </si>
  <si>
    <t>https://arizona.app.box.com/file/386216977065</t>
  </si>
  <si>
    <t>montana tunnels mine project proposed m-pit mine expansion to existing mine pit to access and mine additional ore resources jefferson county mt</t>
  </si>
  <si>
    <t>Draft(02/15/2008);Final(10/03/2008)</t>
  </si>
  <si>
    <t>https://arizona.app.box.com/file/386227420755</t>
  </si>
  <si>
    <t>https://arizona.app.box.com/file/386240150476</t>
  </si>
  <si>
    <t>university avenue rehabilitation and widening college road to parks highway funding fairbanks north star borough ak</t>
  </si>
  <si>
    <t>Final(07/19/1991);Draft(10/14/1988)</t>
  </si>
  <si>
    <t>project565</t>
  </si>
  <si>
    <t>lonesome wood vegetation management 2 project areas lake ranger district gallatin national forest gallatin county mt</t>
  </si>
  <si>
    <t>Draft(09/23/2011);Final(10/12/2012)</t>
  </si>
  <si>
    <t>https://arizona.app.box.com/file/389254858810</t>
  </si>
  <si>
    <t>https://arizona.app.box.com/file/389163489661</t>
  </si>
  <si>
    <t>lonesome wood vegetation management 2 project areas proposed forest thinning prescribed burning and associated activities habgen lake ranger district gallatin national forest gallatin county mt</t>
  </si>
  <si>
    <t>Draft(09/23/2011)</t>
  </si>
  <si>
    <t>https://arizona.app.box.com/file/389163486546</t>
  </si>
  <si>
    <t>west lake timber sale and road decommissioning project implementation gallatin national forest hebgen lake ranger district gallatin county mt</t>
  </si>
  <si>
    <t>Final(05/17/2002);Draft(08/03/2001)</t>
  </si>
  <si>
    <t>https://arizona.app.box.com/file/386249741497</t>
  </si>
  <si>
    <t>https://arizona.app.box.com/file/386255521620</t>
  </si>
  <si>
    <t>bozeman municipal watershed project to implement fuel reduction activities bozeman ranger district gallatin national forest city of bozeman municipal watershed gallatin county mt</t>
  </si>
  <si>
    <t>Final(03/26/2010);Draft(09/21/2007)</t>
  </si>
  <si>
    <t>https://arizona.app.box.com/file/389161309038</t>
  </si>
  <si>
    <t>https://arizona.app.box.com/file/389135161100</t>
  </si>
  <si>
    <t>mill/emigrant timber sale implementation gallatin national forest livingston ranger district park county mt.</t>
  </si>
  <si>
    <t>Final(07/27/1990);Draft(12/08/1989)</t>
  </si>
  <si>
    <t>project566</t>
  </si>
  <si>
    <t>long canyon mine project, elko county, nv</t>
  </si>
  <si>
    <t>Final(01/09/2015);Draft(03/21/2014)</t>
  </si>
  <si>
    <t>arturo mine project development elko county nv</t>
  </si>
  <si>
    <t>Draft(01/18/2013)</t>
  </si>
  <si>
    <t>https://arizona.app.box.com/file/389172322352</t>
  </si>
  <si>
    <t>long canyon mine draft eis</t>
  </si>
  <si>
    <t>Draft(01/09/2015);Draft(03/21/2014)</t>
  </si>
  <si>
    <t>https://arizona.app.box.com/file/389162604722</t>
  </si>
  <si>
    <t>https://arizona.app.box.com/file/389269271489</t>
  </si>
  <si>
    <t>https://arizona.app.box.com/file/389164154292</t>
  </si>
  <si>
    <t>jerritt canyon gold mine expansion project implementation plan of operation and coe section 404 permit humboldt national forest mountain city ranger district elko county nv</t>
  </si>
  <si>
    <t>Final(04/22/1994);Draft(12/03/1993)</t>
  </si>
  <si>
    <t>https://arizona.app.box.com/file/386244493725</t>
  </si>
  <si>
    <t>emigrant mine project proposed open pit gold mine plan-of-operation south of carlin in elko county nv</t>
  </si>
  <si>
    <t>Revised Draft(11/21/2008);Final(12/17/2010)</t>
  </si>
  <si>
    <t>https://arizona.app.box.com/file/386242360204</t>
  </si>
  <si>
    <t>https://arizona.app.box.com/file/386242709038</t>
  </si>
  <si>
    <t>betze open pit gold mine expansion implememtation elko and eureka counties nv</t>
  </si>
  <si>
    <t>Draft(01/18/1991);Final(06/21/1991)</t>
  </si>
  <si>
    <t>https://arizona.app.box.com/file/386215852105</t>
  </si>
  <si>
    <t>project568</t>
  </si>
  <si>
    <t>long-term experimental and management plan (ltemp) for the operation of glen canyon dam</t>
  </si>
  <si>
    <t>Draft(01/15/2016);Final(10/14/2016)</t>
  </si>
  <si>
    <t>Final(10/14/2016)</t>
  </si>
  <si>
    <t>https://arizona.app.box.com/file/389175735444</t>
  </si>
  <si>
    <t>https://arizona.app.box.com/file/386225926334</t>
  </si>
  <si>
    <t>glen canyon dam long-term experimental and management plan</t>
  </si>
  <si>
    <t>Draft(01/15/2016)</t>
  </si>
  <si>
    <t>https://arizona.app.box.com/file/389163447173</t>
  </si>
  <si>
    <t>https://arizona.app.box.com/file/386239237911</t>
  </si>
  <si>
    <t>glen canyon dam operation implementation colorado river storage project funding and coe section 10 and 404 permits coconino county az</t>
  </si>
  <si>
    <t>Draft(01/14/1994);Final(03/31/1995)</t>
  </si>
  <si>
    <t>project569</t>
  </si>
  <si>
    <t>long-term plan to protect adult salmon in the lower klamath river</t>
  </si>
  <si>
    <t>Final(01/27/2017);Draft(10/21/2016)</t>
  </si>
  <si>
    <t>https://arizona.app.box.com/file/389164521788</t>
  </si>
  <si>
    <t>https://arizona.app.box.com/file/386211531291</t>
  </si>
  <si>
    <t>https://arizona.app.box.com/file/389171672707</t>
  </si>
  <si>
    <t>eddy gulch late-successional reserve fuels/habitat protection project to protect late-successional habitat used by the northern spotted owl and other late-successional-dependent species salmon river and scott river ranger district klamath national forest siskiyou county ca</t>
  </si>
  <si>
    <t>Final(01/22/2010);Draft(07/24/2009)</t>
  </si>
  <si>
    <t>https://arizona.app.box.com/file/389161499159</t>
  </si>
  <si>
    <t>https://arizona.app.box.com/file/389151768167</t>
  </si>
  <si>
    <t>lower white salmon river wild and scenic river management plan columbia river gorge national scenic area wild and scenic river system implementation klickitat county wa</t>
  </si>
  <si>
    <t>Final(12/20/1991);Draft(08/03/1990)</t>
  </si>
  <si>
    <t>project57</t>
  </si>
  <si>
    <t>Redlands passenger rail project</t>
  </si>
  <si>
    <t>Final(01/06/2017);Draft(09/11/2015)</t>
  </si>
  <si>
    <t>arizona passenger rail corridor study: tucson to phoenix tier 1 draft environmental impact statement</t>
  </si>
  <si>
    <t>https://arizona.app.box.com/file/389154783142</t>
  </si>
  <si>
    <t>https://arizona.app.box.com/file/386216183490</t>
  </si>
  <si>
    <t>tucson drainage area arizona implementation reduce flooding city of tucson pima county az</t>
  </si>
  <si>
    <t>Draft(05/09/1997);Final(11/14/1997)</t>
  </si>
  <si>
    <t>oregon passenger rail tier 1 draft environmental impact statement</t>
  </si>
  <si>
    <t>https://arizona.app.box.com/file/389179086295</t>
  </si>
  <si>
    <t>central phoenix/east valley light rail transit corridor construction operation and maintenance funding cities of phoenix temple and mesa maricopa county az</t>
  </si>
  <si>
    <t>Final(11/15/2002);Draft(01/04/2002)</t>
  </si>
  <si>
    <t>https://arizona.app.box.com/file/386246446617</t>
  </si>
  <si>
    <t>https://arizona.app.box.com/file/386241821331</t>
  </si>
  <si>
    <t>project570</t>
  </si>
  <si>
    <t>coachella canal lining water project revised and updated information approval of the transfers and exchanges of conserved coachella canal water construction and operation funding riverside and imperial counties ca</t>
  </si>
  <si>
    <t>Revised Draft(09/29/2000)</t>
  </si>
  <si>
    <t>https://arizona.app.box.com/file/386240920972</t>
  </si>
  <si>
    <t>coachella canal lining water project revised and updated information approval of the transfers and exchanges of conserved coachella canal water construction operation and funding riverside and imperial counties ca</t>
  </si>
  <si>
    <t>Final(04/27/2001)</t>
  </si>
  <si>
    <t>https://arizona.app.box.com/file/386238016662</t>
  </si>
  <si>
    <t>project571</t>
  </si>
  <si>
    <t>lookout pass ski area expansion eis</t>
  </si>
  <si>
    <t>Final(01/13/2017);Draft(03/11/2016)</t>
  </si>
  <si>
    <t>https://arizona.app.box.com/file/389170546946</t>
  </si>
  <si>
    <t>lookout pass ski and recreation area (lpsra) expansion project implementation amendment to the existing special use permit npdes permit and coe section 404 permit idaho panhandles national forests coeur d' alene river range district id and mt</t>
  </si>
  <si>
    <t>Draft(02/09/2001);Final(08/09/2002)</t>
  </si>
  <si>
    <t>https://arizona.app.box.com/file/386255807762</t>
  </si>
  <si>
    <t>white pass ski area expansion special use permit wenatchee and gifford pinchot national forests lewis and yakima counties wa</t>
  </si>
  <si>
    <t>Draft(07/07/1989);Final(08/10/1990)</t>
  </si>
  <si>
    <t>white pass ski area expansion special-use-permit pigtail basin and hogback basin wenatchee and gifford pinchot national forests yakima and lewis counties wa</t>
  </si>
  <si>
    <t>Final(09/04/1998);Draft(01/02/1998)</t>
  </si>
  <si>
    <t>project574</t>
  </si>
  <si>
    <t>lost creek in situ recovery project to analyze the site-specific impacts associated with the plan of operations sweetwater county wy</t>
  </si>
  <si>
    <t>Final(07/27/2012);Draft(04/27/2012)</t>
  </si>
  <si>
    <t>https://arizona.app.box.com/file/386217070290</t>
  </si>
  <si>
    <t>lost creek uranium in-situ recovery project modifications</t>
  </si>
  <si>
    <t>Draft(08/31/2018)</t>
  </si>
  <si>
    <t>https://arizona.app.box.com/file/389172060957</t>
  </si>
  <si>
    <t>https://arizona.app.box.com/file/386238109543</t>
  </si>
  <si>
    <t>reno creek in situ recovery project</t>
  </si>
  <si>
    <t>https://arizona.app.box.com/file/389175408876</t>
  </si>
  <si>
    <t>analyze impacts of noaa</t>
  </si>
  <si>
    <t>nan(nan)</t>
  </si>
  <si>
    <t>project575</t>
  </si>
  <si>
    <t>lost creek in-situ uranium recovery (isr) project proposal to construct operate conduct aquifer restoration and decommission an in-situ recovery (isr) uranium milling facility sweetwater county wy</t>
  </si>
  <si>
    <t>ross in-situ leach recovery (isr) project supplement to the generic environmental impact statement for in-situ leach uranium milling facilities</t>
  </si>
  <si>
    <t>Draft Supplement(03/29/2013);Final Supplement(03/07/2014)</t>
  </si>
  <si>
    <t>https://arizona.app.box.com/file/389267841877</t>
  </si>
  <si>
    <t>https://arizona.app.box.com/file/389161525400</t>
  </si>
  <si>
    <t>https://arizona.app.box.com/file/389266135939</t>
  </si>
  <si>
    <t>https://arizona.app.box.com/file/389153216580</t>
  </si>
  <si>
    <t>project576</t>
  </si>
  <si>
    <t>lost creek-boulder creek landscape restoration project</t>
  </si>
  <si>
    <t>Draft(11/01/2013);Final(04/04/2014)</t>
  </si>
  <si>
    <t>https://arizona.app.box.com/file/389267161342</t>
  </si>
  <si>
    <t>https://arizona.app.box.com/file/389167073061</t>
  </si>
  <si>
    <t>https://arizona.app.box.com/file/389265119737</t>
  </si>
  <si>
    <t>project578</t>
  </si>
  <si>
    <t>lower bois d'arc creek reservoir</t>
  </si>
  <si>
    <t>Final(11/03/2017);Draft(02/20/2015)</t>
  </si>
  <si>
    <t>https://arizona.app.box.com/file/389263832289</t>
  </si>
  <si>
    <t>https://arizona.app.box.com/file/389155105305</t>
  </si>
  <si>
    <t>alkali creek reservoir project</t>
  </si>
  <si>
    <t>https://arizona.app.box.com/file/389173237198</t>
  </si>
  <si>
    <t>https://arizona.app.box.com/file/386230598052</t>
  </si>
  <si>
    <t>https://arizona.app.box.com/file/389264358324</t>
  </si>
  <si>
    <t>https://arizona.app.box.com/file/389171963877</t>
  </si>
  <si>
    <t>https://arizona.app.box.com/file/389170633507</t>
  </si>
  <si>
    <t>project579</t>
  </si>
  <si>
    <t>lower imnaha rangeland analysis</t>
  </si>
  <si>
    <t>Draft(03/28/2014);Final(03/20/2015)</t>
  </si>
  <si>
    <t>lower imnaha allotments rangeland analysis</t>
  </si>
  <si>
    <t>https://arizona.app.box.com/file/389266354740</t>
  </si>
  <si>
    <t>https://arizona.app.box.com/file/389165620613</t>
  </si>
  <si>
    <t>glade rangeland management</t>
  </si>
  <si>
    <t>Draft(12/04/2015)</t>
  </si>
  <si>
    <t>https://arizona.app.box.com/file/389170908400</t>
  </si>
  <si>
    <t>https://arizona.app.box.com/file/386237021103</t>
  </si>
  <si>
    <t>beh rangeland allotments</t>
  </si>
  <si>
    <t>https://arizona.app.box.com/file/389264340791</t>
  </si>
  <si>
    <t>https://arizona.app.box.com/file/389138359653</t>
  </si>
  <si>
    <t>project58</t>
  </si>
  <si>
    <t>arkansas valley conduit and long-term excess capacity master contract</t>
  </si>
  <si>
    <t>Final(08/23/2013);Draft(09/07/2012)</t>
  </si>
  <si>
    <t>arkansas valley conduit and long-term excess capacity fryingpan-arkansas project bent chaffee crowley el paso pueblo fremont kiowa otero and prowers counties co</t>
  </si>
  <si>
    <t>Draft(09/07/2012)</t>
  </si>
  <si>
    <t>https://arizona.app.box.com/file/386243025838</t>
  </si>
  <si>
    <t>pacificorp capacity power sale contract for 1100 megawatts (mw) long-term contract for peaking capacity implementation wa or id mt wy ut co ca nv az nm and british columbia</t>
  </si>
  <si>
    <t>Draft(04/08/1994);Final(08/05/1994)</t>
  </si>
  <si>
    <t>polk inlet project long-term timber sale contract implementation tongass national forest prince of wales island ak</t>
  </si>
  <si>
    <t>Draft(10/08/1993);Final(06/09/1995)</t>
  </si>
  <si>
    <t>sacramento river settlement contractors (srsc) settlement contractors long-term contract for 145 contractors renewal central valley project (cvp) sacramento river several counties ca</t>
  </si>
  <si>
    <t>https://arizona.app.box.com/file/386240576180</t>
  </si>
  <si>
    <t>project581</t>
  </si>
  <si>
    <t>lower klamath, clear lake, tule lake, upper klamath, and bear valley national wildlife refuges, final comprehensive conservation plan</t>
  </si>
  <si>
    <t>Final(12/09/2016);Draft(05/06/2016)</t>
  </si>
  <si>
    <t>https://arizona.app.box.com/file/389168833509</t>
  </si>
  <si>
    <t>alaska peninsula and becharof national wildlife refuges revised comprehensive conservation plan implementation ak</t>
  </si>
  <si>
    <t>Final(10/28/2005)</t>
  </si>
  <si>
    <t>alaska peninsula and becharof national wildlife refuges draft revised comprehensive conservation plan implementation ak</t>
  </si>
  <si>
    <t>Draft(03/12/2004)</t>
  </si>
  <si>
    <t>https://arizona.app.box.com/file/389133315746</t>
  </si>
  <si>
    <t>desert national wildlife refuge complex ash meadows desert moapa valley and pahranagat national wildlife refuges comprehensive conservation plan clark lincoln and nye counties nv</t>
  </si>
  <si>
    <t>Draft(07/11/2008)</t>
  </si>
  <si>
    <t>https://arizona.app.box.com/file/389166873185</t>
  </si>
  <si>
    <t>project582</t>
  </si>
  <si>
    <t>lower orogrande project proposes watershed improvement timber harvest and wildlife habitat enhancement activities north fork ranger district clearwater national forest clearwater county id</t>
  </si>
  <si>
    <t>Draft(06/03/2011);Final(12/02/2011)</t>
  </si>
  <si>
    <t>https://arizona.app.box.com/file/389151589538</t>
  </si>
  <si>
    <t>https://arizona.app.box.com/file/389151917622</t>
  </si>
  <si>
    <t>lower orogrande north fork ranger district clearwater national forest</t>
  </si>
  <si>
    <t>Revised Final(04/12/2013)</t>
  </si>
  <si>
    <t>https://arizona.app.box.com/file/389262095339</t>
  </si>
  <si>
    <t>lower orogrande project analysis of three alternatives north fork ranger district clearwater national forest clearwater county id</t>
  </si>
  <si>
    <t>Revised Draft(11/02/2012)</t>
  </si>
  <si>
    <t>https://arizona.app.box.com/file/389254672333</t>
  </si>
  <si>
    <t>https://arizona.app.box.com/file/389137570046</t>
  </si>
  <si>
    <t>yakus creek project proposes timber harvest watershed improvement and access management activities lochsa ranger district clearwater national forest idaho county id</t>
  </si>
  <si>
    <t>Draft(02/08/2008);Final(05/30/2008)</t>
  </si>
  <si>
    <t>https://arizona.app.box.com/file/389166315337</t>
  </si>
  <si>
    <t>https://arizona.app.box.com/file/389161910848</t>
  </si>
  <si>
    <t>robo elk project proposes watershed improvement timber harvest fuel treatments and recreation activities palouse ranger district clearwater national forest clearwater county id</t>
  </si>
  <si>
    <t>Final(04/29/2011);Draft(04/26/2010)</t>
  </si>
  <si>
    <t>https://arizona.app.box.com/file/389137550463</t>
  </si>
  <si>
    <t>https://arizona.app.box.com/file/389136917674</t>
  </si>
  <si>
    <t>project583</t>
  </si>
  <si>
    <t>lower sonoran and sonoran desert national monument resource management plan to provide guidance for managing the use of public lands and provide a framework for future land management actions maricopa pinal pima gila and yuma counties az</t>
  </si>
  <si>
    <t>Draft(08/26/2011);Final(06/15/2012)</t>
  </si>
  <si>
    <t>Final(06/15/2012);Draft(08/26/2011)</t>
  </si>
  <si>
    <t>https://arizona.app.box.com/file/386238948451</t>
  </si>
  <si>
    <t>https://arizona.app.box.com/file/386227363587</t>
  </si>
  <si>
    <t>ray land exchange/plan amendment implementation exchange of federal lands for public lands pinal gila and mohave counties az</t>
  </si>
  <si>
    <t>Draft(10/30/1998)</t>
  </si>
  <si>
    <t>https://arizona.app.box.com/file/386239761764</t>
  </si>
  <si>
    <t>yuma field office (yfo) resource management plan provide direction managing public lands implementation yuma la paz and maricopa counties az and imperial and riverside counties ca</t>
  </si>
  <si>
    <t>Final(03/28/2008);Draft(12/15/2006)</t>
  </si>
  <si>
    <t>https://arizona.app.box.com/file/386240294802</t>
  </si>
  <si>
    <t>https://arizona.app.box.com/file/386217135130</t>
  </si>
  <si>
    <t>programmatic - pima-maricopa irrigation project construction and operation maricopa and pinal counties az</t>
  </si>
  <si>
    <t>Draft(11/08/1996);Final(10/03/1997)</t>
  </si>
  <si>
    <t>phoenix resource area management plan implementation apache navajo gila maricopa pima pinal santa cruz and yavapai counties az</t>
  </si>
  <si>
    <t>Final(01/27/1989);Draft(01/29/1988)</t>
  </si>
  <si>
    <t>project587</t>
  </si>
  <si>
    <t>lower yellowstone intake diversion dam fish passage project, montana</t>
  </si>
  <si>
    <t>Draft(06/03/2016);Final(10/21/2016)</t>
  </si>
  <si>
    <t>https://arizona.app.box.com/file/389175432848</t>
  </si>
  <si>
    <t>https://arizona.app.box.com/file/386237771131</t>
  </si>
  <si>
    <t>lyle falls fish passage project to improve fish passage to habitat in the upper part of the watershed located on the lower klickitat river klickitat county wa</t>
  </si>
  <si>
    <t>Final(12/05/2008);Draft(03/28/2008)</t>
  </si>
  <si>
    <t>https://arizona.app.box.com/file/386238612412</t>
  </si>
  <si>
    <t>https://arizona.app.box.com/file/386215957705</t>
  </si>
  <si>
    <t>fish passage improvements savage rapids dam implementation grants pass irrigation district rogue river josephine and jackson counties or</t>
  </si>
  <si>
    <t>Draft(12/23/1994);Final(09/08/1995)</t>
  </si>
  <si>
    <t>fish passage improvement project red bluff diversion dam (rbdd) improvements of anadromous fish passage both upstream and downstream tehama-colusa canal rbdd to south of the town of dunnigan and corning canal rbdd to south of the city of corning funding us army coe section 10 and 404 permits issuance tehama glenn colusa yolo counties ca</t>
  </si>
  <si>
    <t>Final(05/23/2008);Draft(09/06/2002)</t>
  </si>
  <si>
    <t>https://arizona.app.box.com/file/386241024820</t>
  </si>
  <si>
    <t>https://arizona.app.box.com/file/386242849610</t>
  </si>
  <si>
    <t>fish passage and aquatic habitat restoration at hemlock dam implementation gifford pinchot national forest mount adams district skamania county wa</t>
  </si>
  <si>
    <t>Draft(10/01/2004);Final(11/04/2005)</t>
  </si>
  <si>
    <t>https://arizona.app.box.com/file/389161235530</t>
  </si>
  <si>
    <t>https://arizona.app.box.com/file/389163463524</t>
  </si>
  <si>
    <t>project589</t>
  </si>
  <si>
    <t>lynx - blue line extension northeast corridor light rail project proposed light rail extension from center city charlotte to i-485 near the mecklenburg-cabarrus county line charlotte-mecklenburg county nc</t>
  </si>
  <si>
    <t>Draft(08/27/2010);Final(10/14/2011)</t>
  </si>
  <si>
    <t>https://arizona.app.box.com/file/386243699620</t>
  </si>
  <si>
    <t>https://arizona.app.box.com/file/386230185779</t>
  </si>
  <si>
    <t>south corridor light rail project light rail service between the town of pineville nc and downtown charlotte city of charlotte charlotte-mecklenburg county nc</t>
  </si>
  <si>
    <t>Final(04/25/2003);Draft(11/01/2002)</t>
  </si>
  <si>
    <t>https://arizona.app.box.com/file/386231969986</t>
  </si>
  <si>
    <t>https://arizona.app.box.com/file/386215323073</t>
  </si>
  <si>
    <t>us 74 improvements corridor between us 601 north of monroe in union county and i-485 charlotte outer loop us army coe section 404 permit mecklenburg and union counties nc</t>
  </si>
  <si>
    <t>Draft(12/12/2003)</t>
  </si>
  <si>
    <t>https://arizona.app.box.com/file/386247704901</t>
  </si>
  <si>
    <t>regional connector transit corridor project proposes a light rail extension connecting metro gold line to the metro blue line and the metro expo line los angeles county ca</t>
  </si>
  <si>
    <t>Final(01/20/2012);Draft(09/03/2010)</t>
  </si>
  <si>
    <t>https://arizona.app.box.com/file/386219572415</t>
  </si>
  <si>
    <t>https://arizona.app.box.com/file/386245912728</t>
  </si>
  <si>
    <t>gaston east-west connector project construction (from i-85 west gastonia to i-485/nc 160 near the charlotte-douglas international airport gaston and meckleburg counties nc</t>
  </si>
  <si>
    <t>Final(01/21/2011);Draft(05/22/2009)</t>
  </si>
  <si>
    <t>https://arizona.app.box.com/file/386247919839</t>
  </si>
  <si>
    <t>https://arizona.app.box.com/file/386247579334</t>
  </si>
  <si>
    <t>project591</t>
  </si>
  <si>
    <t>madera irrigation district water supply enhancement project constructing and operating a water bank on the madera property madera county ca</t>
  </si>
  <si>
    <t>Draft(08/07/2009);Final(06/17/2011)</t>
  </si>
  <si>
    <t>https://arizona.app.box.com/file/386242881002</t>
  </si>
  <si>
    <t>https://arizona.app.box.com/file/386240341910</t>
  </si>
  <si>
    <t>northwest area water supply project</t>
  </si>
  <si>
    <t>Final Supplement(04/10/2015);Draft Supplement(06/27/2014)</t>
  </si>
  <si>
    <t>https://arizona.app.box.com/file/389262741188</t>
  </si>
  <si>
    <t>https://arizona.app.box.com/file/389152307234</t>
  </si>
  <si>
    <t>https://arizona.app.box.com/file/389257107035</t>
  </si>
  <si>
    <t>https://arizona.app.box.com/file/389163397802</t>
  </si>
  <si>
    <t>little snake supplemental irrigation water supply project construction right-of-way permit and coe section 404 permit carbon county wy</t>
  </si>
  <si>
    <t>Draft(08/28/1998);Final(10/29/1999)</t>
  </si>
  <si>
    <t>sacramento river bank protection project</t>
  </si>
  <si>
    <t>https://arizona.app.box.com/file/389262387245</t>
  </si>
  <si>
    <t>https://arizona.app.box.com/file/389153332339</t>
  </si>
  <si>
    <t>project598</t>
  </si>
  <si>
    <t>mariana islands training and testing</t>
  </si>
  <si>
    <t>Final(05/22/2015);Draft(09/13/2013)</t>
  </si>
  <si>
    <t>the mariana islands training and testing</t>
  </si>
  <si>
    <t>Draft(09/13/2013)</t>
  </si>
  <si>
    <t>https://arizona.app.box.com/file/389257218042</t>
  </si>
  <si>
    <t>https://arizona.app.box.com/file/389154878474</t>
  </si>
  <si>
    <t>mariana islands training and testing final eis-oeis</t>
  </si>
  <si>
    <t>Final(05/22/2015)</t>
  </si>
  <si>
    <t>https://arizona.app.box.com/file/389169817360</t>
  </si>
  <si>
    <t>https://arizona.app.box.com/file/386239104072</t>
  </si>
  <si>
    <t>northwest training and testing</t>
  </si>
  <si>
    <t>Draft(01/24/2014);Draft Supplement(12/19/2014);Final(10/02/2015)</t>
  </si>
  <si>
    <t>WA Multi</t>
  </si>
  <si>
    <t>https://arizona.app.box.com/file/389259513909</t>
  </si>
  <si>
    <t>https://arizona.app.box.com/file/389160840200</t>
  </si>
  <si>
    <t>https://arizona.app.box.com/file/389268849475</t>
  </si>
  <si>
    <t>https://arizona.app.box.com/file/389172148402</t>
  </si>
  <si>
    <t>https://arizona.app.box.com/file/389164699818</t>
  </si>
  <si>
    <t>atlantic fleet training and testing</t>
  </si>
  <si>
    <t>Draft(06/30/2017);Final(08/30/2013);Final(09/14/2018)</t>
  </si>
  <si>
    <t>https://arizona.app.box.com/file/389176701749</t>
  </si>
  <si>
    <t>https://arizona.app.box.com/file/386233111918</t>
  </si>
  <si>
    <t>https://arizona.app.box.com/file/389173990119</t>
  </si>
  <si>
    <t>https://arizona.app.box.com/file/389264304374</t>
  </si>
  <si>
    <t>project599</t>
  </si>
  <si>
    <t>marine corps air ground combat center project land acquisition and airspace establishment to support large-scale magtf live-fire and maneuver training facility twentynine palms san bernardino county ca</t>
  </si>
  <si>
    <t>Draft(02/25/2011);Final(07/27/2012)</t>
  </si>
  <si>
    <t>https://arizona.app.box.com/file/389139142940</t>
  </si>
  <si>
    <t>marine corps air ground combat center project land acquisition and airspace establishment to support large-scale magtf live-fire and maneuver training facility san bernardino county ca</t>
  </si>
  <si>
    <t>Draft(02/25/2011)</t>
  </si>
  <si>
    <t>https://arizona.app.box.com/file/389162891410</t>
  </si>
  <si>
    <t>land acquisition and airspace establishment to support large-scale marine air ground task force live-fire training marine corps combat center twentynine palms</t>
  </si>
  <si>
    <t>Final Supplement(01/06/2017)</t>
  </si>
  <si>
    <t>https://arizona.app.box.com/file/389171918927</t>
  </si>
  <si>
    <t>land acquisition and airspace establishment to support large-scale marine air ground task force live-fire and maneuver training at marine corps air ground combat center</t>
  </si>
  <si>
    <t>Final(07/28/2017)</t>
  </si>
  <si>
    <t>https://arizona.app.box.com/file/389164810687</t>
  </si>
  <si>
    <t>u. s. army national training center implementation land acquisition fort irwin san bernardino county ca</t>
  </si>
  <si>
    <t>Draft(01/03/1997)</t>
  </si>
  <si>
    <t>https://arizona.app.box.com/file/386244650762</t>
  </si>
  <si>
    <t>project6</t>
  </si>
  <si>
    <t>75th street corridor improvement project</t>
  </si>
  <si>
    <t>Final(10/10/2014);Draft(03/28/2014)</t>
  </si>
  <si>
    <t>https://arizona.app.box.com/file/389263265511</t>
  </si>
  <si>
    <t>https://arizona.app.box.com/file/389152353219</t>
  </si>
  <si>
    <t>https://arizona.app.box.com/file/389267561267</t>
  </si>
  <si>
    <t>https://arizona.app.box.com/file/389164892937</t>
  </si>
  <si>
    <t>us 14/52 transportation corridor reconstruction between olmsted csah 14 (75th street nw) and th-63 (broadway) funding coe section 404 permit and npdes permit city of rochester olmsted county mn</t>
  </si>
  <si>
    <t>Draft(06/10/1994);Final(04/19/1996)</t>
  </si>
  <si>
    <t>state route 91 corridor improvement project widening sr 91 from sr 91/ state route 241 interchange in orange county to pierce street in riverside county orange and riverside counties ca</t>
  </si>
  <si>
    <t>https://arizona.app.box.com/file/386244972310</t>
  </si>
  <si>
    <t>project60</t>
  </si>
  <si>
    <t>aspinall unit operations - colorado river storage project modifying water flow operations implementation gunnison river gunnison montrose delta and mesa counties co</t>
  </si>
  <si>
    <t>Final(03/09/2012);Draft(02/20/2009)</t>
  </si>
  <si>
    <t>https://arizona.app.box.com/file/386239283229</t>
  </si>
  <si>
    <t>grand mesa uncompahgre and gunnison national forests land and resource management plan implementation delta garfield gunnison hinsdale mesa montrose ouray saguache san juan and san miguel counties co</t>
  </si>
  <si>
    <t>Second Final(05/14/1993)</t>
  </si>
  <si>
    <t>grand mesa uncompahgre and gunnison national forests land and resource management plan timber management amendment implementation delta garfield gunnison hinsdale mesa montrose ouray saguache san juan and san miguel counties co</t>
  </si>
  <si>
    <t>Draft Supplement(05/26/1989)</t>
  </si>
  <si>
    <t>project604</t>
  </si>
  <si>
    <t>mashpee wampanoag tribe fee to trust acquisition and casino project</t>
  </si>
  <si>
    <t>Final(09/05/2014);Draft(11/15/2013)</t>
  </si>
  <si>
    <t>Final(09/05/2014)</t>
  </si>
  <si>
    <t>https://arizona.app.box.com/file/389266557295</t>
  </si>
  <si>
    <t>https://arizona.app.box.com/file/389164081606</t>
  </si>
  <si>
    <t>mashpee wampanoag tribe fee-to-trust acquisition and casino project</t>
  </si>
  <si>
    <t>https://arizona.app.box.com/file/389264505617</t>
  </si>
  <si>
    <t>https://arizona.app.box.com/file/389162628217</t>
  </si>
  <si>
    <t>jamul indian village (tribe) 101 acre fee-to-trust transfer and casino project implementation san diego county ca</t>
  </si>
  <si>
    <t>Final(09/19/2003)</t>
  </si>
  <si>
    <t>project606</t>
  </si>
  <si>
    <t>mccoy solar energy project plan amendment riverside county ca</t>
  </si>
  <si>
    <t>Draft(05/25/2012);Final(12/21/2012)</t>
  </si>
  <si>
    <t>mccoy solar energy project proposed plan amendment riverside county ca</t>
  </si>
  <si>
    <t>https://arizona.app.box.com/file/389175639770</t>
  </si>
  <si>
    <t>https://arizona.app.box.com/file/386213231857</t>
  </si>
  <si>
    <t>mccoy wash watershed flood prevention plan implementation section 404 permit riverside county ca</t>
  </si>
  <si>
    <t>Final(06/21/1991);Draft(11/23/1990)</t>
  </si>
  <si>
    <t>soda mountain solar project proposed plan amendment</t>
  </si>
  <si>
    <t>Final(06/12/2015)</t>
  </si>
  <si>
    <t>https://arizona.app.box.com/file/389166526895</t>
  </si>
  <si>
    <t>https://arizona.app.box.com/file/386225755331</t>
  </si>
  <si>
    <t>project613</t>
  </si>
  <si>
    <t>merced wild and scenic river final comprehensive management plan</t>
  </si>
  <si>
    <t>Final(02/14/2014);Draft(01/18/2013)</t>
  </si>
  <si>
    <t>Final(02/14/2014)</t>
  </si>
  <si>
    <t>https://arizona.app.box.com/file/389262814790</t>
  </si>
  <si>
    <t>tuolumne wild and scenic river final comprehensive management plan</t>
  </si>
  <si>
    <t>https://arizona.app.box.com/file/389266100162</t>
  </si>
  <si>
    <t>merced wild and scenic river comprehensive management plan yosemite national park ca</t>
  </si>
  <si>
    <t>https://arizona.app.box.com/file/389153192048</t>
  </si>
  <si>
    <t>fossil creek wild and scenic river comprehensive river management plan</t>
  </si>
  <si>
    <t>Draft(11/30/2018)</t>
  </si>
  <si>
    <t>https://arizona.app.box.com/file/389178153893</t>
  </si>
  <si>
    <t>merced wild and scenic river comprehensive management plan implementation yosemite national park and the el portal administrative site several counties ca</t>
  </si>
  <si>
    <t>Draft(01/21/2000)</t>
  </si>
  <si>
    <t>https://arizona.app.box.com/file/386214203962</t>
  </si>
  <si>
    <t>project614</t>
  </si>
  <si>
    <t>mid county parkway</t>
  </si>
  <si>
    <t>Final(04/24/2015);Draft(10/17/2008)</t>
  </si>
  <si>
    <t>mid county parkway a new freeway from the city of perris to the city of san jacinto riverside county ca</t>
  </si>
  <si>
    <t>Draft Supplement(01/25/2013)</t>
  </si>
  <si>
    <t>https://arizona.app.box.com/file/389169073156</t>
  </si>
  <si>
    <t>mid county parkway project construct a new parkway between interstate 15 (i-15) in the west and state route 79 (sr-79) in the east funding and us army coe section 404 permit riverside county ca</t>
  </si>
  <si>
    <t>Draft(10/17/2008)</t>
  </si>
  <si>
    <t>https://arizona.app.box.com/file/386244211985</t>
  </si>
  <si>
    <t>mid-coast corridor mass transit improvement project funding san diego county ca</t>
  </si>
  <si>
    <t>Draft(03/10/1995)</t>
  </si>
  <si>
    <t>sonoran valley parkway project</t>
  </si>
  <si>
    <t>Draft(07/19/2013)</t>
  </si>
  <si>
    <t>https://arizona.app.box.com/file/389268100242</t>
  </si>
  <si>
    <t>https://arizona.app.box.com/file/389153863520</t>
  </si>
  <si>
    <t>project617</t>
  </si>
  <si>
    <t>middle fork weiser river landscape restoration project</t>
  </si>
  <si>
    <t>Draft(02/19/2016);Final(05/19/2017)</t>
  </si>
  <si>
    <t>middle fork weiser river watershed project implementation of vegetation restoration landscape fire pattern and watershed restoration objectives payette national forest council ranger district adams county id</t>
  </si>
  <si>
    <t>Final(08/31/2001);Draft(03/17/2000)</t>
  </si>
  <si>
    <t>https://arizona.app.box.com/file/386244834701</t>
  </si>
  <si>
    <t>https://arizona.app.box.com/file/386243740012</t>
  </si>
  <si>
    <t>middle fork american river project</t>
  </si>
  <si>
    <t>Final(03/01/2013)</t>
  </si>
  <si>
    <t>https://arizona.app.box.com/file/389256022266</t>
  </si>
  <si>
    <t>little weiser landscape vegetation management project implementation council ranger district payette national forest adams county id</t>
  </si>
  <si>
    <t>Final(01/11/2002);Draft(04/06/2001)</t>
  </si>
  <si>
    <t>https://arizona.app.box.com/file/386231907721</t>
  </si>
  <si>
    <t>https://arizona.app.box.com/file/386250755698</t>
  </si>
  <si>
    <t>project619</t>
  </si>
  <si>
    <t>miles city field office resource management plan</t>
  </si>
  <si>
    <t>Final(05/29/2015);Draft(03/08/2013)</t>
  </si>
  <si>
    <t>miles city resource management plan</t>
  </si>
  <si>
    <t>Draft(03/08/2013)</t>
  </si>
  <si>
    <t>https://arizona.app.box.com/file/389264154696</t>
  </si>
  <si>
    <t>https://arizona.app.box.com/file/389164382901</t>
  </si>
  <si>
    <t>project621</t>
  </si>
  <si>
    <t>military readiness activities at naval weapons systems training facility boardman, or</t>
  </si>
  <si>
    <t>Final(12/18/2015);Draft(09/07/2012)</t>
  </si>
  <si>
    <t>Final(12/18/2015)</t>
  </si>
  <si>
    <t>https://arizona.app.box.com/file/389168610405</t>
  </si>
  <si>
    <t>https://arizona.app.box.com/file/386211665274</t>
  </si>
  <si>
    <t>naval weapons systems training facility boardman military readiness activities or</t>
  </si>
  <si>
    <t>https://arizona.app.box.com/file/389152764819</t>
  </si>
  <si>
    <t>adoption - military readiness activities at naval weapons system training facility boardman</t>
  </si>
  <si>
    <t>https://arizona.app.box.com/file/389175885920</t>
  </si>
  <si>
    <t>military readiness activities at fallon range training complex</t>
  </si>
  <si>
    <t>Final(12/04/2015);Draft(01/23/2015)</t>
  </si>
  <si>
    <t>https://arizona.app.box.com/file/389264963906</t>
  </si>
  <si>
    <t>https://arizona.app.box.com/file/389154297895</t>
  </si>
  <si>
    <t>https://arizona.app.box.com/file/389169789396</t>
  </si>
  <si>
    <t>https://arizona.app.box.com/file/386214029321</t>
  </si>
  <si>
    <t>programmatic - training mission and mission support activities at fort campbell</t>
  </si>
  <si>
    <t>https://arizona.app.box.com/file/389262506781</t>
  </si>
  <si>
    <t>https://arizona.app.box.com/file/389164914801</t>
  </si>
  <si>
    <t>project622</t>
  </si>
  <si>
    <t>mill creek - council mountain landscape restoration project proposed landscape restoration treatment activities on 51 975 acres council ranger district payette national forest adams county id</t>
  </si>
  <si>
    <t>Final(04/06/2012);Draft(10/28/2011)</t>
  </si>
  <si>
    <t>https://arizona.app.box.com/file/389137629892</t>
  </si>
  <si>
    <t>https://arizona.app.box.com/file/389151366690</t>
  </si>
  <si>
    <t>deep creek and copper creek timber sale and road construction implementation council ranger district payette national forest adams county id</t>
  </si>
  <si>
    <t>Final(11/01/1991);Draft(06/21/1991)</t>
  </si>
  <si>
    <t>upper bear timber sale project fuel reduction forest vegetation and roads management implementation payette national forest council ranger district adams county id</t>
  </si>
  <si>
    <t>Draft(01/24/2003);Final(07/18/2003)</t>
  </si>
  <si>
    <t>https://arizona.app.box.com/file/389162169164</t>
  </si>
  <si>
    <t>project623</t>
  </si>
  <si>
    <t>mill creek allotment management plans project reauthorization of grazing permit on five grazing allotments lookout mountain ranger district ochoco national forest crook county or</t>
  </si>
  <si>
    <t>Final(10/22/2010);Draft(06/18/2010)</t>
  </si>
  <si>
    <t>https://arizona.app.box.com/file/389164756385</t>
  </si>
  <si>
    <t>https://arizona.app.box.com/file/389162648964</t>
  </si>
  <si>
    <t>big summit allotment management plan proposes to reauthorize cattle term grazing permits construct range improvements and restore riparian vegetation on five allotments lookout mountain ranger district ochoco national forest crook county or</t>
  </si>
  <si>
    <t>Final(10/02/2009);Draft(07/17/2009)</t>
  </si>
  <si>
    <t>https://arizona.app.box.com/file/389137776208</t>
  </si>
  <si>
    <t>https://arizona.app.box.com/file/389161632359</t>
  </si>
  <si>
    <t>marks creek allotment management plans proposes to reauthorize cattle term grazing permits construct range improvements and restore riparian vegetation on three allotments lookout mountain ranger district ochoco national forest crook county or</t>
  </si>
  <si>
    <t>Draft(07/22/2011);Final(11/18/2011)</t>
  </si>
  <si>
    <t>https://arizona.app.box.com/file/389165026334</t>
  </si>
  <si>
    <t>https://arizona.app.box.com/file/389162434786</t>
  </si>
  <si>
    <t>mill creek watershed timber sale project implementation ochoco national forest crook county or</t>
  </si>
  <si>
    <t>Final(10/01/1999)</t>
  </si>
  <si>
    <t>project625</t>
  </si>
  <si>
    <t>minidoka dam spillway replacement project to prevent structural failure of the minidoka dam spillway and canal headworks lake walcott minidoka county id</t>
  </si>
  <si>
    <t>Final(08/20/2010);Draft(12/18/2009)</t>
  </si>
  <si>
    <t>https://arizona.app.box.com/file/386230251934</t>
  </si>
  <si>
    <t>https://arizona.app.box.com/file/386243452297</t>
  </si>
  <si>
    <t>minidoka internment national monument (former minidoka relocation center) general management plan implementation jerome county id</t>
  </si>
  <si>
    <t>Final(07/28/2006);Draft(07/01/2005)</t>
  </si>
  <si>
    <t>https://arizona.app.box.com/file/386259978866</t>
  </si>
  <si>
    <t>https://arizona.app.box.com/file/386242409796</t>
  </si>
  <si>
    <t>folsom dam modification project approach channel providing new or additional information on the design and means to construct the auxiliary spillway approach channel placer and el dorado counties ca</t>
  </si>
  <si>
    <t>Draft Supplement(07/20/2012);Final Supplement(12/31/2012)</t>
  </si>
  <si>
    <t>https://arizona.app.box.com/file/386251676261</t>
  </si>
  <si>
    <t>https://arizona.app.box.com/file/389262307335</t>
  </si>
  <si>
    <t>upper tennessee river navigation improvement project rehabilitation and/or construction chickamauga dam - navigation lock structural improvement alternative funding npdes permit coast guard bridge permit and coe section 404 permits tennessee river</t>
  </si>
  <si>
    <t>Final(04/05/1996);Draft(05/19/1995)</t>
  </si>
  <si>
    <t>project626</t>
  </si>
  <si>
    <t>interstate 70 corridor improvements kansas city to st. louis funding us army coe section 404 and 10 and u.s. coast guard section 9 permits issuance several counties mo</t>
  </si>
  <si>
    <t>Final(11/09/2001)</t>
  </si>
  <si>
    <t>project627</t>
  </si>
  <si>
    <t>moab master leasing plan and resource management plan amendments</t>
  </si>
  <si>
    <t>Draft(08/21/2015);Final(07/22/2016)</t>
  </si>
  <si>
    <t>moab master leasing plan and proposed resource management plan amendments</t>
  </si>
  <si>
    <t>https://arizona.app.box.com/file/389170908051</t>
  </si>
  <si>
    <t>https://arizona.app.box.com/file/386225853497</t>
  </si>
  <si>
    <t>moab master leasing plan and draft resource management plan amendments</t>
  </si>
  <si>
    <t>https://arizona.app.box.com/file/389168589878</t>
  </si>
  <si>
    <t>https://arizona.app.box.com/file/386237239374</t>
  </si>
  <si>
    <t>moab field office planning area resource management plan implementation grand and san juan counties ut</t>
  </si>
  <si>
    <t>Final(08/01/2008);Draft(08/24/2007)</t>
  </si>
  <si>
    <t>https://arizona.app.box.com/file/386244830102</t>
  </si>
  <si>
    <t>https://arizona.app.box.com/file/386217114853</t>
  </si>
  <si>
    <t>west bend vegetation management project and forest plan amendments</t>
  </si>
  <si>
    <t>Draft(04/19/2013)</t>
  </si>
  <si>
    <t>https://arizona.app.box.com/file/389260397929</t>
  </si>
  <si>
    <t>https://arizona.app.box.com/file/389162616490</t>
  </si>
  <si>
    <t>sunzia southwest transmission project proposed resource management plan amendments</t>
  </si>
  <si>
    <t>Final(06/14/2013)</t>
  </si>
  <si>
    <t>https://arizona.app.box.com/file/389262786359</t>
  </si>
  <si>
    <t>https://arizona.app.box.com/file/389171864750</t>
  </si>
  <si>
    <t>project629</t>
  </si>
  <si>
    <t>modernization and expansion of townsend bombing range</t>
  </si>
  <si>
    <t>Final(03/22/2013);Draft(07/13/2012)</t>
  </si>
  <si>
    <t>proposed modernization and expansion of townsend bombing range</t>
  </si>
  <si>
    <t>Final(03/22/2013)</t>
  </si>
  <si>
    <t>https://arizona.app.box.com/file/389161576261</t>
  </si>
  <si>
    <t>proposed modernization and expansion of townsend bombing range acquiring additional property and constructing infrastructure to allow the use of precision-guided munitions mcintosh and long counties ga</t>
  </si>
  <si>
    <t>https://arizona.app.box.com/file/389257151248</t>
  </si>
  <si>
    <t>https://arizona.app.box.com/file/389167788920</t>
  </si>
  <si>
    <t>townsend project</t>
  </si>
  <si>
    <t>Final(04/13/2018)</t>
  </si>
  <si>
    <t>https://arizona.app.box.com/file/389177591068</t>
  </si>
  <si>
    <t>https://arizona.app.box.com/file/386238020447</t>
  </si>
  <si>
    <t>fallon range training complex modernization</t>
  </si>
  <si>
    <t>https://arizona.app.box.com/file/389176297125</t>
  </si>
  <si>
    <t>project63</t>
  </si>
  <si>
    <t>Draft(05/11/2012);Final(08/30/2013)</t>
  </si>
  <si>
    <t>project630</t>
  </si>
  <si>
    <t>modified blythe solar power project amendment to right-of-way grant caca 048811</t>
  </si>
  <si>
    <t>Final(05/30/2014);Draft(02/07/2014)</t>
  </si>
  <si>
    <t>modified blythe solar power project proposed amendment to right-of-way grant caca 048811</t>
  </si>
  <si>
    <t>Final(05/30/2014)</t>
  </si>
  <si>
    <t>https://arizona.app.box.com/file/389264213731</t>
  </si>
  <si>
    <t>https://arizona.app.box.com/file/389153054861</t>
  </si>
  <si>
    <t>modified blythe solar power project</t>
  </si>
  <si>
    <t>https://arizona.app.box.com/file/389264448169</t>
  </si>
  <si>
    <t>https://arizona.app.box.com/file/389166908255</t>
  </si>
  <si>
    <t>ridgecrest solar power project construction and operation a concentrated solar powered electric generating facility application for a right-of-way grant california desert conservation area plan amendment kern county ca</t>
  </si>
  <si>
    <t>Draft(04/09/2010)</t>
  </si>
  <si>
    <t>https://arizona.app.box.com/file/386217393326</t>
  </si>
  <si>
    <t>project631</t>
  </si>
  <si>
    <t>moffat collection system project</t>
  </si>
  <si>
    <t>Draft(10/30/2009);Final(04/25/2014)</t>
  </si>
  <si>
    <t>https://arizona.app.box.com/file/389263686778</t>
  </si>
  <si>
    <t>https://arizona.app.box.com/file/389266978683</t>
  </si>
  <si>
    <t>https://arizona.app.box.com/file/389153227029</t>
  </si>
  <si>
    <t>moffat collection system project to provide high quality dependable and safe drinking water to over 1.1 million customers in the city and county of denver application for an section 404 permit city and county denver adams boulder jefferson and grand counties co</t>
  </si>
  <si>
    <t>https://arizona.app.box.com/file/386243239041</t>
  </si>
  <si>
    <t>furnace creek water collection system reconstruction death valley national park implementation inyo county ca</t>
  </si>
  <si>
    <t>Final(07/14/2006);Draft(10/14/2005)</t>
  </si>
  <si>
    <t>https://arizona.app.box.com/file/386214329969</t>
  </si>
  <si>
    <t>https://arizona.app.box.com/file/386242055435</t>
  </si>
  <si>
    <t>programmatic - la grange county sewer district sanitary sewer collection system and a wastewater treatment system construction and operation mi and in</t>
  </si>
  <si>
    <t>Final(06/21/1996);Draft(02/16/1996)</t>
  </si>
  <si>
    <t>metropolitan denver water supply project two forks dam and reservoir and williams fork gravity collection system construction 404 permit and approvals douglas jefferson and grand counties co</t>
  </si>
  <si>
    <t>Draft(01/16/1987);Final(03/25/1988)</t>
  </si>
  <si>
    <t>project632</t>
  </si>
  <si>
    <t>Draft(04/27/2012);Final(05/17/2013)</t>
  </si>
  <si>
    <t>mohave county wind farm project application for a right-of-way grant to construct operate maintain and decommission a wind powered electrical generation facility white hills mohave county az</t>
  </si>
  <si>
    <t>https://arizona.app.box.com/file/386239998591</t>
  </si>
  <si>
    <t>project633</t>
  </si>
  <si>
    <t>mona to oquirrh transmission corridor project and draft pony express resource management plan amendment construction operation maintenance and decommissioning a double-circuit 500/345 kilovolt (kv) transmission line right-of-way grant rocky mountain power juab salt lake tooele and utah counties ut</t>
  </si>
  <si>
    <t>Final(04/26/2010);Draft(05/15/2009)</t>
  </si>
  <si>
    <t>https://arizona.app.box.com/file/386256148963</t>
  </si>
  <si>
    <t>https://arizona.app.box.com/file/386239738060</t>
  </si>
  <si>
    <t>withdrawn - mona to oquirrh transmission corridor project construction operation maintenance and decommissioning a double-circuit 500/345 kilovolt (kv) transmission line right-of-way grant rocky mountain power juab salt lake tooele and utah counties ut</t>
  </si>
  <si>
    <t>Draft(04/10/2009)</t>
  </si>
  <si>
    <t>pony express resource management plan implementation salt lake district utah tooele and salt lake counties ut</t>
  </si>
  <si>
    <t>Final(09/30/1988);Draft(05/13/1988)</t>
  </si>
  <si>
    <t>adoption - alturas 345 kilovolt (kv) electric power transmission line project construction operation and maintenance right-of-way grant approval special-use-permit and coe section 404 permit susanville district modoc lassen and sierra counties ca</t>
  </si>
  <si>
    <t>Final(02/02/1996)</t>
  </si>
  <si>
    <t>alturas 345 kilovolt (kv) electric power transmission line project construction operation and maintenance right-of-way grant approval special-use-permit and coe section 404 permit susanville district modoc lassen and sierra counties ca and washoe</t>
  </si>
  <si>
    <t>Final(12/15/1995);Draft(03/10/1995)</t>
  </si>
  <si>
    <t>project64</t>
  </si>
  <si>
    <t>atlantic sea scallop fishery management plan amendment 15 implementation of the annual catch limits (acls) and accountability measures (ams) to prevent overfishing gulf of maine georges bank</t>
  </si>
  <si>
    <t>Draft(07/09/2010);Final(04/01/2011)</t>
  </si>
  <si>
    <t>Final(04/01/2011)</t>
  </si>
  <si>
    <t>https://arizona.app.box.com/file/386214269712</t>
  </si>
  <si>
    <t>atlantic sea scallop fishery managament plan amendment 15 implementation of the annual catch limits (acls) and accountability measures (ams) to prevent overfishing gulf of maine georges bank</t>
  </si>
  <si>
    <t>Draft(07/09/2010)</t>
  </si>
  <si>
    <t>https://arizona.app.box.com/file/386263418257</t>
  </si>
  <si>
    <t>atlantic sea scallop fishery management plan (fmp) amendment 11 implementation to control capacity and mortality in the general category scallop fishery gulf of maine georges bank nc</t>
  </si>
  <si>
    <t>Final Supplement(10/26/2007);DD(04/27/2007)</t>
  </si>
  <si>
    <t>https://arizona.app.box.com/file/386246153181</t>
  </si>
  <si>
    <t>https://arizona.app.box.com/file/386214384807</t>
  </si>
  <si>
    <t>project640</t>
  </si>
  <si>
    <t>montana snowbowl expansion</t>
  </si>
  <si>
    <t>Final(12/13/2013);Draft(03/11/2011)</t>
  </si>
  <si>
    <t>https://arizona.app.box.com/file/389163754578</t>
  </si>
  <si>
    <t>montana snowbowl expansion project proposed expansion is to increase outdoor recreation opportunities missoula ranger district lolo national forest missoula county mt</t>
  </si>
  <si>
    <t>Draft(03/11/2011)</t>
  </si>
  <si>
    <t>https://arizona.app.box.com/file/389133410157</t>
  </si>
  <si>
    <t>arizona snowbowl facilities improvements proposal to provide a consistent/reliable operating season coconino national forest coconino county az</t>
  </si>
  <si>
    <t>Final(03/18/2005);Draft(02/13/2004)</t>
  </si>
  <si>
    <t>https://arizona.app.box.com/file/386266892522</t>
  </si>
  <si>
    <t>https://arizona.app.box.com/file/389150595890</t>
  </si>
  <si>
    <t>idaho and southwestern montana greater sage-grouse draft land use plan</t>
  </si>
  <si>
    <t>Draft(11/01/2013)</t>
  </si>
  <si>
    <t>https://arizona.app.box.com/file/389264755106</t>
  </si>
  <si>
    <t>https://arizona.app.box.com/file/389166508484</t>
  </si>
  <si>
    <t>project641</t>
  </si>
  <si>
    <t>montanore project</t>
  </si>
  <si>
    <t>Final(12/18/2015);Draft(02/27/2009)</t>
  </si>
  <si>
    <t>https://arizona.app.box.com/file/389172468412</t>
  </si>
  <si>
    <t>https://arizona.app.box.com/file/386237389835</t>
  </si>
  <si>
    <t>montanore mine/mill project construction and operation permit approval section 404 permit special use permit kootenai national forest lincoln and sanders counties mt</t>
  </si>
  <si>
    <t>Final(10/16/1992);Draft(10/12/1990)</t>
  </si>
  <si>
    <t>montanore mine/mill project construction and operation additional information and modifications permit approval section 404 permit special use permit kootenai national forest lincoln and sanders counties mt</t>
  </si>
  <si>
    <t>Draft Supplement(11/08/1991)</t>
  </si>
  <si>
    <t>montanore project proposes to construct a copper and silver underground mine and associated facilities including a new transmission line plan-of-operation permit kootenai national forest sanders county mt</t>
  </si>
  <si>
    <t>Draft(02/27/2009)</t>
  </si>
  <si>
    <t>https://arizona.app.box.com/file/389162875132</t>
  </si>
  <si>
    <t>montanore project additional information on alternatives proposes to construct a copper and silver underground mine and associated facilities including a new transmission line plan-of-operation permit kootenai national forest sanders county mt</t>
  </si>
  <si>
    <t>Draft Supplement(10/07/2011)</t>
  </si>
  <si>
    <t>https://arizona.app.box.com/file/389133680857</t>
  </si>
  <si>
    <t>project643</t>
  </si>
  <si>
    <t>Draft(12/11/2009);Final(08/19/2010)</t>
  </si>
  <si>
    <t>generic - in-situ leach uranium milling facilities (nureg-1910) construction operation aquifer restoration and decommissioning potentially location in portions of wy ne sd and nm</t>
  </si>
  <si>
    <t>Draft(07/25/2008);Final(06/05/2009)</t>
  </si>
  <si>
    <t>https://arizona.app.box.com/file/386247082208</t>
  </si>
  <si>
    <t>https://arizona.app.box.com/file/386247420610</t>
  </si>
  <si>
    <t>project644</t>
  </si>
  <si>
    <t>moose-wilson corridor final comprehensive management plan</t>
  </si>
  <si>
    <t>Final(09/09/2016);Draft(10/30/2015)</t>
  </si>
  <si>
    <t>Final(09/09/2016)</t>
  </si>
  <si>
    <t>https://arizona.app.box.com/file/389175745274</t>
  </si>
  <si>
    <t>gateway national recreation area final general management plan</t>
  </si>
  <si>
    <t>https://arizona.app.box.com/file/389267469582</t>
  </si>
  <si>
    <t>project648</t>
  </si>
  <si>
    <t>https://arizona.app.box.com/file/389137341462</t>
  </si>
  <si>
    <t>https://arizona.app.box.com/file/389137774140</t>
  </si>
  <si>
    <t>humboldt national forest land and resource management plan implementation elko humboldt nye lincoln and white pine nv</t>
  </si>
  <si>
    <t>Final Supplement(08/17/1990)</t>
  </si>
  <si>
    <t>https://arizona.app.box.com/file/389151851695</t>
  </si>
  <si>
    <t>jarbidge ranger district rangeland management project proposed reauthorizing grazing on 21 existing grazing allotments humboldt toiyabe national forest elko county nv</t>
  </si>
  <si>
    <t>Draft(07/10/2009);Final(12/24/2009)</t>
  </si>
  <si>
    <t>https://arizona.app.box.com/file/389152615380</t>
  </si>
  <si>
    <t>https://arizona.app.box.com/file/389164123128</t>
  </si>
  <si>
    <t>humboldt national forest land and resource management plan amendment additional information elko humboldt lincoln nye and white pine counties nv</t>
  </si>
  <si>
    <t>Draft Supplement(05/18/1990)</t>
  </si>
  <si>
    <t>project651</t>
  </si>
  <si>
    <t>mountaineer xpress and gulf xpress projects</t>
  </si>
  <si>
    <t>Final(08/04/2017);Draft(02/27/2017)</t>
  </si>
  <si>
    <t>mountaineer and gulf xpress projects</t>
  </si>
  <si>
    <t>Draft(03/10/2017)</t>
  </si>
  <si>
    <t>https://arizona.app.box.com/file/389164459922</t>
  </si>
  <si>
    <t>https://arizona.app.box.com/file/386226908586</t>
  </si>
  <si>
    <t>https://arizona.app.box.com/file/389176812440</t>
  </si>
  <si>
    <t>https://arizona.app.box.com/file/386224227135</t>
  </si>
  <si>
    <t>mountaineer commercial scale carbon capture and storage project construction and operation new haven mason county wv</t>
  </si>
  <si>
    <t>merced river and merced falls hydroelectric projects</t>
  </si>
  <si>
    <t>https://arizona.app.box.com/file/389168051124</t>
  </si>
  <si>
    <t>https://arizona.app.box.com/file/386225652153</t>
  </si>
  <si>
    <t>project653</t>
  </si>
  <si>
    <t>mt. baker-snoqualmie national forest invasive plant treatment</t>
  </si>
  <si>
    <t>Draft(10/03/2014);Final(04/10/2015)</t>
  </si>
  <si>
    <t>https://arizona.app.box.com/file/389267370261</t>
  </si>
  <si>
    <t>malheur national forest site-specific invasive plants treatment</t>
  </si>
  <si>
    <t>https://arizona.app.box.com/file/389153457316</t>
  </si>
  <si>
    <t>https://arizona.app.box.com/file/386214388398</t>
  </si>
  <si>
    <t>project661</t>
  </si>
  <si>
    <t>mystic range project area propose to reauthorize grazing of domestic livestock on eight allotments black hills national forest pennington and custer counties sd</t>
  </si>
  <si>
    <t>Final(10/22/2010);Draft(04/09/2010)</t>
  </si>
  <si>
    <t>https://arizona.app.box.com/file/389137408595</t>
  </si>
  <si>
    <t>https://arizona.app.box.com/file/389137339192</t>
  </si>
  <si>
    <t>upper spring creek project proposes to implementation multiple resource management actions mystic ranger district black hills national forest pennington and custer counties sd</t>
  </si>
  <si>
    <t>Final(05/23/2008)</t>
  </si>
  <si>
    <t>north zone range 05 project reauthorizing livestock grazing on eight existing allotments black hill national forest bearlodge and northern hills ranger districts crook county wy and lawrence county sd</t>
  </si>
  <si>
    <t>Draft(07/07/2006);Final(10/20/2006)</t>
  </si>
  <si>
    <t>WY nan</t>
  </si>
  <si>
    <t>https://arizona.app.box.com/file/389160124125</t>
  </si>
  <si>
    <t>https://arizona.app.box.com/file/389151186031</t>
  </si>
  <si>
    <t>calumet project area multiple resource management actions black hills national forest mystic ranger district pennington county sd</t>
  </si>
  <si>
    <t>mitchell project area to implement multiple resource management actions mystic ranger district black hills national forest pennington county sd</t>
  </si>
  <si>
    <t>Final(06/29/2007);Draft(03/09/2007)</t>
  </si>
  <si>
    <t>https://arizona.app.box.com/file/389165474545</t>
  </si>
  <si>
    <t>https://arizona.app.box.com/file/389140628277</t>
  </si>
  <si>
    <t>project668</t>
  </si>
  <si>
    <t>nationwide aerial application of fire retardant project proposing to continue the aerial application of fire on national forest system lands implementation</t>
  </si>
  <si>
    <t>Final(10/28/2011);Draft(05/13/2011)</t>
  </si>
  <si>
    <t>https://arizona.app.box.com/file/389137599132</t>
  </si>
  <si>
    <t>https://arizona.app.box.com/file/389163654460</t>
  </si>
  <si>
    <t>bitterroot national forest noxious weed treatment project ground and aerial herbicides application mechanical biological and cultural weed treatment and public awareness measures implementation stevensville ranger district bitterroot national forest ravalli county mt</t>
  </si>
  <si>
    <t>https://arizona.app.box.com/file/389138066774</t>
  </si>
  <si>
    <t>legislative - renewal of the chocolate mountain aerial gunnery range land withdrawal</t>
  </si>
  <si>
    <t>Final(01/24/2014)</t>
  </si>
  <si>
    <t>https://arizona.app.box.com/file/389264411359</t>
  </si>
  <si>
    <t>https://arizona.app.box.com/file/389164822146</t>
  </si>
  <si>
    <t>bitterroot national forest noxious weed treatment project ground and aerial herbicides application mechanical biological and cultural weed treatments and public awareness measures implementation stevensville ranger district bitterroot national forest ravalli county mt</t>
  </si>
  <si>
    <t>Draft(03/15/2002)</t>
  </si>
  <si>
    <t>https://arizona.app.box.com/file/389150730739</t>
  </si>
  <si>
    <t>programmatic - army growth and force structure realignment implementation nationwide</t>
  </si>
  <si>
    <t>Final(10/26/2007);Draft(08/24/2007)</t>
  </si>
  <si>
    <t>https://arizona.app.box.com/file/386246917610</t>
  </si>
  <si>
    <t>https://arizona.app.box.com/file/386263804215</t>
  </si>
  <si>
    <t>project670</t>
  </si>
  <si>
    <t>natural resource plan to determine how tva will manage it natural resource over the next 20 year implementation al ga ky ms nc tn and va</t>
  </si>
  <si>
    <t>Draft(04/01/2011);Final(07/15/2011)</t>
  </si>
  <si>
    <t>https://arizona.app.box.com/file/386243107731</t>
  </si>
  <si>
    <t>https://arizona.app.box.com/file/386250975900</t>
  </si>
  <si>
    <t>tennessee river reservoir system improvement operation funding tn va ga ky nc al and ms</t>
  </si>
  <si>
    <t>Draft(02/02/1990);Final(01/04/1991)</t>
  </si>
  <si>
    <t>appalachian mountains national forests vegetation management plan implementation al ga ky nc sc tn va and wv</t>
  </si>
  <si>
    <t>Draft(12/09/1988);Final(08/11/1989)</t>
  </si>
  <si>
    <t>programmatic - energy vision 2020 integrated resource plan implementation of long-term plan and short-term action tn al ky ga ms nc and va</t>
  </si>
  <si>
    <t>Final(12/29/1995);Draft(08/04/1995)</t>
  </si>
  <si>
    <t>project672</t>
  </si>
  <si>
    <t>naval air station key west airfield operations</t>
  </si>
  <si>
    <t>Final(08/02/2013);Draft(06/29/2012)</t>
  </si>
  <si>
    <t>https://arizona.app.box.com/file/389268191844</t>
  </si>
  <si>
    <t>https://arizona.app.box.com/file/389162326042</t>
  </si>
  <si>
    <t>naval air station key west airfield operations to support and conduct aircraft training operations florida keys monroe county fl</t>
  </si>
  <si>
    <t>https://arizona.app.box.com/file/389263746539</t>
  </si>
  <si>
    <t>https://arizona.app.box.com/file/389168822546</t>
  </si>
  <si>
    <t>ea-18g "growler" airfield operations at naval air station whidbey island complex, wa</t>
  </si>
  <si>
    <t>Final(09/28/2018)</t>
  </si>
  <si>
    <t>boca chica field restoration of clear zones and stormwater drainage systems implementation naval air station (nas) key west monroe county fl</t>
  </si>
  <si>
    <t>Final(08/03/2007);Draft(11/09/2006)</t>
  </si>
  <si>
    <t>https://arizona.app.box.com/file/389162664454</t>
  </si>
  <si>
    <t>https://arizona.app.box.com/file/389152731104</t>
  </si>
  <si>
    <t>project673</t>
  </si>
  <si>
    <t>philadelphia naval base disposal and reuse implementation philadelphia pa</t>
  </si>
  <si>
    <t>Final(06/21/1996);Draft(01/19/1996)</t>
  </si>
  <si>
    <t>coronado national memorial general management plan implementation cochise county az</t>
  </si>
  <si>
    <t>Draft(08/15/2003);Final(04/16/2004)</t>
  </si>
  <si>
    <t>AZ AK</t>
  </si>
  <si>
    <t>https://arizona.app.box.com/file/386239635537</t>
  </si>
  <si>
    <t>silver strand training complex (sstc) project proposed naval training activities cities of coronado and imperial beach san diego county ca</t>
  </si>
  <si>
    <t>Final(01/14/2011);Draft(01/22/2010)</t>
  </si>
  <si>
    <t>https://arizona.app.box.com/file/389171136181</t>
  </si>
  <si>
    <t>https://arizona.app.box.com/file/389164385929</t>
  </si>
  <si>
    <t>project676</t>
  </si>
  <si>
    <t>nc-24 transportation improvements from west of i-95 to i-40 funding us army coe 4040 permit cumberland sampson and duplin counties nc</t>
  </si>
  <si>
    <t>Final(04/26/2010);Draft(07/21/2006)</t>
  </si>
  <si>
    <t>https://arizona.app.box.com/file/386247675742</t>
  </si>
  <si>
    <t>https://arizona.app.box.com/file/386241493939</t>
  </si>
  <si>
    <t>nc-24 transportation improvements project construction from 2.8 miles east of i-25 to i-40 funding and coe section 404 permit cumberland sampson and duplin counties nc</t>
  </si>
  <si>
    <t>Draft(07/29/1994)</t>
  </si>
  <si>
    <t>us 117 construction mt. olive bypass to i-40 near faison funding and 404 permit wayne duplin and sampson counties nc</t>
  </si>
  <si>
    <t>Final(07/08/1988);Draft(02/06/1987)</t>
  </si>
  <si>
    <t>us 70 improvements project i-40 to the intersection of us 70 and us 70 business funding and coe section 404 permit wake and johnston counties nc</t>
  </si>
  <si>
    <t>Draft(10/07/1994);Final(07/24/1998)</t>
  </si>
  <si>
    <t>us 127/tn 28 improvements from 1-40 at crossville to tn 62 at clarkrange funding us army coe section 10 and 404 permits cumberland and fentress counties tn</t>
  </si>
  <si>
    <t>Final(04/26/2010);Draft(10/12/2007)</t>
  </si>
  <si>
    <t>https://arizona.app.box.com/file/386214166056</t>
  </si>
  <si>
    <t>https://arizona.app.box.com/file/386218138439</t>
  </si>
  <si>
    <t>project682</t>
  </si>
  <si>
    <t>jonah infill drilling project propose to expand development of natural gas drilling sublette county wy</t>
  </si>
  <si>
    <t>Final(01/13/2006);Draft(02/11/2005)</t>
  </si>
  <si>
    <t>https://arizona.app.box.com/file/386240324316</t>
  </si>
  <si>
    <t>https://arizona.app.box.com/file/386240534803</t>
  </si>
  <si>
    <t>islander east pipeline project interstate natural gas pipeline facilities construction and operation to provide 285 000 dekatherms per day (dth/d) of natural gas to energy markets in connecticut long island and new york city new haven county ct and suffolk county ny</t>
  </si>
  <si>
    <t>Final(08/30/2002);Draft(04/05/2002)</t>
  </si>
  <si>
    <t>CT</t>
  </si>
  <si>
    <t>https://arizona.app.box.com/file/386242413185</t>
  </si>
  <si>
    <t>https://arizona.app.box.com/file/386241340889</t>
  </si>
  <si>
    <t>project685</t>
  </si>
  <si>
    <t>new river gorge national river project general management plan implementation fayette raleigh and summers counties wv</t>
  </si>
  <si>
    <t>Draft(01/29/2010);Final(10/07/2011)</t>
  </si>
  <si>
    <t>https://arizona.app.box.com/file/386264042831</t>
  </si>
  <si>
    <t>https://arizona.app.box.com/file/386245962464</t>
  </si>
  <si>
    <t>new river parkway project design construction and management between i-64 interchanges to hinton raleigh and summers counties wv</t>
  </si>
  <si>
    <t>Draft(04/03/1998)</t>
  </si>
  <si>
    <t>new river parkway project new and relevant information design construction and management between i-64 interchanges to hinton raleigh and summers counties wv</t>
  </si>
  <si>
    <t>Draft Supplement(03/29/2002);Final(08/01/2003)</t>
  </si>
  <si>
    <t>https://arizona.app.box.com/file/386214862669</t>
  </si>
  <si>
    <t>https://arizona.app.box.com/file/386241323358</t>
  </si>
  <si>
    <t>gauley river national recreation area implementation general management plan and land protection plan nicholas and fayette counties wv</t>
  </si>
  <si>
    <t>Draft(06/10/1994);Final(03/28/1997)</t>
  </si>
  <si>
    <t>withdrawn - new river parkway construction from intersection raleigh co. 26 and wv 20 near hinton north to i-64 funding section 404 permit and possible npdes permit raleigh and summers counties wv</t>
  </si>
  <si>
    <t>Draft(09/20/1991)</t>
  </si>
  <si>
    <t>project687</t>
  </si>
  <si>
    <t>new york gateway connections improvement project to the us peace bridge plaza</t>
  </si>
  <si>
    <t>Final(06/03/2014);Draft(11/29/2013)</t>
  </si>
  <si>
    <t>https://arizona.app.box.com/file/389263103660</t>
  </si>
  <si>
    <t>new york gateway connections improvment project to the us peace bridge plaza</t>
  </si>
  <si>
    <t>Draft(11/29/2013)</t>
  </si>
  <si>
    <t>https://arizona.app.box.com/file/389260827750</t>
  </si>
  <si>
    <t>https://arizona.app.box.com/file/389165125456</t>
  </si>
  <si>
    <t>peace bridge plaza and connecting roadway system rehabilitation and reconstruction funding and approval of permits city of buffalo erie county ny</t>
  </si>
  <si>
    <t>Draft(09/18/1998)</t>
  </si>
  <si>
    <t>https://arizona.app.box.com/file/389263180916</t>
  </si>
  <si>
    <t>https://arizona.app.box.com/file/386216449454</t>
  </si>
  <si>
    <t>project689</t>
  </si>
  <si>
    <t>newhall ranch resource management and development plan (rmdp) and the spineflower conservation plan (scp) implementation portion of santa clara river valley los angeles county ca</t>
  </si>
  <si>
    <t>Draft(05/01/2009);Final(06/18/2010)</t>
  </si>
  <si>
    <t>https://arizona.app.box.com/file/386242978514</t>
  </si>
  <si>
    <t>https://arizona.app.box.com/file/386250800061</t>
  </si>
  <si>
    <t>angeles national forest land and resource management plan implementation los angeles ventura and san bernardino counties ca</t>
  </si>
  <si>
    <t>Final(11/13/1987)</t>
  </si>
  <si>
    <t>project690</t>
  </si>
  <si>
    <t>newlands project final resource management plan</t>
  </si>
  <si>
    <t>Draft(06/07/2013);Final(11/28/2014)</t>
  </si>
  <si>
    <t>newlands project resource management plan</t>
  </si>
  <si>
    <t>Draft(06/07/2013)</t>
  </si>
  <si>
    <t>https://arizona.app.box.com/file/389262649570</t>
  </si>
  <si>
    <t>https://arizona.app.box.com/file/389168899505</t>
  </si>
  <si>
    <t>contra loma reservoir and recreation area final resource management plan</t>
  </si>
  <si>
    <t>https://arizona.app.box.com/file/389261246717</t>
  </si>
  <si>
    <t>https://arizona.app.box.com/file/389162354465</t>
  </si>
  <si>
    <t>project693</t>
  </si>
  <si>
    <t>nichols ranch in-situ uranium recovery (isr) project proposal to construct operate conduct aquifer restoration and decommission an in-situ recovery uranium milling facility campbell and johnson counties wy</t>
  </si>
  <si>
    <t>project694</t>
  </si>
  <si>
    <t>nih bethesda chilled water systems improvements</t>
  </si>
  <si>
    <t>Draft(04/03/2015);Final(07/31/2015)</t>
  </si>
  <si>
    <t>nih chilled water system improvements</t>
  </si>
  <si>
    <t>https://arizona.app.box.com/file/389276940556</t>
  </si>
  <si>
    <t>https://arizona.app.box.com/file/389166959356</t>
  </si>
  <si>
    <t>national institute of health (nih) transport of laboratory personnel potentially exposed to infectious agents from fort detrick frederick md to the national institutes of health clinical center bethesda md</t>
  </si>
  <si>
    <t>Final(05/14/2010);Draft(05/22/2009)</t>
  </si>
  <si>
    <t>https://arizona.app.box.com/file/386214344612</t>
  </si>
  <si>
    <t>https://arizona.app.box.com/file/386215281070</t>
  </si>
  <si>
    <t>medical facilities development and university expansion at naval support activity bethesda</t>
  </si>
  <si>
    <t>https://arizona.app.box.com/file/389264579939</t>
  </si>
  <si>
    <t>https://arizona.app.box.com/file/389162509134</t>
  </si>
  <si>
    <t>project695</t>
  </si>
  <si>
    <t>nimbus hatchery fish passage project to create and maintain a reliable system for collecting adult fish to allow reclamation rancho cordova gold river ca</t>
  </si>
  <si>
    <t>Final(08/19/2011);Draft(10/08/2010)</t>
  </si>
  <si>
    <t>https://arizona.app.box.com/file/386231782452</t>
  </si>
  <si>
    <t>https://arizona.app.box.com/file/386235933716</t>
  </si>
  <si>
    <t>rio del oro specific plan project to establish a development framework for land use resource protection circulation public utilities and services city of rancho cordova sacramento county ca</t>
  </si>
  <si>
    <t>Draft(12/08/2006)</t>
  </si>
  <si>
    <t>https://arizona.app.box.com/file/386265231632</t>
  </si>
  <si>
    <t>project698</t>
  </si>
  <si>
    <t>north 1-25 corridor to identify and evaluate multi-modal transportation improvement along 61 miles from the fort collins - wellington area funding and us army coe section 404 permit denver co</t>
  </si>
  <si>
    <t>Final(08/19/2011);Draft(10/31/2008)</t>
  </si>
  <si>
    <t>https://arizona.app.box.com/file/386239070193</t>
  </si>
  <si>
    <t>https://arizona.app.box.com/file/386213426834</t>
  </si>
  <si>
    <t>i-25 valley highway project transportation improvement from logan to u. s. 6 denver county co</t>
  </si>
  <si>
    <t>Final(11/17/2006);Draft(04/29/2005)</t>
  </si>
  <si>
    <t>https://arizona.app.box.com/file/386215793660</t>
  </si>
  <si>
    <t>https://arizona.app.box.com/file/386244485636</t>
  </si>
  <si>
    <t>i-70 east project transportation improvement from i-70 east from 1-25 to tower road funding city and county denver co</t>
  </si>
  <si>
    <t>Draft(11/14/2008)</t>
  </si>
  <si>
    <t>https://arizona.app.box.com/file/386218348189</t>
  </si>
  <si>
    <t>us-36 corridor multi-modal transportation improvements between i-25 in adams county and foothills parkway/table mesa drive in boulder adams denver broomfield boulder and jefferson counties co</t>
  </si>
  <si>
    <t>Draft(08/03/2007);Final(10/30/2009)</t>
  </si>
  <si>
    <t>https://arizona.app.box.com/file/386241025570</t>
  </si>
  <si>
    <t>https://arizona.app.box.com/file/386245085925</t>
  </si>
  <si>
    <t>southeast corridor multi-modal project improving travel between central and southeast corridors light rail transit (lrt) colorado metropolitan area denver co</t>
  </si>
  <si>
    <t>project704</t>
  </si>
  <si>
    <t>north dakota greater sage-grouse land use plan amendment</t>
  </si>
  <si>
    <t>Final(05/29/2015);Draft(09/27/2013)</t>
  </si>
  <si>
    <t>north dakota greater sage-grouse proposed land use plan amendment</t>
  </si>
  <si>
    <t>https://arizona.app.box.com/file/389154183585</t>
  </si>
  <si>
    <t>utah greater sage-grouse draft land use plan amendment</t>
  </si>
  <si>
    <t>https://arizona.app.box.com/file/389162922391</t>
  </si>
  <si>
    <t>project708</t>
  </si>
  <si>
    <t>north hillside road extension on the university of connecticut storrs campus hunting lodge road us army coe section 404 permit in the town mansfield ct</t>
  </si>
  <si>
    <t>Final(12/23/2011);Draft(12/29/2008)</t>
  </si>
  <si>
    <t>https://arizona.app.box.com/file/386218419053</t>
  </si>
  <si>
    <t>https://arizona.app.box.com/file/386229082225</t>
  </si>
  <si>
    <t>us 6 freeway transportation corridor improvements from i-384 at bolton notch to windham funding and coe section 404 permit columbia mansfield and windham ct</t>
  </si>
  <si>
    <t>Draft(04/22/1994)</t>
  </si>
  <si>
    <t>campus parkway project construction of a new expressway from mission avenue interchange to yosemite avenue/lake road us army coe section 404 permit city of merced merced county ca</t>
  </si>
  <si>
    <t>Final(01/26/2007)</t>
  </si>
  <si>
    <t>https://arizona.app.box.com/file/386242888517</t>
  </si>
  <si>
    <t>campus parkway project proposes to construct a new expressway from mission avenue interchange and yosemite avenue/lake road us army coe section 404 permit city of merced merced county ca</t>
  </si>
  <si>
    <t>Draft(05/06/2005)</t>
  </si>
  <si>
    <t>https://arizona.app.box.com/file/386240786467</t>
  </si>
  <si>
    <t>university of california (uc) merced campus and university community project development of a major research university to allow for the discharge of fill material into 76.7 acres of wetlands us army coe section 404 permit merced county ca</t>
  </si>
  <si>
    <t>Final(03/13/2009);Draft(11/07/2008)</t>
  </si>
  <si>
    <t>https://arizona.app.box.com/file/386258773171</t>
  </si>
  <si>
    <t>https://arizona.app.box.com/file/386269415400</t>
  </si>
  <si>
    <t>project709</t>
  </si>
  <si>
    <t>west corridor project light rail transit transportation improvements in cities of denver lakewood and golden jefferson county co</t>
  </si>
  <si>
    <t>Draft(03/21/2003);Final(10/24/2003)</t>
  </si>
  <si>
    <t>https://arizona.app.box.com/file/386241224709</t>
  </si>
  <si>
    <t>adams and denver counties, colorado general investigation study</t>
  </si>
  <si>
    <t>Draft(07/13/2018)</t>
  </si>
  <si>
    <t>https://arizona.app.box.com/file/389178007075</t>
  </si>
  <si>
    <t>https://arizona.app.box.com/file/386216966174</t>
  </si>
  <si>
    <t>project710</t>
  </si>
  <si>
    <t>north san juan sheep and goat allotments proposal to permit domestic livestock grazing management conejos peak ranger district rio grande national forest conejos rio grande and archuleta counties co</t>
  </si>
  <si>
    <t>Final(07/09/2010);Draft(07/10/2009)</t>
  </si>
  <si>
    <t>https://arizona.app.box.com/file/389151897867</t>
  </si>
  <si>
    <t>https://arizona.app.box.com/file/389152016285</t>
  </si>
  <si>
    <t>rio grande national forest land and resource management plan implementation archuleta rio grande custer hinsdale alamosa san juan conejos mineral and saquache counties co</t>
  </si>
  <si>
    <t>Final(12/13/1996);Draft(08/25/1995)</t>
  </si>
  <si>
    <t>san juan plan revision updated information san juan public lands draft land management plan (dlmp) implementation san juan national forest archuleta conejos dolores hinsdale laplata mineral montezuma montrose rio grande san juan and san miguel counties co</t>
  </si>
  <si>
    <t>Draft Supplement(08/26/2011)</t>
  </si>
  <si>
    <t>https://arizona.app.box.com/file/389165667730</t>
  </si>
  <si>
    <t>continental divide national scenic trail comprehensive plan designation construction and reconstruction implementation medicine bow national forest hayden ranger district wy to rio grande national forest conejos peak ranger district co</t>
  </si>
  <si>
    <t>Final(10/01/1993);Draft(05/21/1993)</t>
  </si>
  <si>
    <t>project711</t>
  </si>
  <si>
    <t>project712</t>
  </si>
  <si>
    <t>north topsail beach shoreline protection project seeking federal and state permits to allow implementation of a non-federal shoreline and inlet management project new river inlet onslow county nc</t>
  </si>
  <si>
    <t>Draft(12/28/2007);Final(02/05/2010)</t>
  </si>
  <si>
    <t>https://arizona.app.box.com/file/386248383751</t>
  </si>
  <si>
    <t>https://arizona.app.box.com/file/386256642445</t>
  </si>
  <si>
    <t>west onslow beach and new river inlet beach (topsail beach) erosion control and hurricane wave protection plan implementation pender and onslow counties nc</t>
  </si>
  <si>
    <t>Final(02/22/1991);Draft(02/03/1989)</t>
  </si>
  <si>
    <t>west onslow beach and new river inlet (topsail beach) shore protection project storm damages and beach erosion reduction funding pender county nc</t>
  </si>
  <si>
    <t>Final(08/15/2008);Draft(07/03/2006)</t>
  </si>
  <si>
    <t>https://arizona.app.box.com/file/386231776360</t>
  </si>
  <si>
    <t>https://arizona.app.box.com/file/386248147216</t>
  </si>
  <si>
    <t>topsail beach interim (emergency) beach fill project - permit request proposal to place sand on 4.7 miles of the town's shoreline to protect the dune complex and oceanfront development onslow and pender counties nc</t>
  </si>
  <si>
    <t>Final Supplement(04/10/2009);Draft Supplement(08/29/2008)</t>
  </si>
  <si>
    <t>https://arizona.app.box.com/file/386245856786</t>
  </si>
  <si>
    <t>https://arizona.app.box.com/file/386266514870</t>
  </si>
  <si>
    <t>project716</t>
  </si>
  <si>
    <t>northern pass transmission line project</t>
  </si>
  <si>
    <t>Draft(07/31/2015);Final(08/18/2017)</t>
  </si>
  <si>
    <t>project717</t>
  </si>
  <si>
    <t>northmet mining project and land exchange</t>
  </si>
  <si>
    <t>Final(11/13/2015);Draft(11/06/2009)</t>
  </si>
  <si>
    <t>Final(11/13/2015);Draft Supplement(12/13/2013)</t>
  </si>
  <si>
    <t>https://arizona.app.box.com/file/389167144206</t>
  </si>
  <si>
    <t>https://arizona.app.box.com/file/389169234904</t>
  </si>
  <si>
    <t>https://arizona.app.box.com/file/386239241302</t>
  </si>
  <si>
    <t>project719</t>
  </si>
  <si>
    <t>northwest corridor improvements i-75/i-575 construction new alternative usace section 404 permit npdes permit cobb and cherokee counties ga</t>
  </si>
  <si>
    <t>Final(10/21/2011);Draft(05/18/2007)</t>
  </si>
  <si>
    <t>https://arizona.app.box.com/file/386216648936</t>
  </si>
  <si>
    <t>northwest corridor improvements i-75/i-575 construction new alternative usace section 404 permit npdes permit cobb and cherokee counties ca</t>
  </si>
  <si>
    <t>Draft Supplement(09/17/2010)</t>
  </si>
  <si>
    <t>https://arizona.app.box.com/file/386246009945</t>
  </si>
  <si>
    <t>northwest i-75/i-575 corridor project transportation improvements funding cobb and cherokee counties ga</t>
  </si>
  <si>
    <t>https://arizona.app.box.com/file/386243994604</t>
  </si>
  <si>
    <t>georgia transportation connectors construction i-75 in bartow county to ga-371 forsyth county and i-20 in newton county to ga-316 gwinnett county funding possible coe section 404 permit bartow cherokee forsyth newton rockdale and walton counties</t>
  </si>
  <si>
    <t>Draft(10/19/1990)</t>
  </si>
  <si>
    <t>i-75 from m-102 to m-59 widening and reconstruction improvements funding npdes permit and us army coe section 404 permit oakland county mi</t>
  </si>
  <si>
    <t>https://arizona.app.box.com/file/386217945615</t>
  </si>
  <si>
    <t>project724</t>
  </si>
  <si>
    <t>ocotillo express wind energy project proposing to develop a 465-megawatt wind energy facility implementation imperial county ca</t>
  </si>
  <si>
    <t>https://arizona.app.box.com/file/386243086562</t>
  </si>
  <si>
    <t>https://arizona.app.box.com/file/386216382971</t>
  </si>
  <si>
    <t>ocotillo sol project proposed 100 acre solar photovoltiaic generation facility possible issuance of a right-of-way grant imperial county ca</t>
  </si>
  <si>
    <t>https://arizona.app.box.com/file/386239968591</t>
  </si>
  <si>
    <t>project725</t>
  </si>
  <si>
    <t>ocotillo sol project california desert conservation area plan amendment</t>
  </si>
  <si>
    <t>Final(07/26/2013);Draft(04/20/2012)</t>
  </si>
  <si>
    <t>https://arizona.app.box.com/file/389263940939</t>
  </si>
  <si>
    <t>https://arizona.app.box.com/file/389153475406</t>
  </si>
  <si>
    <t>imperial sand dunes recreation area revised and updated recreation area management plan and amendment to the california desert conservation area plan imperial county ca</t>
  </si>
  <si>
    <t>https://arizona.app.box.com/file/386239803182</t>
  </si>
  <si>
    <t>imperial sand dunes recreation area recreation area management plan revision and update and amendment to the california desert conservation area plan implementation imperial county ca</t>
  </si>
  <si>
    <t>Final(05/30/2003)</t>
  </si>
  <si>
    <t>project726</t>
  </si>
  <si>
    <t>odessa subarea special study columbia basin project to replace groundwater currently used for irrigation grant adams walla walla and franklin counties wa</t>
  </si>
  <si>
    <t>Final(09/07/2012);Draft(11/05/2010)</t>
  </si>
  <si>
    <t>https://arizona.app.box.com/file/386239283243</t>
  </si>
  <si>
    <t>odessa subarea special study to replace groundwater currently used for irragation grant adams walla walla and franklin counties wa</t>
  </si>
  <si>
    <t>Draft(11/05/2010)</t>
  </si>
  <si>
    <t>https://arizona.app.box.com/file/386212661658</t>
  </si>
  <si>
    <t>columbia basin continued multipurpose project implementation grant adams lincoln franklin and douglas counties wa</t>
  </si>
  <si>
    <t>Draft(09/29/1989);Draft Supplement(10/01/1993)</t>
  </si>
  <si>
    <t>hanford reach of the columbia river comprehensive river conservation study designation or nondesignation national wildlife refuge with wild and scenic river overlay benton grant and franklin counties wa</t>
  </si>
  <si>
    <t>Draft(07/10/1992);Final(08/05/1994)</t>
  </si>
  <si>
    <t>hanford reach national monument comprehensive conservation plan management of monument resources programs and visitors for the next 15 years adams benton. franklin and grant counties wa</t>
  </si>
  <si>
    <t>Final(08/15/2008)</t>
  </si>
  <si>
    <t>project727</t>
  </si>
  <si>
    <t>off-highway vehicle (ohv) management plan including forest plan amendment #17 designation of roads trails and areas for ohv use on mt. hood national forest implementation clackamas hood river multnomah and wasco counties or</t>
  </si>
  <si>
    <t>Draft(08/28/2009);Final(08/27/2010)</t>
  </si>
  <si>
    <t>Final(08/27/2010);Draft(08/28/2009)</t>
  </si>
  <si>
    <t>https://arizona.app.box.com/file/389151714142</t>
  </si>
  <si>
    <t>https://arizona.app.box.com/file/389151491806</t>
  </si>
  <si>
    <t>mount hood national forest land and resource management plan implementation clackamas hood river jefferson marion multnomah and wasco counties or</t>
  </si>
  <si>
    <t>Draft(01/22/1988);Final(01/11/1991)</t>
  </si>
  <si>
    <t>mt. hood national forest and columbia river gorge national scenic area site-specific invasive plant treatments forest plan amendments #16 mt. hood national forest and columbia river gorge national scenic area clackamas hood river multnomah and wasco counties or</t>
  </si>
  <si>
    <t>Final(03/28/2008);Draft(05/26/2006)</t>
  </si>
  <si>
    <t>https://arizona.app.box.com/file/389150480670</t>
  </si>
  <si>
    <t>https://arizona.app.box.com/file/389163126905</t>
  </si>
  <si>
    <t>bull run blowdown wind damage trees management plan implementation mt. hood national forest clackamas hood river and multnomah counties or</t>
  </si>
  <si>
    <t>Final(04/22/1988);Draft(06/12/1987)</t>
  </si>
  <si>
    <t>three trails off-highway vehicle project designated off-highway vehicle (ohv) trail system crescent ranger district deschutes national forest klamath county or</t>
  </si>
  <si>
    <t>Draft(10/01/2010);Final(01/28/2011)</t>
  </si>
  <si>
    <t>https://arizona.app.box.com/file/389137668446</t>
  </si>
  <si>
    <t>https://arizona.app.box.com/file/389161815056</t>
  </si>
  <si>
    <t>project728</t>
  </si>
  <si>
    <t>https://arizona.app.box.com/file/389255017609</t>
  </si>
  <si>
    <t>https://arizona.app.box.com/file/389164327013</t>
  </si>
  <si>
    <t>five buttes project conduct vegetation management activities implementation deschutes national forest crescent ranger district deschutes county or</t>
  </si>
  <si>
    <t>Final(07/13/2007);Draft(02/16/2007)</t>
  </si>
  <si>
    <t>https://arizona.app.box.com/file/389137518857</t>
  </si>
  <si>
    <t>https://arizona.app.box.com/file/389162490413</t>
  </si>
  <si>
    <t>https://arizona.app.box.com/file/389161821407</t>
  </si>
  <si>
    <t>https://arizona.app.box.com/file/389161441654</t>
  </si>
  <si>
    <t>blt project proposed vegetation management activities crescent ranger district deschutes national forest deschutes county or</t>
  </si>
  <si>
    <t>Final(03/27/2009);Draft(10/03/2008)</t>
  </si>
  <si>
    <t>https://arizona.app.box.com/file/389165507925</t>
  </si>
  <si>
    <t>https://arizona.app.box.com/file/389168845820</t>
  </si>
  <si>
    <t>project730</t>
  </si>
  <si>
    <t xml:space="preserve">on line project (previously known as ely energy center) </t>
  </si>
  <si>
    <t>Final(12/06/2010);Draft(01/02/2009)</t>
  </si>
  <si>
    <t>on line project (previously known as ely energy center) proposed 236-mile long 500 kv electric transmission line from a new substation near ely nevada approximately 236 mile south to the existing harry allen substation near las vegas clark lincoln nye and white pine counties nv</t>
  </si>
  <si>
    <t>Final(12/06/2010);Draft Supplement(11/06/2009)</t>
  </si>
  <si>
    <t>https://arizona.app.box.com/file/386227742609</t>
  </si>
  <si>
    <t>line 67 expansion (previously known as the alberta clipper pipeline)</t>
  </si>
  <si>
    <t>Final Supplement(08/11/2017);Draft Supplement(02/10/2017)</t>
  </si>
  <si>
    <t>https://arizona.app.box.com/file/389166948373</t>
  </si>
  <si>
    <t>https://arizona.app.box.com/file/386243015432</t>
  </si>
  <si>
    <t>https://arizona.app.box.com/file/389164972256</t>
  </si>
  <si>
    <t>silver line phase iii (previously known as south boston pier) project updated information to physically integrate silver line phase i and ii massachusetts bay transportation authority's funding ma</t>
  </si>
  <si>
    <t>Draft Supplement(06/17/2005)</t>
  </si>
  <si>
    <t>https://arizona.app.box.com/file/386245449927</t>
  </si>
  <si>
    <t>norman h. bangerter highway (previously known as the west valley highway) 12600 south street to i-15 funding and coe section 404 permit in the cities of bluffdale riverton and draper salt lake county ut</t>
  </si>
  <si>
    <t>Final(03/14/1997);Draft(12/01/1995)</t>
  </si>
  <si>
    <t>project731</t>
  </si>
  <si>
    <t>on top hazardous fuels reduction project to disclose the environmental effects of a federal proposal on national forest system (nfs) land plumas national forest feather river ranger district plumas butte counties ca</t>
  </si>
  <si>
    <t>Draft(03/02/2012);Final(08/17/2012)</t>
  </si>
  <si>
    <t>https://arizona.app.box.com/file/389162486703</t>
  </si>
  <si>
    <t>https://arizona.app.box.com/file/389151615208</t>
  </si>
  <si>
    <t>watdog project additional analysis to supplement information feather river ranger district plumas national forest butte and plumas counties ca</t>
  </si>
  <si>
    <t>Draft Supplement(09/01/2006)</t>
  </si>
  <si>
    <t>https://arizona.app.box.com/file/389151323359</t>
  </si>
  <si>
    <t>watdog project preferred alternative is b feather river ranger district plumas national forest butte and plumas counties ca</t>
  </si>
  <si>
    <t>Final Supplement(04/06/2007)</t>
  </si>
  <si>
    <t>https://arizona.app.box.com/file/389151530904</t>
  </si>
  <si>
    <t>concow hazardous fuels reduction project propose to reduce hazardous forest fuels plus establish and maintain spaces - defensible fuel profile zones (dfpzs) feather river ranger district plumas national forest towns of paradise magalia concow butte county ca</t>
  </si>
  <si>
    <t>Final(01/14/2011);Draft(09/24/2010)</t>
  </si>
  <si>
    <t>https://arizona.app.box.com/file/389151153890</t>
  </si>
  <si>
    <t>https://arizona.app.box.com/file/389151385890</t>
  </si>
  <si>
    <t>project732</t>
  </si>
  <si>
    <t>or 62: i-5 to dutton road</t>
  </si>
  <si>
    <t>Final(05/03/2013);Draft(09/14/2012)</t>
  </si>
  <si>
    <t>https://arizona.app.box.com/file/389263944517</t>
  </si>
  <si>
    <t>or 62: i-5 to dutton road(medford) project new highway construction funding usace section 404 permit jackson county or</t>
  </si>
  <si>
    <t>https://arizona.app.box.com/file/386238854168</t>
  </si>
  <si>
    <t>georgetown bypass construction us 460 west/frankfort road to us 460/62 east/paris- cynthiana roads intersection funding and 404 permit scott county ky</t>
  </si>
  <si>
    <t>Final(01/29/1988)</t>
  </si>
  <si>
    <t>us 62/68/ohio river bridge construction mason county ky to brown county oh funding us coast guard bridge permit and coe section 404 permit mason co. ky and brown co. oh</t>
  </si>
  <si>
    <t>Draft(05/05/1989);Final(11/02/1990)</t>
  </si>
  <si>
    <t>colorado forest highway 80 guanella pass road (also known as park county road 62/clear creek county 381/forest development road 118) from us 285 in grant to georgetown improvements funding and us army coe section 404 npdes and special use permits issuance park and clear creek counties co</t>
  </si>
  <si>
    <t>Draft(07/16/1999)</t>
  </si>
  <si>
    <t>project735</t>
  </si>
  <si>
    <t>otay mesa conveyance and disinfection system project</t>
  </si>
  <si>
    <t>Final(09/02/2016);Draft(05/12/2016)</t>
  </si>
  <si>
    <t>https://arizona.app.box.com/file/389165019917</t>
  </si>
  <si>
    <t>https://arizona.app.box.com/file/386226247174</t>
  </si>
  <si>
    <t>otay mesa conveyance and disinfection system project, presidential permit application review</t>
  </si>
  <si>
    <t>Draft(05/20/2016)</t>
  </si>
  <si>
    <t>https://arizona.app.box.com/file/389175305240</t>
  </si>
  <si>
    <t>https://arizona.app.box.com/file/386212002432</t>
  </si>
  <si>
    <t>~ voided ~ ca-905 highway project construction route location and adoption between the otay mesa port of entry and i-805 san diego county ca</t>
  </si>
  <si>
    <t>Draft(08/31/2001)</t>
  </si>
  <si>
    <t>adoption - ca-125 south route location project construction between ca-905 on otay mesa to ca-54 in spring valley coe section 404 permit san diego county ca</t>
  </si>
  <si>
    <t>Final(03/09/2001)</t>
  </si>
  <si>
    <t>https://arizona.app.box.com/file/386243563612</t>
  </si>
  <si>
    <t>project736</t>
  </si>
  <si>
    <t>outdoor research development test and evaluation activities at nswc</t>
  </si>
  <si>
    <t>Final(08/09/2013);Draft(08/17/2012)</t>
  </si>
  <si>
    <t>https://arizona.app.box.com/file/389261321783</t>
  </si>
  <si>
    <t>https://arizona.app.box.com/file/389165065332</t>
  </si>
  <si>
    <t>outdoor research development test and evaluation activities within the potomac river test range and explosiives experimental area complexes the mission area and special-use airspace at naval support facility dahlgren expansion dahlgren va</t>
  </si>
  <si>
    <t>https://arizona.app.box.com/file/389162745242</t>
  </si>
  <si>
    <t>northwest training range complex (nwtrc) support and conduct current emerging and future training and research development test and evaluation (rdt&amp;e) activities wa or and ca</t>
  </si>
  <si>
    <t>https://arizona.app.box.com/file/389161880171</t>
  </si>
  <si>
    <t>legislative - renewal of naval air weapons station china lake public land withdrawal to conduct research development acquisition test and evaluation activities kern inyo and san bernardino counties ca</t>
  </si>
  <si>
    <t>https://arizona.app.box.com/file/389164046178</t>
  </si>
  <si>
    <t>project737</t>
  </si>
  <si>
    <t>outer continental shelf oil and gas leasing program: 2017-2022</t>
  </si>
  <si>
    <t>Final(11/22/2016);Draft(03/18/2016)</t>
  </si>
  <si>
    <t>programmatic - outer continental shelf oil and gas leasing program: 2017-2022</t>
  </si>
  <si>
    <t>https://arizona.app.box.com/file/389163938241</t>
  </si>
  <si>
    <t>https://arizona.app.box.com/file/386240917905</t>
  </si>
  <si>
    <t>programmatic eis - outer continental shelf oil and gas leasing program -2012-2017 in six planning area western central and eastern gulf of mexico cook inlet the beaufort sea and the chukchi sea</t>
  </si>
  <si>
    <t>Draft(11/10/2011);Final(07/06/2012)</t>
  </si>
  <si>
    <t>https://arizona.app.box.com/file/386238525994</t>
  </si>
  <si>
    <t>https://arizona.app.box.com/file/389169520772</t>
  </si>
  <si>
    <t>https://arizona.app.box.com/file/386242469460</t>
  </si>
  <si>
    <t>gulf of mexico ocs oil and gas 2017-2022 final multisale eis</t>
  </si>
  <si>
    <t>Final(03/10/2017)</t>
  </si>
  <si>
    <t>https://arizona.app.box.com/file/389169680946</t>
  </si>
  <si>
    <t>https://arizona.app.box.com/file/386212003728</t>
  </si>
  <si>
    <t>adoption - gulf of mexico ocs oil and gas 2017-2022 final multisale eis</t>
  </si>
  <si>
    <t>Final(09/22/2017)</t>
  </si>
  <si>
    <t>https://arizona.app.box.com/file/389173990677</t>
  </si>
  <si>
    <t>1991 chukchi sea outer continental shelf (ocs) oil and gas sale 126 leasing ak</t>
  </si>
  <si>
    <t>Draft(07/20/1990);Final(02/08/1991)</t>
  </si>
  <si>
    <t>project739</t>
  </si>
  <si>
    <t>over the river (otr) project propose to install a temporary work of art require the use of federal private and state lands adjacent to the river western fremont county and southeast portion of chaffee county co</t>
  </si>
  <si>
    <t>Draft(07/16/2010);Final(07/29/2011)</t>
  </si>
  <si>
    <t>https://arizona.app.box.com/file/386242934345</t>
  </si>
  <si>
    <t>https://arizona.app.box.com/file/386217023147</t>
  </si>
  <si>
    <t>https://arizona.app.box.com/file/386242640638</t>
  </si>
  <si>
    <t>washington state convention center addition and king county site work</t>
  </si>
  <si>
    <t>Final(04/06/2018)</t>
  </si>
  <si>
    <t>https://arizona.app.box.com/file/389165127520</t>
  </si>
  <si>
    <t>florence federal correctional institution complex construction and operation fremont county co</t>
  </si>
  <si>
    <t>Final(09/01/1989);Draft(02/24/1989)</t>
  </si>
  <si>
    <t>northern san juan basin coal bed methane project proposal to drill 300 wells to produce national gas from coal beds on federal state and private owned lands special-use-permit application for permit to drill and us army coe section 404 permit laplata and archuleta counties co</t>
  </si>
  <si>
    <t>Draft(06/11/2004);Final(08/04/2006)</t>
  </si>
  <si>
    <t>https://arizona.app.box.com/file/386239750970</t>
  </si>
  <si>
    <t>https://arizona.app.box.com/file/386217107068</t>
  </si>
  <si>
    <t>programmatic - geological and geophysical activities in federal waters of the mid- and south atlantic outer continental shelf and adjacent state waters</t>
  </si>
  <si>
    <t>Draft(04/06/2012);Final(03/07/2014)</t>
  </si>
  <si>
    <t>https://arizona.app.box.com/file/386240338003</t>
  </si>
  <si>
    <t>project740</t>
  </si>
  <si>
    <t>Draft(11/08/2013);Final(12/12/2014)</t>
  </si>
  <si>
    <t>ozark national scenic riverways draft general management plan wilderness study</t>
  </si>
  <si>
    <t>https://arizona.app.box.com/file/389138661481</t>
  </si>
  <si>
    <t>niobrara national scenic river general management plan niobrara/missouri national scenic riverways implementation brown cherry keya paha and rock counties nb</t>
  </si>
  <si>
    <t>Draft(04/05/1996);Final(09/06/1996)</t>
  </si>
  <si>
    <t>NB</t>
  </si>
  <si>
    <t>https://arizona.app.box.com/file/386244238889</t>
  </si>
  <si>
    <t>ozark-st. francis national forest land and resource management plan additional information implementation several counties ar</t>
  </si>
  <si>
    <t>Draft Supplement(09/21/1990)</t>
  </si>
  <si>
    <t>ozark-st. francis national forests proposed revised land and resource management plan implementation several counties ar</t>
  </si>
  <si>
    <t>Draft(02/25/2005);Final(12/09/2005)</t>
  </si>
  <si>
    <t>https://arizona.app.box.com/file/389160952427</t>
  </si>
  <si>
    <t>project743</t>
  </si>
  <si>
    <t>pactola project area proposes to implement multiple resource management actions mystic ranger district black hills national forest pennington county sd</t>
  </si>
  <si>
    <t>Final(08/05/2011);Draft(05/06/2011)</t>
  </si>
  <si>
    <t>https://arizona.app.box.com/file/389162832316</t>
  </si>
  <si>
    <t>https://arizona.app.box.com/file/389163500382</t>
  </si>
  <si>
    <t>deerfield project area proposes to implement multiple resource management actions mystic ranger district black hills national forest pennington county sd</t>
  </si>
  <si>
    <t>Final(11/10/2005)</t>
  </si>
  <si>
    <t>https://arizona.app.box.com/file/389161789350</t>
  </si>
  <si>
    <t>slate castle project area proposes to implement multiple resource management actions mystic ranger district black hills national forest pennington county sd</t>
  </si>
  <si>
    <t>Draft(04/10/2009);Final(07/17/2009)</t>
  </si>
  <si>
    <t>https://arizona.app.box.com/file/389162357273</t>
  </si>
  <si>
    <t>upper spring creek project proposes to implementation multiple resource management actions mystic ranger district black hills national forest pennington county sd</t>
  </si>
  <si>
    <t>https://arizona.app.box.com/file/389152992295</t>
  </si>
  <si>
    <t>project747</t>
  </si>
  <si>
    <t>palmyra atoll national wildlife refuge rat eradication project proposing to restore and protect the native species and habitats implementation northern line islands honolulu hi</t>
  </si>
  <si>
    <t>Draft(02/25/2011);Final(04/29/2011)</t>
  </si>
  <si>
    <t>https://arizona.app.box.com/file/389165178309</t>
  </si>
  <si>
    <t>https://arizona.app.box.com/file/389153612385</t>
  </si>
  <si>
    <t>south farallon islands invasive house mouse eradication project farallon national wildlife refuge</t>
  </si>
  <si>
    <t>Revised Draft(10/25/2013)</t>
  </si>
  <si>
    <t>https://arizona.app.box.com/file/389164261868</t>
  </si>
  <si>
    <t>santa rosa island resources management plan improvements of water quality and conservation of rare species and their habitats channel islands national park santa barbara county ca</t>
  </si>
  <si>
    <t>Draft(05/24/1996);Final(04/25/1997);Draft Supplement(02/13/1998);Final Supplement(06/05/1998)</t>
  </si>
  <si>
    <t>https://arizona.app.box.com/file/386214147562</t>
  </si>
  <si>
    <t>paiute cutthroat trout restoration project eradication of non-native trout species from 11 stream miles of silver king creek alpine county ca</t>
  </si>
  <si>
    <t>Draft(03/20/2009);Final(04/09/2010)</t>
  </si>
  <si>
    <t>https://arizona.app.box.com/file/389164572564</t>
  </si>
  <si>
    <t>https://arizona.app.box.com/file/389165135928</t>
  </si>
  <si>
    <t>hawaiian islands humpback whales and their habitat national marine sanctuary management plan implementation honolulu kauai and maui counties hi</t>
  </si>
  <si>
    <t>Draft(09/15/1995);Final(02/14/1997)</t>
  </si>
  <si>
    <t>project748</t>
  </si>
  <si>
    <t>pan mine project</t>
  </si>
  <si>
    <t>Final(11/20/2013);Draft(03/22/2013)</t>
  </si>
  <si>
    <t>https://arizona.app.box.com/file/389165954946</t>
  </si>
  <si>
    <t>https://arizona.app.box.com/file/389171122474</t>
  </si>
  <si>
    <t>arturo mine project</t>
  </si>
  <si>
    <t>https://arizona.app.box.com/file/389138627444</t>
  </si>
  <si>
    <t>project750</t>
  </si>
  <si>
    <t>targhee national forest plan oil and gas leasing analysis implementation bonneville butte clark fremont and madison counties id and teton county wy</t>
  </si>
  <si>
    <t>Draft(09/20/1996)</t>
  </si>
  <si>
    <t>project754</t>
  </si>
  <si>
    <t>Final(06/15/2012);Draft(05/06/2011)</t>
  </si>
  <si>
    <t>https://arizona.app.box.com/file/389164502204</t>
  </si>
  <si>
    <t>pettijohn late-successional reserve habitat improvement and fuels reduction project implementation trinity river management trinity unit of the shasta-trinity national recreation area trinity county ca</t>
  </si>
  <si>
    <t>Draft(05/06/2011)</t>
  </si>
  <si>
    <t>https://arizona.app.box.com/file/389161123559</t>
  </si>
  <si>
    <t>gemmill thin project updated information on four alternatives chanchellula late-successional reserve shasta-trinity national forest trinity county ca</t>
  </si>
  <si>
    <t>Final Supplement(05/06/2011);Draft Supplement(09/10/2010)</t>
  </si>
  <si>
    <t>https://arizona.app.box.com/file/389165903883</t>
  </si>
  <si>
    <t>https://arizona.app.box.com/file/389137760978</t>
  </si>
  <si>
    <t>whiskeytown unit general management plan implementation whiskeytown-shasta-trinity national recreation area shasta county ca</t>
  </si>
  <si>
    <t>Final(09/17/1999)</t>
  </si>
  <si>
    <t>project756</t>
  </si>
  <si>
    <t>phase ii - ca-11and otay mesa east port of entry project construction of a new toll highway (ca-11) and port of entry in the east otay mesa area and commercial vehicle facility county of san diego ca</t>
  </si>
  <si>
    <t>Final(04/06/2012);Draft(12/10/2010)</t>
  </si>
  <si>
    <t>Final(04/06/2012)</t>
  </si>
  <si>
    <t>https://arizona.app.box.com/file/386246782232</t>
  </si>
  <si>
    <t>phase ii - ca-11 and otay mesa east port of entry project construction of a new state route and port of entry in the east otay mesa are of the city and county of san diego ca from the state route 905/state route 125 interchange to the us-mexico border</t>
  </si>
  <si>
    <t>Draft(12/10/2010)</t>
  </si>
  <si>
    <t>phase i - ca 11 corridor location and route adoption and location identification of the otay mesa east port of entry (poe) on otay mesa presidential permit for the poe and acquisition of right-of-way permit san diego county ca</t>
  </si>
  <si>
    <t>Final(08/22/2008);Draft(01/18/2008)</t>
  </si>
  <si>
    <t>https://arizona.app.box.com/file/386229158495</t>
  </si>
  <si>
    <t>https://arizona.app.box.com/file/386245234630</t>
  </si>
  <si>
    <t>adoption - ca-905 freeway or tollway construction project route location adoption and construction otay mesa port of entry to i-805 funding and us army coe section 404 permit issuance san diego county ca</t>
  </si>
  <si>
    <t>Final(04/14/2006)</t>
  </si>
  <si>
    <t>https://arizona.app.box.com/file/386264333232</t>
  </si>
  <si>
    <t>project76</t>
  </si>
  <si>
    <t>basing of mv-22 and h-1 aircraft in support of iii marine expeditionary force (mef) elements construction and renovation of facilities to accommodate and maintain the squadrons hi</t>
  </si>
  <si>
    <t>Draft(11/10/2011);Final(06/08/2012)</t>
  </si>
  <si>
    <t>https://arizona.app.box.com/file/389172421372</t>
  </si>
  <si>
    <t>https://arizona.app.box.com/file/389267250275</t>
  </si>
  <si>
    <t>https://arizona.app.box.com/file/389162768975</t>
  </si>
  <si>
    <t>west coast basing of the mv-22 determining basing location(s) and providing efficient training operations ca az</t>
  </si>
  <si>
    <t>Final(10/16/2009);Draft(02/20/2009)</t>
  </si>
  <si>
    <t>https://arizona.app.box.com/file/389166186658</t>
  </si>
  <si>
    <t>https://arizona.app.box.com/file/389163163725</t>
  </si>
  <si>
    <t>introduction of the v-22 'osprey' a new type of tiltroter aircraft replacement or renovation of the facilities used to house aircraft full basing at mcas cherry point and/or partial basing at both mcas new river and cherry point coe section 404 permit nc</t>
  </si>
  <si>
    <t>Final(11/05/1999)</t>
  </si>
  <si>
    <t>https://arizona.app.box.com/file/389153507499</t>
  </si>
  <si>
    <t>introduction of the v-22 'osprey' a new type of tiltrotor aircraft replacement or renovation of the facilities used to house aircrafts. full basing at mcas cherry point and/or partial basing at both mcas new river and cherry point coe section 404 permit nc</t>
  </si>
  <si>
    <t>Draft(06/25/1999)</t>
  </si>
  <si>
    <t>tyndall air force base implementation proposed conversion of two f-15 fighter squadrons to f-22 fight squadrons fl</t>
  </si>
  <si>
    <t>Final(05/19/2000)</t>
  </si>
  <si>
    <t>https://arizona.app.box.com/file/386240539226</t>
  </si>
  <si>
    <t>project760</t>
  </si>
  <si>
    <t>pier s marine terminal development and back channel navigational safety improvements, construction and operation</t>
  </si>
  <si>
    <t>Final(11/08/2013);Draft(09/23/2011)</t>
  </si>
  <si>
    <t>pier s development and back channel navigational safety improvements in the port of long beach</t>
  </si>
  <si>
    <t>Final(11/08/2013)</t>
  </si>
  <si>
    <t>https://arizona.app.box.com/file/389165873684</t>
  </si>
  <si>
    <t>pier s marine terminal development and back channel navigational safety improvements construction and operation us army coe section 10 and 404 permit and section 103 of the marine protection research and sanctuaries act los angeles county ca</t>
  </si>
  <si>
    <t>https://arizona.app.box.com/file/386232552994</t>
  </si>
  <si>
    <t>withdrawn - pier s marine terminal development and back channel improvements los angeles county ca</t>
  </si>
  <si>
    <t>Final(11/16/2012)</t>
  </si>
  <si>
    <t>pacific los angeles marine terminal pier 400 berth 408 project construction and operation of a new marine terminal us army coe section 10 and 404 permits port of los angeles los angeles county ca</t>
  </si>
  <si>
    <t>Second Final Supplemental(11/28/2008)</t>
  </si>
  <si>
    <t>https://arizona.app.box.com/file/386232815955</t>
  </si>
  <si>
    <t>pacific los angeles marine terminal crude oil marine terminal construction and operation of a new marine terminal from pier 400 berth 408 project us army coe section 10 and 404 permits port of los angeles los angeles county ca</t>
  </si>
  <si>
    <t>Second Draft Supplemental(06/06/2008)</t>
  </si>
  <si>
    <t>https://arizona.app.box.com/file/386246467165</t>
  </si>
  <si>
    <t>project764</t>
  </si>
  <si>
    <t>pinon canyon maneuver site (pcms) training and operations</t>
  </si>
  <si>
    <t>Final(03/13/2015);Draft(10/31/2014)</t>
  </si>
  <si>
    <t>Draft(10/31/2014)</t>
  </si>
  <si>
    <t>https://arizona.app.box.com/file/389267612340</t>
  </si>
  <si>
    <t>https://arizona.app.box.com/file/389162595081</t>
  </si>
  <si>
    <t>pinon canyon maneuver site (pcms) transformation program implementation base realignment and closure activities fort carson las animas otero and huerfano counties co</t>
  </si>
  <si>
    <t>Final(06/22/2007);Draft(10/13/2006)</t>
  </si>
  <si>
    <t>https://arizona.app.box.com/file/386231059027</t>
  </si>
  <si>
    <t>https://arizona.app.box.com/file/386244022158</t>
  </si>
  <si>
    <t>pinon pine coal-fired power project construction operation and maintenance funding tracy power station storey county nv</t>
  </si>
  <si>
    <t>Draft(05/27/1994);Final(09/30/1994)</t>
  </si>
  <si>
    <t>project765</t>
  </si>
  <si>
    <t>piute fire restoration project proposes to salvage dead and dying trees treat excess fuels and plant trees kern river ranger district sequoia national forest kern county ca</t>
  </si>
  <si>
    <t>Final(04/30/2010);Draft(11/06/2009)</t>
  </si>
  <si>
    <t>https://arizona.app.box.com/file/389137993263</t>
  </si>
  <si>
    <t>https://arizona.app.box.com/file/389137370587</t>
  </si>
  <si>
    <t>school fire salvage recovery project salvage harvest fire-killed (dead) and fire-damaged (dying) trees implementation pomeroy ranger district umatilla national forest columbia and garfield counties wa</t>
  </si>
  <si>
    <t>Final(07/14/2006);Draft(04/28/2006)</t>
  </si>
  <si>
    <t>https://arizona.app.box.com/file/389161351155</t>
  </si>
  <si>
    <t>https://arizona.app.box.com/file/389163085261</t>
  </si>
  <si>
    <t>cave gulch post-fire salvage sale harvesting dead or dying trees implementation helena national forest big belts mountain lewis and clark county mt</t>
  </si>
  <si>
    <t>Final(11/15/2002);Draft(04/20/2001)</t>
  </si>
  <si>
    <t>https://arizona.app.box.com/file/386244695325</t>
  </si>
  <si>
    <t>https://arizona.app.box.com/file/389153927068</t>
  </si>
  <si>
    <t>project766</t>
  </si>
  <si>
    <t>placer vineyards specific plan</t>
  </si>
  <si>
    <t>Draft(04/26/2013);Final(07/25/2014)</t>
  </si>
  <si>
    <t>Final(07/25/2014)</t>
  </si>
  <si>
    <t>https://arizona.app.box.com/file/389263730255</t>
  </si>
  <si>
    <t>https://arizona.app.box.com/file/389153114095</t>
  </si>
  <si>
    <t>placer vineyards specific plan (spk-1999-00737)</t>
  </si>
  <si>
    <t>Draft(04/26/2013)</t>
  </si>
  <si>
    <t>https://arizona.app.box.com/file/389254804048</t>
  </si>
  <si>
    <t>https://arizona.app.box.com/file/389153193895</t>
  </si>
  <si>
    <t>sierra vista specific plan development implementation city of roseville placer county ca</t>
  </si>
  <si>
    <t>https://arizona.app.box.com/file/386248679038</t>
  </si>
  <si>
    <t>mather specific plan project</t>
  </si>
  <si>
    <t>https://arizona.app.box.com/file/389165668962</t>
  </si>
  <si>
    <t>https://arizona.app.box.com/file/386238751791</t>
  </si>
  <si>
    <t>suncreek specific plan</t>
  </si>
  <si>
    <t>https://arizona.app.box.com/file/389262932951</t>
  </si>
  <si>
    <t>https://arizona.app.box.com/file/389154427274</t>
  </si>
  <si>
    <t>project767</t>
  </si>
  <si>
    <t>Final(11/13/2015);Draft(12/19/2014)</t>
  </si>
  <si>
    <t>adoption - plains and eastern clean line transmission line project</t>
  </si>
  <si>
    <t>https://arizona.app.box.com/file/389172658596</t>
  </si>
  <si>
    <t>new england clean power link transmission line project</t>
  </si>
  <si>
    <t>Draft(06/12/2015)</t>
  </si>
  <si>
    <t>VT</t>
  </si>
  <si>
    <t>https://arizona.app.box.com/file/389172756241</t>
  </si>
  <si>
    <t>https://arizona.app.box.com/file/386211686058</t>
  </si>
  <si>
    <t>programmatic - hawaii clean energy</t>
  </si>
  <si>
    <t>Final(09/18/2015);Draft(04/18/2014)</t>
  </si>
  <si>
    <t>https://arizona.app.box.com/file/389261163371</t>
  </si>
  <si>
    <t>https://arizona.app.box.com/file/389165835050</t>
  </si>
  <si>
    <t>https://arizona.app.box.com/file/389163372735</t>
  </si>
  <si>
    <t>https://arizona.app.box.com/file/386225853731</t>
  </si>
  <si>
    <t>project770</t>
  </si>
  <si>
    <t>point thomson project authorization for the placement of fill material into u.s. waters permit application ak</t>
  </si>
  <si>
    <t>Draft(11/18/2011);Final(07/27/2012)</t>
  </si>
  <si>
    <t>https://arizona.app.box.com/file/386239823862</t>
  </si>
  <si>
    <t>point thomson project authorization to construct industrial infrastructure and produce liquid hydrocarbon resources implementation ak</t>
  </si>
  <si>
    <t>Draft(11/18/2011)</t>
  </si>
  <si>
    <t>https://arizona.app.box.com/file/386239776086</t>
  </si>
  <si>
    <t>port everglades expansion construction and fill placement in the u.s. and contiguous wetlands section 10 and 404 permit application broward county fl</t>
  </si>
  <si>
    <t>Draft(05/15/1987);Final(11/27/1987)</t>
  </si>
  <si>
    <t>gregory canyon landfill application for permit authorizing discharge of fill in u.s. waters san diego county ca</t>
  </si>
  <si>
    <t>Draft(12/14/2012)</t>
  </si>
  <si>
    <t>https://arizona.app.box.com/file/389261656876</t>
  </si>
  <si>
    <t>https://arizona.app.box.com/file/386269402200</t>
  </si>
  <si>
    <t>project773</t>
  </si>
  <si>
    <t>port everglades harbor navigation study</t>
  </si>
  <si>
    <t>Final(03/20/2015);Draft(06/28/2013)</t>
  </si>
  <si>
    <t>palm beach harbor ocean dredged material disposal site and the port everglades harbor ocean dredged disposal site. designation fl</t>
  </si>
  <si>
    <t>Draft(03/26/2004)</t>
  </si>
  <si>
    <t>palm beach harbor ocean dredged material disposal site and the port everglades harbor ocean dredged material disposal site designation fl</t>
  </si>
  <si>
    <t>Final(08/27/2004)</t>
  </si>
  <si>
    <t>grays harbor navigation improvement project</t>
  </si>
  <si>
    <t>Second Final Supplemental(07/11/2014);Second Draft Supplemental(02/07/2014)</t>
  </si>
  <si>
    <t>https://arizona.app.box.com/file/389258951481</t>
  </si>
  <si>
    <t>https://arizona.app.box.com/file/389169259370</t>
  </si>
  <si>
    <t>https://arizona.app.box.com/file/389262803629</t>
  </si>
  <si>
    <t>https://arizona.app.box.com/file/389153051214</t>
  </si>
  <si>
    <t>project774</t>
  </si>
  <si>
    <t>port mackenzie rail line extension construction and operation alaska railroad corporation port mackenzie ak</t>
  </si>
  <si>
    <t>Final(04/01/2011);Draft(03/26/2010)</t>
  </si>
  <si>
    <t>https://arizona.app.box.com/file/386244310158</t>
  </si>
  <si>
    <t>https://arizona.app.box.com/file/386251359693</t>
  </si>
  <si>
    <t>northern rail extension project construct and operate a rail line between north pole and delta junction ak</t>
  </si>
  <si>
    <t>Final(09/25/2009)</t>
  </si>
  <si>
    <t>https://arizona.app.box.com/file/386263902756</t>
  </si>
  <si>
    <t>tongue river railroad additional rail line construction and operation ashland to decker approval rosebud and big horn counties mt</t>
  </si>
  <si>
    <t>Draft(07/24/1992);Final(04/19/1996)</t>
  </si>
  <si>
    <t>Interstate Commerce Commission</t>
  </si>
  <si>
    <t>bayport loop rail line project construction and operation between the bayport and the former galveston houston and henderson railroad rail line harris county tx</t>
  </si>
  <si>
    <t>Final(05/09/2003)</t>
  </si>
  <si>
    <t>https://arizona.app.box.com/file/386218366638</t>
  </si>
  <si>
    <t>alaska pulp corporation (apc) long-term timber sale contract implementation southeast chichagof project area tongass national forest ak</t>
  </si>
  <si>
    <t>Draft(05/08/1992);Final(10/02/1992)</t>
  </si>
  <si>
    <t>project775</t>
  </si>
  <si>
    <t>port of gulfport expansion project</t>
  </si>
  <si>
    <t>Final(06/09/2017);Draft(10/30/2015)</t>
  </si>
  <si>
    <t>gulfport harbor deep draft navigation project channel improvements implementation garrison county ms</t>
  </si>
  <si>
    <t>Final(07/13/1990)</t>
  </si>
  <si>
    <t>gulfport harbor navigation channel project to evaluate proposed construction of authorized improvements to the gulfport harbor harrison county ms</t>
  </si>
  <si>
    <t>Final Supplement(03/06/2009)</t>
  </si>
  <si>
    <t>https://arizona.app.box.com/file/386232403172</t>
  </si>
  <si>
    <t>gulfport harbor navigation channel project updated information on providing safe and unrestricted navigation into and out of gulfport harbor harrison county ms</t>
  </si>
  <si>
    <t>Draft Supplement(02/16/2007)</t>
  </si>
  <si>
    <t>https://arizona.app.box.com/file/386234168386</t>
  </si>
  <si>
    <t>gulfport harbor deep draft navigation project channel improvements implementation garrison county ms published fr 11-10-88 - review period extended.</t>
  </si>
  <si>
    <t>Revised Draft(11/10/1988)</t>
  </si>
  <si>
    <t>project777</t>
  </si>
  <si>
    <t>potomac yard metrorail station</t>
  </si>
  <si>
    <t>Draft(04/03/2015);Final(06/10/2016)</t>
  </si>
  <si>
    <t>https://arizona.app.box.com/file/389263963649</t>
  </si>
  <si>
    <t>https://arizona.app.box.com/file/389166717050</t>
  </si>
  <si>
    <t>https://arizona.app.box.com/file/389164170892</t>
  </si>
  <si>
    <t>https://arizona.app.box.com/file/386242962902</t>
  </si>
  <si>
    <t>adoption - potomac yard metrorail station</t>
  </si>
  <si>
    <t>https://arizona.app.box.com/file/389164778355</t>
  </si>
  <si>
    <t>metrorail extension - addison road station to the largo town center transportation improvements prince george's county md</t>
  </si>
  <si>
    <t>Draft(11/01/1996);Final(12/23/1999)</t>
  </si>
  <si>
    <t>draft section 4(f) evaluation for the baltimore &amp; potomac tunnel project</t>
  </si>
  <si>
    <t>https://arizona.app.box.com/file/389173947906</t>
  </si>
  <si>
    <t>https://arizona.app.box.com/file/386237165808</t>
  </si>
  <si>
    <t>project779</t>
  </si>
  <si>
    <t>powder river training complex ellsworth air force base, south dakota</t>
  </si>
  <si>
    <t>Draft(08/20/2010);Final(11/28/2014)</t>
  </si>
  <si>
    <t>adoption - powder river training complex ellsworth air force base</t>
  </si>
  <si>
    <t>powder river training complex project proposal to improve airspace for training primarily b-1 aircrews at ellsworth afb south dakota and b-52 aircrews at minot afb north dakota</t>
  </si>
  <si>
    <t>Draft(08/20/2010)</t>
  </si>
  <si>
    <t>https://arizona.app.box.com/file/386265836789</t>
  </si>
  <si>
    <t>south dakota resource management plan</t>
  </si>
  <si>
    <t>https://arizona.app.box.com/file/389262319503</t>
  </si>
  <si>
    <t>https://arizona.app.box.com/file/389165883856</t>
  </si>
  <si>
    <t>ellsworth air force base minuteman ii of the 44th strategic missile wing deactivation implementation rapid city pennington county sd</t>
  </si>
  <si>
    <t>Draft(07/12/1991);Final(10/11/1991)</t>
  </si>
  <si>
    <t>billings/powder river/south dakota resource area oil and gas resource management plan amendment leasing and development mile city district mt and sd</t>
  </si>
  <si>
    <t>Draft(01/10/1992);Final(12/31/1992)</t>
  </si>
  <si>
    <t>project781</t>
  </si>
  <si>
    <t>prehistoric trackways national monument proposed resource management plan</t>
  </si>
  <si>
    <t>Draft(07/20/2012);Final(12/29/2014)</t>
  </si>
  <si>
    <t>https://arizona.app.box.com/file/389256320038</t>
  </si>
  <si>
    <t>prehistoric trackways national monument resource management plan implementation dona ana county nm</t>
  </si>
  <si>
    <t>https://arizona.app.box.com/file/386239220713</t>
  </si>
  <si>
    <t>buffalo proposed resource management plan</t>
  </si>
  <si>
    <t>https://arizona.app.box.com/file/389167024775</t>
  </si>
  <si>
    <t>https://arizona.app.box.com/file/386240684710</t>
  </si>
  <si>
    <t>billings and pompeys pillar national monument proposed resource management plan</t>
  </si>
  <si>
    <t>https://arizona.app.box.com/file/389172141078</t>
  </si>
  <si>
    <t>https://arizona.app.box.com/file/386239077764</t>
  </si>
  <si>
    <t>jarbidge proposed resource management plan</t>
  </si>
  <si>
    <t>https://arizona.app.box.com/file/389167316675</t>
  </si>
  <si>
    <t>project782</t>
  </si>
  <si>
    <t>prescott national forest revision of land and resource management plan</t>
  </si>
  <si>
    <t>Draft(08/24/2012);Final(08/07/2015)</t>
  </si>
  <si>
    <t>project783</t>
  </si>
  <si>
    <t>presidential aircraft recapitalization program, joint base andrews-naval air facility</t>
  </si>
  <si>
    <t>Draft(02/03/2017);Final(10/17/2017)</t>
  </si>
  <si>
    <t>presidential aircraft recapitalization program at joint base andrews-naval air facility washington, md</t>
  </si>
  <si>
    <t>Draft(02/03/2017)</t>
  </si>
  <si>
    <t>https://arizona.app.box.com/file/389170627605</t>
  </si>
  <si>
    <t>https://arizona.app.box.com/file/386217048155</t>
  </si>
  <si>
    <t>naval air warfare center aircraft division base realignment and construction patuxent river st. mary's calvert and charles counties md</t>
  </si>
  <si>
    <t>Draft(08/26/1994);Final(12/09/1994)</t>
  </si>
  <si>
    <t>recapitalization of infrastructure supporting naval spent nuclear fuel handling at the idaho national laboratory</t>
  </si>
  <si>
    <t>https://arizona.app.box.com/file/389167880703</t>
  </si>
  <si>
    <t>https://arizona.app.box.com/file/386225845353</t>
  </si>
  <si>
    <t>naval air warfare center aircraft division base realignment naval air station patuxent river st. mary's calvert and charles counties md</t>
  </si>
  <si>
    <t>Final(04/09/1993);Draft(12/18/1992)</t>
  </si>
  <si>
    <t>project785</t>
  </si>
  <si>
    <t>presidio of monterey real property master plan</t>
  </si>
  <si>
    <t>Final(05/03/2013);Draft(04/22/2011)</t>
  </si>
  <si>
    <t>https://arizona.app.box.com/file/389261800493</t>
  </si>
  <si>
    <t>presidio of monterey installation (pom) project to implement the real property master plan monterey county ca</t>
  </si>
  <si>
    <t>Draft(04/22/2011)</t>
  </si>
  <si>
    <t>https://arizona.app.box.com/file/386249922103</t>
  </si>
  <si>
    <t>fort belvoir short-term projects and real property master plan update</t>
  </si>
  <si>
    <t>https://arizona.app.box.com/file/389163251017</t>
  </si>
  <si>
    <t>https://arizona.app.box.com/file/386216149882</t>
  </si>
  <si>
    <t>fort huachuca real property master planning approval of land use and real estate investment strategies cochise county az</t>
  </si>
  <si>
    <t>Final(12/30/1999);Draft(06/12/1998)</t>
  </si>
  <si>
    <t>camp parks real property master plan and real property exchange redevelopment of the cantonment area npdes permit us coe section 4040 permit alamada and contra costa counties ca</t>
  </si>
  <si>
    <t>https://arizona.app.box.com/file/386242824701</t>
  </si>
  <si>
    <t>project787</t>
  </si>
  <si>
    <t>prime hook national wildlife refuge development of a comprehensive conservation plan milton de</t>
  </si>
  <si>
    <t>Draft(06/08/2012);Final(01/04/2013)</t>
  </si>
  <si>
    <t>Final(01/04/2013)</t>
  </si>
  <si>
    <t>https://arizona.app.box.com/file/389268071077</t>
  </si>
  <si>
    <t>https://arizona.app.box.com/file/389166692805</t>
  </si>
  <si>
    <t>prime hook national wildlife refuge development of a comprehensive conservation plan implementation sussex county de</t>
  </si>
  <si>
    <t>Draft(06/08/2012)</t>
  </si>
  <si>
    <t>https://arizona.app.box.com/file/389267312120</t>
  </si>
  <si>
    <t>https://arizona.app.box.com/file/389153014516</t>
  </si>
  <si>
    <t>project789</t>
  </si>
  <si>
    <t>programmatic - allocation of oil shale and tar sands resources on lands administered propose to amend 10 land use plans in colorado utah and wyoming</t>
  </si>
  <si>
    <t>Draft(02/03/2012);Final(11/09/2012)</t>
  </si>
  <si>
    <t>https://arizona.app.box.com/file/386227239779</t>
  </si>
  <si>
    <t>https://arizona.app.box.com/file/389179189263</t>
  </si>
  <si>
    <t>programmatic eis - oil shale and tar sands resource management (rmp) amendments to address land use allocations in colorado utah and wyoming</t>
  </si>
  <si>
    <t>Draft(12/21/2007);Final(09/05/2008)</t>
  </si>
  <si>
    <t>https://arizona.app.box.com/file/386215902799</t>
  </si>
  <si>
    <t>https://arizona.app.box.com/file/386224769535</t>
  </si>
  <si>
    <t>programmatic - wind energy development program to address stewardship conservation and resource use on blm-administered lands right-of-way grants western united states</t>
  </si>
  <si>
    <t>Draft(09/10/2004)</t>
  </si>
  <si>
    <t>https://arizona.app.box.com/file/386242234069</t>
  </si>
  <si>
    <t>glenwood springs resource area updated information oil &amp; gas leasing and development leasing lands in the naval oil shale reserves resource management plan amendment garfield county co</t>
  </si>
  <si>
    <t>Draft Supplement(06/19/1998)</t>
  </si>
  <si>
    <t>oil and gas leasing on lands administered by the dixie national forest implementation garfield iron kane piute and washington counties ut</t>
  </si>
  <si>
    <t>Final(09/02/2011)</t>
  </si>
  <si>
    <t>https://arizona.app.box.com/file/389150597875</t>
  </si>
  <si>
    <t>project79</t>
  </si>
  <si>
    <t>beasley pond analysis area</t>
  </si>
  <si>
    <t>Draft(03/06/2015);Final(10/21/2016)</t>
  </si>
  <si>
    <t>https://arizona.app.box.com/file/389170753451</t>
  </si>
  <si>
    <t>https://arizona.app.box.com/file/386237678098</t>
  </si>
  <si>
    <t>musselshell analysis area implementation pierce ranger district clearwater national forest clearwater county id</t>
  </si>
  <si>
    <t>Final(03/26/1999);Draft(11/08/1996)</t>
  </si>
  <si>
    <t>project790</t>
  </si>
  <si>
    <t>programmatic - amendment 4 incorporation of the revised wa shoreline management act guidelines into the federal approved wa czm program</t>
  </si>
  <si>
    <t>Final(11/12/2010);Draft(02/29/2008)</t>
  </si>
  <si>
    <t>programmatic - incorporation of the revised washington shoreline management act guidelines into the federally approved washington coastal management program amendment no. 4 approval coastal counties in wa</t>
  </si>
  <si>
    <t>https://arizona.app.box.com/file/386244111078</t>
  </si>
  <si>
    <t>watershed management program standards and guidelines implementation id nv mt or wa and wy</t>
  </si>
  <si>
    <t>Final(07/25/1997);Draft(01/31/1997)</t>
  </si>
  <si>
    <t>wildlife mitigation program standards and guidelines implementation columbia river basin wa or id mt wy and nv</t>
  </si>
  <si>
    <t>Final(04/04/1997);Draft(08/23/1996)</t>
  </si>
  <si>
    <t>initial northwest power act power sales and residential exchange contracts guidelines and</t>
  </si>
  <si>
    <t>Final(03/20/1992);Draft(10/12/1990)</t>
  </si>
  <si>
    <t>programmatic - conservation reserve program</t>
  </si>
  <si>
    <t>Second Final Supplemental(12/29/2014)</t>
  </si>
  <si>
    <t>FSA</t>
  </si>
  <si>
    <t>https://arizona.app.box.com/file/389262523862</t>
  </si>
  <si>
    <t>project791</t>
  </si>
  <si>
    <t>programmatic - apache-sitgreaves national forests land management plan</t>
  </si>
  <si>
    <t>Final(09/25/2015);Draft(02/15/2013)</t>
  </si>
  <si>
    <t>https://arizona.app.box.com/file/389261031002</t>
  </si>
  <si>
    <t>https://arizona.app.box.com/file/389166849304</t>
  </si>
  <si>
    <t>https://arizona.app.box.com/file/389163189817</t>
  </si>
  <si>
    <t>rim lakes forest restoration project amendment to the apache-sitgreaves national forests land and resource management plan</t>
  </si>
  <si>
    <t>https://arizona.app.box.com/file/389263393886</t>
  </si>
  <si>
    <t>rim lakes forest restoration project amendment to the apache-sitgreaves national forests land and resource management plan coconino county az</t>
  </si>
  <si>
    <t>Draft(09/28/2012)</t>
  </si>
  <si>
    <t>https://arizona.app.box.com/file/389162330329</t>
  </si>
  <si>
    <t>apache-sitgreaves national forest land and resource management plan implementation apache coconino greenlee and navajo counties az</t>
  </si>
  <si>
    <t>Final(11/06/1987)</t>
  </si>
  <si>
    <t>project798</t>
  </si>
  <si>
    <t>programmatic - coral reef restoration plan implementation biscayne national park homestead fl</t>
  </si>
  <si>
    <t>Final(05/06/2011);Draft(04/30/2010)</t>
  </si>
  <si>
    <t>https://arizona.app.box.com/file/386248532677</t>
  </si>
  <si>
    <t>https://arizona.app.box.com/file/386219088698</t>
  </si>
  <si>
    <t>biscayne national park fishery management plan</t>
  </si>
  <si>
    <t>https://arizona.app.box.com/file/389256879622</t>
  </si>
  <si>
    <t>https://arizona.app.box.com/file/389164469116</t>
  </si>
  <si>
    <t>biscayne national park supplemental draft general management plan</t>
  </si>
  <si>
    <t>Draft Supplement(11/22/2013)</t>
  </si>
  <si>
    <t>https://arizona.app.box.com/file/389263141128</t>
  </si>
  <si>
    <t>https://arizona.app.box.com/file/389152741307</t>
  </si>
  <si>
    <t>project799</t>
  </si>
  <si>
    <t>programmatic - coral restoration in the florida keys and flower garden banks national marine sanctuaries implementation fl tx and la</t>
  </si>
  <si>
    <t>Final(08/27/2010);Draft(06/06/2008)</t>
  </si>
  <si>
    <t>https://arizona.app.box.com/file/386243336018</t>
  </si>
  <si>
    <t>https://arizona.app.box.com/file/386230002058</t>
  </si>
  <si>
    <t>flower garden banks national marine sanctuary establishment designation la and tx</t>
  </si>
  <si>
    <t>Final(08/02/1991);Draft(02/24/1989)</t>
  </si>
  <si>
    <t>programmatic - seagrass restoration in the florida keys national marine sanctuary implementation us army coe section 404 permit monroe county fl</t>
  </si>
  <si>
    <t>Final(09/10/2004);Draft(06/25/2004)</t>
  </si>
  <si>
    <t>https://arizona.app.box.com/file/386218653053</t>
  </si>
  <si>
    <t>https://arizona.app.box.com/file/386230357027</t>
  </si>
  <si>
    <t>florida keys national marine sanctuary comprehensive management plan implementation and special-use-permit monroe county fl</t>
  </si>
  <si>
    <t>Final(09/27/1996);Draft(05/12/1995)</t>
  </si>
  <si>
    <t>project8</t>
  </si>
  <si>
    <t>aguirre offshore gasport project</t>
  </si>
  <si>
    <t>Draft(08/15/2014);Final(02/27/2015)</t>
  </si>
  <si>
    <t>https://arizona.app.box.com/file/389255963750</t>
  </si>
  <si>
    <t>https://arizona.app.box.com/file/389168534553</t>
  </si>
  <si>
    <t>https://arizona.app.box.com/file/389166003550</t>
  </si>
  <si>
    <t>https://arizona.app.box.com/file/389269099464</t>
  </si>
  <si>
    <t>https://arizona.app.box.com/file/389140854274</t>
  </si>
  <si>
    <t>project800</t>
  </si>
  <si>
    <t>programmatic - deepwater horizon oil spill final programmatic damage assessment and restoration plan</t>
  </si>
  <si>
    <t>Final(02/19/2016);Draft(10/05/2015)</t>
  </si>
  <si>
    <t>programmatic - deepwater horizon oil spill natural resources damage assessment phase iii early restoration plan</t>
  </si>
  <si>
    <t>project801</t>
  </si>
  <si>
    <t>Draft(12/13/2013);Final(06/27/2014)</t>
  </si>
  <si>
    <t>project802</t>
  </si>
  <si>
    <t>programmatic - eagle rule revision</t>
  </si>
  <si>
    <t>Draft(05/06/2016);Final(11/10/2016)</t>
  </si>
  <si>
    <t>gila national forest travel management rule implementation</t>
  </si>
  <si>
    <t>https://arizona.app.box.com/file/389262826761</t>
  </si>
  <si>
    <t>programmatic - national forest system land management planning proposing a new rule at 36 cfr part 219 guide development revision and amendment of land management plans for unit of the national forest system</t>
  </si>
  <si>
    <t>Draft(02/25/2011);Final(02/03/2012);Final(01/20/2012)</t>
  </si>
  <si>
    <t>https://arizona.app.box.com/file/389145064273</t>
  </si>
  <si>
    <t>https://arizona.app.box.com/file/389157976966</t>
  </si>
  <si>
    <t>north fork wells of eagle creek</t>
  </si>
  <si>
    <t>Draft Supplement(11/14/2014);Final(11/20/2015)</t>
  </si>
  <si>
    <t>https://arizona.app.box.com/file/389263871662</t>
  </si>
  <si>
    <t>https://arizona.app.box.com/file/389153988504</t>
  </si>
  <si>
    <t>https://arizona.app.box.com/file/389170643085</t>
  </si>
  <si>
    <t>https://arizona.app.box.com/file/386240812130</t>
  </si>
  <si>
    <t>project803</t>
  </si>
  <si>
    <t>Draft(03/30/2012);Final(03/07/2014)</t>
  </si>
  <si>
    <t>geological and geophysical activities on the gulf of mexico outer continental shelf</t>
  </si>
  <si>
    <t>https://arizona.app.box.com/file/389165650364</t>
  </si>
  <si>
    <t>programmatic - alternative energy development and production and alternate use of facilities on the outer continental shelf implementation atlantic gulf of mexico pacific and alaska</t>
  </si>
  <si>
    <t>Final(11/09/2007);Draft(03/16/2007)</t>
  </si>
  <si>
    <t>https://arizona.app.box.com/file/386241472029</t>
  </si>
  <si>
    <t>https://arizona.app.box.com/file/386229894609</t>
  </si>
  <si>
    <t>delineation drilling activities in federal water offshore santa barbara county federal outer continental shelf (ocs) mobile offshore drilling unit (modu) santa barbara county ca</t>
  </si>
  <si>
    <t>Draft(06/29/2001)</t>
  </si>
  <si>
    <t>project805</t>
  </si>
  <si>
    <t>programmatic - habitat restoration activities implemented throughout the coastal united states</t>
  </si>
  <si>
    <t>Draft(01/30/2015);Final(06/19/2015)</t>
  </si>
  <si>
    <t>https://arizona.app.box.com/file/389264588951</t>
  </si>
  <si>
    <t>https://arizona.app.box.com/file/389163283802</t>
  </si>
  <si>
    <t>https://arizona.app.box.com/file/389163325534</t>
  </si>
  <si>
    <t>programmatic - geothermal leasing in the western united states</t>
  </si>
  <si>
    <t>Final(10/24/2008);Draft(06/20/2008)</t>
  </si>
  <si>
    <t>https://arizona.app.box.com/file/386242553038</t>
  </si>
  <si>
    <t>https://arizona.app.box.com/file/386242405216</t>
  </si>
  <si>
    <t>programmatic - southwest coastal louisiana project</t>
  </si>
  <si>
    <t>https://arizona.app.box.com/file/389265239203</t>
  </si>
  <si>
    <t>https://arizona.app.box.com/file/389152666606</t>
  </si>
  <si>
    <t>programmatic - northern border activities program propose to enhance its program of security along the united states' northern border with canada from maine to washington</t>
  </si>
  <si>
    <t>Draft(09/16/2011);Final(07/27/2012)</t>
  </si>
  <si>
    <t>ME nan</t>
  </si>
  <si>
    <t>https://arizona.app.box.com/file/386240259720</t>
  </si>
  <si>
    <t>programmatic - nationwide public safety broadband network for the non-contiguous united states</t>
  </si>
  <si>
    <t>Draft(03/04/2016)</t>
  </si>
  <si>
    <t>https://arizona.app.box.com/file/389163876384</t>
  </si>
  <si>
    <t>https://arizona.app.box.com/file/386225737381</t>
  </si>
  <si>
    <t>project806</t>
  </si>
  <si>
    <t>programmatic - hawaiian monk seal recovery actions</t>
  </si>
  <si>
    <t>Draft(08/19/2011);Final(04/11/2014)</t>
  </si>
  <si>
    <t>https://arizona.app.box.com/file/389263440181</t>
  </si>
  <si>
    <t>programmatic - hawaiian monk seal recovery actions to prevent the extinction of the species hi</t>
  </si>
  <si>
    <t>https://arizona.app.box.com/file/386239711008</t>
  </si>
  <si>
    <t>missouri river recovery management plan</t>
  </si>
  <si>
    <t>https://arizona.app.box.com/file/389178727490</t>
  </si>
  <si>
    <t>https://arizona.app.box.com/file/386214957712</t>
  </si>
  <si>
    <t>cook inlet beluga whale stock federal actions associated with the management and recovery implementation cook inlet ak</t>
  </si>
  <si>
    <t>Draft(10/06/2000);Final(09/26/2003)</t>
  </si>
  <si>
    <t>https://arizona.app.box.com/file/386226259935</t>
  </si>
  <si>
    <t>programmatic - steller sea lion and northern fur seal research proposal to disburse funds and issue permit for research ak wa or and ca</t>
  </si>
  <si>
    <t>Draft(02/16/2007);Final(05/11/2007)</t>
  </si>
  <si>
    <t>https://arizona.app.box.com/file/386244146753</t>
  </si>
  <si>
    <t>https://arizona.app.box.com/file/386237247229</t>
  </si>
  <si>
    <t>project815</t>
  </si>
  <si>
    <t>programmatic - nationwide public safety broadband network for the central united states</t>
  </si>
  <si>
    <t>Draft(08/12/2016);Final(09/01/2017)</t>
  </si>
  <si>
    <t>FirstNet</t>
  </si>
  <si>
    <t>https://arizona.app.box.com/file/389172731077</t>
  </si>
  <si>
    <t>https://arizona.app.box.com/file/386215889956</t>
  </si>
  <si>
    <t>programmatic - south region of the nationwide public safety broadband network</t>
  </si>
  <si>
    <t>Draft(10/14/2016)</t>
  </si>
  <si>
    <t>https://arizona.app.box.com/file/389173020511</t>
  </si>
  <si>
    <t>https://arizona.app.box.com/file/386241081884</t>
  </si>
  <si>
    <t>non-contiguous region of the nationwide public safety broadband network</t>
  </si>
  <si>
    <t>Final(06/30/2017)</t>
  </si>
  <si>
    <t>https://arizona.app.box.com/file/389176684467</t>
  </si>
  <si>
    <t>project816</t>
  </si>
  <si>
    <t>programmatic - nationwide public safety broadband network for the eastern united states</t>
  </si>
  <si>
    <t>Final(10/27/2017);Draft(05/06/2016)</t>
  </si>
  <si>
    <t>project818</t>
  </si>
  <si>
    <t>programmatic - nationwide public safety broadband network for the western united states</t>
  </si>
  <si>
    <t>Draft(09/15/2016);Final(07/21/2017)</t>
  </si>
  <si>
    <t>project82</t>
  </si>
  <si>
    <t>beaver creek mountain improvements project speical use permit white river national forest eagle county co</t>
  </si>
  <si>
    <t>Draft(11/25/2011);Final(05/11/2012)</t>
  </si>
  <si>
    <t>https://arizona.app.box.com/file/389264070638</t>
  </si>
  <si>
    <t>beaver creek project</t>
  </si>
  <si>
    <t>https://arizona.app.box.com/file/389263152043</t>
  </si>
  <si>
    <t>https://arizona.app.box.com/file/389169054305</t>
  </si>
  <si>
    <t>beaver creek</t>
  </si>
  <si>
    <t>Final(02/28/2014)</t>
  </si>
  <si>
    <t>https://arizona.app.box.com/file/389255473575</t>
  </si>
  <si>
    <t>https://arizona.app.box.com/file/389163818467</t>
  </si>
  <si>
    <t>copper mountain resort trails and facilities improvements implementation special use permit white river national forest dillon ranger district summit county co</t>
  </si>
  <si>
    <t>Final(03/03/2006);Draft(07/25/2003)</t>
  </si>
  <si>
    <t>https://arizona.app.box.com/file/389162123364</t>
  </si>
  <si>
    <t>https://arizona.app.box.com/file/386265137337</t>
  </si>
  <si>
    <t>project822</t>
  </si>
  <si>
    <t>programmatic - omnibus essential fish habitat amendment 2</t>
  </si>
  <si>
    <t>Draft(04/06/2007);Final(10/27/2017)</t>
  </si>
  <si>
    <t>omnibus essential fish habitat amendment 2</t>
  </si>
  <si>
    <t>https://arizona.app.box.com/file/389263554676</t>
  </si>
  <si>
    <t>https://arizona.app.box.com/file/389171614792</t>
  </si>
  <si>
    <t>phase i - essential fish habitat omnibus amendment #2 designations for 27 species amendment #14 to the northeast multispecies fmp amendment #14 to the atlantic scallop fmp amendment #3 to the atlantic herring fmp amendment 4 to the monkfish fmp amendment 1 to the deep-sea red crab fmp amendment 2 to the skates fmp and amendment 3 to the atlantic salmon fmp maine to north carolina</t>
  </si>
  <si>
    <t>Draft(04/06/2007)</t>
  </si>
  <si>
    <t>https://arizona.app.box.com/file/386243877103</t>
  </si>
  <si>
    <t>essential fish habitat identification and conservation implementation north pacific fishery management council magnuson-stevens fishery conservation and management act ak</t>
  </si>
  <si>
    <t>Final(05/06/2005);Draft(01/16/2004)</t>
  </si>
  <si>
    <t>https://arizona.app.box.com/file/386230223663</t>
  </si>
  <si>
    <t>https://arizona.app.box.com/file/386245782604</t>
  </si>
  <si>
    <t>pacific coast groundfish fishery management plan to conserve and enhance essential fish habitat designation and minimization of adverse impacts pacific coast exclusive economic zone wa or and ca</t>
  </si>
  <si>
    <t>Draft(02/11/2005)</t>
  </si>
  <si>
    <t>https://arizona.app.box.com/file/386217379708</t>
  </si>
  <si>
    <t>project823</t>
  </si>
  <si>
    <t>programmatic - outer continental shelf oil and gas leasing program - 2012-2017 in six planning area western central and eastern gulf of mexico cook inlet the beaufort sea and the chukchi sea</t>
  </si>
  <si>
    <t>gulf of mexico outer continental shelf oil and gas lease sales: 2011 western planning area sales 218 tx</t>
  </si>
  <si>
    <t>Draft Supplement(04/22/2011);Final Supplement(08/12/2011)</t>
  </si>
  <si>
    <t>https://arizona.app.box.com/file/386222349670</t>
  </si>
  <si>
    <t>https://arizona.app.box.com/file/386251097411</t>
  </si>
  <si>
    <t>project824</t>
  </si>
  <si>
    <t>programmatic - portland harbor restoration plan</t>
  </si>
  <si>
    <t>Draft(07/06/2012);Final(06/23/2017)</t>
  </si>
  <si>
    <t>programmatic - portland harbor restoration plan restoration of injured natural resources multnomah county or</t>
  </si>
  <si>
    <t>Draft(07/06/2012)</t>
  </si>
  <si>
    <t>https://arizona.app.box.com/file/389261528289</t>
  </si>
  <si>
    <t>https://arizona.app.box.com/file/386218559490</t>
  </si>
  <si>
    <t>lake oswego to portland transit project to improve transit service with the lake oswego to portland transit corridor clackamas and multnomah counties or</t>
  </si>
  <si>
    <t>Draft(12/03/2010)</t>
  </si>
  <si>
    <t>https://arizona.app.box.com/file/386245682768</t>
  </si>
  <si>
    <t>bull run water supply habitat conservation plan application for and incidental take permit to cover the continued operation and maintenance sandy river basin city of portland or</t>
  </si>
  <si>
    <t>Final(01/23/2009);Draft(03/21/2008)</t>
  </si>
  <si>
    <t>https://arizona.app.box.com/file/386217222014</t>
  </si>
  <si>
    <t>https://arizona.app.box.com/file/386245914381</t>
  </si>
  <si>
    <t>project825</t>
  </si>
  <si>
    <t>programmatic - restoration resulting from the kalamazoo river natural resource damage assessment</t>
  </si>
  <si>
    <t>Draft(09/14/2015);Final(08/29/2016)</t>
  </si>
  <si>
    <t>https://arizona.app.box.com/file/389175521875</t>
  </si>
  <si>
    <t>https://arizona.app.box.com/file/386237759501</t>
  </si>
  <si>
    <t>programmatic - lower duwamish river natural resource damage assessment (nrda) restoration plan implementation king county wa</t>
  </si>
  <si>
    <t>Draft(05/29/2009)</t>
  </si>
  <si>
    <t>https://arizona.app.box.com/file/386214351642</t>
  </si>
  <si>
    <t>project827</t>
  </si>
  <si>
    <t>programmatic - uranium leasing program</t>
  </si>
  <si>
    <t>Final(03/21/2014);Draft(03/15/2013)</t>
  </si>
  <si>
    <t>https://arizona.app.box.com/file/389263760115</t>
  </si>
  <si>
    <t>https://arizona.app.box.com/file/389169036394</t>
  </si>
  <si>
    <t>programmatic - draft uranium leasing program</t>
  </si>
  <si>
    <t>https://arizona.app.box.com/file/389264812040</t>
  </si>
  <si>
    <t>https://arizona.app.box.com/file/389165786084</t>
  </si>
  <si>
    <t>sheep mountain uranium project</t>
  </si>
  <si>
    <t>https://arizona.app.box.com/file/389262446717</t>
  </si>
  <si>
    <t>https://arizona.app.box.com/file/389168260655</t>
  </si>
  <si>
    <t>project828</t>
  </si>
  <si>
    <t>programmatic - us army garrison fort campbell, training mission and mission support activities</t>
  </si>
  <si>
    <t>Final(05/13/2016);Draft(01/16/2015)</t>
  </si>
  <si>
    <t>Final(05/13/2016)</t>
  </si>
  <si>
    <t>https://arizona.app.box.com/file/389172248074</t>
  </si>
  <si>
    <t>https://arizona.app.box.com/file/386238519687</t>
  </si>
  <si>
    <t>fort stewart training range and garrison support facilities construction and operation liberty long bryan evans and tattnall counties ga</t>
  </si>
  <si>
    <t>Final(08/13/2010);Draft(04/02/2010)</t>
  </si>
  <si>
    <t>https://arizona.app.box.com/file/386219061643</t>
  </si>
  <si>
    <t>https://arizona.app.box.com/file/386231083960</t>
  </si>
  <si>
    <t>schofield generating station project at united states army garrison</t>
  </si>
  <si>
    <t>Draft(04/24/2015)</t>
  </si>
  <si>
    <t>https://arizona.app.box.com/file/389269301875</t>
  </si>
  <si>
    <t>https://arizona.app.box.com/file/389162967754</t>
  </si>
  <si>
    <t>project830</t>
  </si>
  <si>
    <t>programmatic - yuma proving ground activities and operations</t>
  </si>
  <si>
    <t>Final(04/24/2015);Draft(08/16/2013)</t>
  </si>
  <si>
    <t>https://arizona.app.box.com/file/389153171605</t>
  </si>
  <si>
    <t>https://arizona.app.box.com/file/386234135227</t>
  </si>
  <si>
    <t>yuma proving ground multipurpose installation diversification of mission and changes to land use npdes general permit and coe section 404 permit yuma and la pas counties az</t>
  </si>
  <si>
    <t>Final(07/20/2001);Draft(08/21/1998)</t>
  </si>
  <si>
    <t>activities associated with future programs at u.s. army dugway proving ground implementation tooele and juab counties ut</t>
  </si>
  <si>
    <t>Final(10/15/2004)</t>
  </si>
  <si>
    <t>activities associated with future programs at u.s. army dugway proving ground implementation tooele and jaub counties ut</t>
  </si>
  <si>
    <t>Draft(07/05/2002)</t>
  </si>
  <si>
    <t>https://arizona.app.box.com/file/386247139391</t>
  </si>
  <si>
    <t>jefferson proving ground disposal and reuse implementation town of madison jefferson jennings and ripley counties in</t>
  </si>
  <si>
    <t>Draft(03/31/1995);Final(10/20/1995)</t>
  </si>
  <si>
    <t>project835</t>
  </si>
  <si>
    <t>proposed resource management plans for the beaver dam wash and red cliffs national conservation areas; proposed amendment to the st. george field office resource management plan</t>
  </si>
  <si>
    <t>Final(09/02/2016);Draft(07/17/2015)</t>
  </si>
  <si>
    <t>https://arizona.app.box.com/file/389165017563</t>
  </si>
  <si>
    <t>https://arizona.app.box.com/file/386237624812</t>
  </si>
  <si>
    <t>beaver dam wash national conservation area red cliffs national conservation area draft amendment to the st. geroge field office resource management plan</t>
  </si>
  <si>
    <t>Draft(07/17/2015)</t>
  </si>
  <si>
    <t>https://arizona.app.box.com/file/389170539252</t>
  </si>
  <si>
    <t>https://arizona.app.box.com/file/386214030860</t>
  </si>
  <si>
    <t>project837</t>
  </si>
  <si>
    <t>proposed white elk military operations area</t>
  </si>
  <si>
    <t>Draft(08/15/2008);Final(05/20/2011)</t>
  </si>
  <si>
    <t>white elk military operations area propose to establish a new military operations area (moa) linked to the utah test utah and training range (uttr) airspaces nevada hill air force base ut and nevada</t>
  </si>
  <si>
    <t>NV UT</t>
  </si>
  <si>
    <t>https://arizona.app.box.com/file/386245949260</t>
  </si>
  <si>
    <t>allegheny national forest proposed revised land and resource management plan implementation elk forest mckean and warren counties pa</t>
  </si>
  <si>
    <t>Draft(05/26/2006)</t>
  </si>
  <si>
    <t>https://arizona.app.box.com/file/389150401307</t>
  </si>
  <si>
    <t>elk creek lake project construction and operation implementation updated and additional information jackson county or</t>
  </si>
  <si>
    <t>Second Final Supplemental(05/10/1991)</t>
  </si>
  <si>
    <t>elk creek lake project construction and operation rogue river implementation jackson county or</t>
  </si>
  <si>
    <t>Second Draft Supplemental(12/14/1990)</t>
  </si>
  <si>
    <t>white-tailed deer management plan implementation gettysburg national military park and eisenhower historic site adams county pa</t>
  </si>
  <si>
    <t>Draft(12/09/1994);Final(06/09/1995)</t>
  </si>
  <si>
    <t>project838</t>
  </si>
  <si>
    <t>proposed widening of the pascagoula lower sound/bayou casotte channel jackson county ms</t>
  </si>
  <si>
    <t>Draft(04/13/2012);Final(10/12/2012)</t>
  </si>
  <si>
    <t>https://arizona.app.box.com/file/389253891520</t>
  </si>
  <si>
    <t>https://arizona.app.box.com/file/386232399695</t>
  </si>
  <si>
    <t>pascagoula lower sound/bayou casotte channel widening issuance of a permit to dredge or excavate adjacent to a federal navigation channel in or affecting navigable waters of the u.s. jackson county ms</t>
  </si>
  <si>
    <t>Draft(04/13/2012)</t>
  </si>
  <si>
    <t>https://arizona.app.box.com/file/386266151242</t>
  </si>
  <si>
    <t>bayou casotte harbor channel improvement project</t>
  </si>
  <si>
    <t>Draft(05/30/2014)</t>
  </si>
  <si>
    <t>https://arizona.app.box.com/file/389152797995</t>
  </si>
  <si>
    <t>pascagoula harbor navigation channel project to construct congressionally authorized widening and deepening improvements to update the feis-1985 jackson county ms</t>
  </si>
  <si>
    <t>Draft Supplement(07/06/2007);Final Supplement(07/23/2010)</t>
  </si>
  <si>
    <t>https://arizona.app.box.com/file/386245284591</t>
  </si>
  <si>
    <t>https://arizona.app.box.com/file/386232555960</t>
  </si>
  <si>
    <t>casotte landing liquefied natural gas (lng) import and interstate natural gas transmission facilities construction and operation us army coe section 404 permit (ferc/eis-0193d) near the city of pascagoula jackson county ms</t>
  </si>
  <si>
    <t>Final(12/29/2006);Draft(05/26/2006)</t>
  </si>
  <si>
    <t>SC MS</t>
  </si>
  <si>
    <t>https://arizona.app.box.com/file/386236582916</t>
  </si>
  <si>
    <t>https://arizona.app.box.com/file/386213438206</t>
  </si>
  <si>
    <t>project839</t>
  </si>
  <si>
    <t>provo river delta restoration project</t>
  </si>
  <si>
    <t>Final(04/17/2015);Draft(02/28/2014)</t>
  </si>
  <si>
    <t>https://arizona.app.box.com/file/389263008365</t>
  </si>
  <si>
    <t>https://arizona.app.box.com/file/389162264554</t>
  </si>
  <si>
    <t>https://arizona.app.box.com/file/389269464031</t>
  </si>
  <si>
    <t>https://arizona.app.box.com/file/389162199800</t>
  </si>
  <si>
    <t>bay delta conservation plan</t>
  </si>
  <si>
    <t>https://arizona.app.box.com/file/389278420685</t>
  </si>
  <si>
    <t>https://arizona.app.box.com/file/389165686060</t>
  </si>
  <si>
    <t>williamson river delta restoration project restoration and maintenance of the ecological functions of the delta williamson river klamath county or</t>
  </si>
  <si>
    <t>https://arizona.app.box.com/file/386240163636</t>
  </si>
  <si>
    <t>williamson river delta restoration project to restore and maintain the ecological functions of the delta williamson river klamath county or</t>
  </si>
  <si>
    <t>project841</t>
  </si>
  <si>
    <t>public sale of plum island</t>
  </si>
  <si>
    <t>Draft(07/20/2012);Final(07/05/2013)</t>
  </si>
  <si>
    <t>https://arizona.app.box.com/file/389261516964</t>
  </si>
  <si>
    <t>https://arizona.app.box.com/file/389168712813</t>
  </si>
  <si>
    <t>public sale of plum island animal disease center long island sound suffolk county ny</t>
  </si>
  <si>
    <t>https://arizona.app.box.com/file/386243943495</t>
  </si>
  <si>
    <t>control lake timber sale implementation prince of wales island tongass national forest ak</t>
  </si>
  <si>
    <t>Draft(11/03/1995);Final(06/05/1998)</t>
  </si>
  <si>
    <t>plum creek timber sale issuance of a permit to allow incidental take and habitat conservation plan (hcp) for threatended and endangered species implementation eastern and western cascade provinces in the cascade mountains king and kittitas counties wa</t>
  </si>
  <si>
    <t>Final(04/12/1996)</t>
  </si>
  <si>
    <t>plum creek native fish habitat conservation plan issuance of an incidental take permit for federally protected native fish species mt id and wa</t>
  </si>
  <si>
    <t>Final(09/22/2000);Draft(12/17/1999)</t>
  </si>
  <si>
    <t>MT Multi</t>
  </si>
  <si>
    <t>https://arizona.app.box.com/file/389161321989</t>
  </si>
  <si>
    <t>https://arizona.app.box.com/file/389165695055</t>
  </si>
  <si>
    <t>project843</t>
  </si>
  <si>
    <t>purple line draft section 4(f) evaluation</t>
  </si>
  <si>
    <t>Final(09/06/2013);Draft(10/17/2008)</t>
  </si>
  <si>
    <t>https://arizona.app.box.com/file/389265967461</t>
  </si>
  <si>
    <t>https://arizona.app.box.com/file/389169109447</t>
  </si>
  <si>
    <t>westside purple line extension section 4(f) evaluation</t>
  </si>
  <si>
    <t>Final Supplement(12/01/2017)</t>
  </si>
  <si>
    <t>purple line transit project proposed 16-mile rapid transit line extending from bethesda in montgomery county to new carrollton in prince george's county md</t>
  </si>
  <si>
    <t>https://arizona.app.box.com/file/386249195245</t>
  </si>
  <si>
    <t>project847</t>
  </si>
  <si>
    <t>rasmussen valley mine</t>
  </si>
  <si>
    <t>Final(09/09/2016);Draft(09/18/2015)</t>
  </si>
  <si>
    <t>Draft(09/18/2015)</t>
  </si>
  <si>
    <t>https://arizona.app.box.com/file/389163009899</t>
  </si>
  <si>
    <t>https://arizona.app.box.com/file/386239582872</t>
  </si>
  <si>
    <t>north rasmussen ridge mine agrium conda phosphate operations existing mining operations extension federal phosphate leases with the caribou-tarhee national forest soad springs caribou county id</t>
  </si>
  <si>
    <t>https://arizona.app.box.com/file/386242259460</t>
  </si>
  <si>
    <t>project848</t>
  </si>
  <si>
    <t>rationalization of the pacific coast groundfish limited entry trawl fishery amendment 20 implementation wa or and ca</t>
  </si>
  <si>
    <t>Draft(12/04/2009);Final(06/25/2010)</t>
  </si>
  <si>
    <t>https://arizona.app.box.com/file/386243206158</t>
  </si>
  <si>
    <t>pacific coast groundfish fishery management plan (fmp) approval and implementation of fmp amendment no. 4 ca or and wa (fs-1)</t>
  </si>
  <si>
    <t>Final Supplement(11/23/1990)</t>
  </si>
  <si>
    <t>pacific coast groundfish fishery management plan (fmp) license limitation program approval and implementation of amendment #6 or wa and ca (ds3)</t>
  </si>
  <si>
    <t>Third Draft Supplemental(01/18/1991)</t>
  </si>
  <si>
    <t>pacific coast groundfish fishery management plan (fmp) updated information and changes to the current fmp amendment no. 4 ca or and wa (ds-2)</t>
  </si>
  <si>
    <t>Second Draft Supplemental(02/16/1990)</t>
  </si>
  <si>
    <t>project850</t>
  </si>
  <si>
    <t>rebuild by design - hudson river (rbd-hr)</t>
  </si>
  <si>
    <t>Final(06/16/2017);Draft(02/24/2017)</t>
  </si>
  <si>
    <t>rebuild by design (rbd) meadowlands flood control project</t>
  </si>
  <si>
    <t>Final(10/26/2018)</t>
  </si>
  <si>
    <t>New Jersey Department of Environmental Protection</t>
  </si>
  <si>
    <t>https://arizona.app.box.com/file/389174781825</t>
  </si>
  <si>
    <t>https://arizona.app.box.com/file/386238151811</t>
  </si>
  <si>
    <t>rebuild by design hudson river: resist, delay, store, discharge project</t>
  </si>
  <si>
    <t>Draft(02/24/2017)</t>
  </si>
  <si>
    <t>https://arizona.app.box.com/file/386226003134</t>
  </si>
  <si>
    <t>hudson river at athens new york navigation project design and construction of a spur navigation channel hudson river new york city ny</t>
  </si>
  <si>
    <t>Draft(12/03/2004)</t>
  </si>
  <si>
    <t>https://arizona.app.box.com/file/386236794940</t>
  </si>
  <si>
    <t>champlain hudson power express transmission line project</t>
  </si>
  <si>
    <t>https://arizona.app.box.com/file/389265227940</t>
  </si>
  <si>
    <t>https://arizona.app.box.com/file/389162111887</t>
  </si>
  <si>
    <t>saratoga national historical park general management plan implementation hudson river valley towns of stillwater and saratoga saratoga county ny</t>
  </si>
  <si>
    <t>Final(07/30/2004);Draft(01/02/2004)</t>
  </si>
  <si>
    <t>https://arizona.app.box.com/file/386242391699</t>
  </si>
  <si>
    <t>https://arizona.app.box.com/file/386218841339</t>
  </si>
  <si>
    <t>project851</t>
  </si>
  <si>
    <t>Draft(06/26/2015);Final(10/07/2016)</t>
  </si>
  <si>
    <t>recapitalization of infrastructure supporting naval spent nuclear fuel handling (doe/eis-0453-d)</t>
  </si>
  <si>
    <t>https://arizona.app.box.com/file/389165585986</t>
  </si>
  <si>
    <t>https://arizona.app.box.com/file/386236671686</t>
  </si>
  <si>
    <t>programmatic - spent nuclear fuel management and idaho national engineering laboratory environmental restoration and waste management programs implementation</t>
  </si>
  <si>
    <t>Final(04/28/1995)</t>
  </si>
  <si>
    <t>nat programmatic spent nuclear fuel management and idaho national engineering laboratory environmental restoration and waste management programs implementation</t>
  </si>
  <si>
    <t>Draft(07/01/1994)</t>
  </si>
  <si>
    <t>naval spent nuclear fuel container system management loading handling and dry storage transportation and storage handling and transportation of certain associated radioactive waste implementation united states</t>
  </si>
  <si>
    <t>Final(11/22/1996);Draft(05/17/1996)</t>
  </si>
  <si>
    <t>project854</t>
  </si>
  <si>
    <t>reef fish amendment 32 gag - rebuilding plan annual catch limits management measures red grouper - annual catch limits management measures grouper accountability measures gulf of mexico</t>
  </si>
  <si>
    <t>Draft(06/10/2011);Final(11/10/2011)</t>
  </si>
  <si>
    <t>https://arizona.app.box.com/file/386250758869</t>
  </si>
  <si>
    <t>https://arizona.app.box.com/file/386263467156</t>
  </si>
  <si>
    <t>generic - annual catch limits/accountability measures amendment for the gulf of mexico fishery management council's red drum reef fish shrimp coral and coral reefs fishery management plans implementing the national standard 1 guidelines</t>
  </si>
  <si>
    <t>Final(10/28/2011);Draft(07/01/2011)</t>
  </si>
  <si>
    <t>https://arizona.app.box.com/file/386224761617</t>
  </si>
  <si>
    <t>https://arizona.app.box.com/file/386243454591</t>
  </si>
  <si>
    <t>reef fish fishery management plan (fmp) secretarial amendment 1 to the reef fish fmp to set a 10-year rebuilding plan for red grouper with associated impacts on gag and other groupers gulf of mexico fl al ms la and tx</t>
  </si>
  <si>
    <t>Second Draft Supplemental(05/17/2002)</t>
  </si>
  <si>
    <t>https://arizona.app.box.com/file/386253205134</t>
  </si>
  <si>
    <t>project856</t>
  </si>
  <si>
    <t>remote vaccination program to reduce the prevalence of brucellosis in yellowstone bison</t>
  </si>
  <si>
    <t>Draft(05/28/2010);Final(01/24/2014)</t>
  </si>
  <si>
    <t>https://arizona.app.box.com/file/389262340708</t>
  </si>
  <si>
    <t>https://arizona.app.box.com/file/389137678931</t>
  </si>
  <si>
    <t>brucellosis remote vaccination program for bison project implementation yellowstone national park id mt and wy</t>
  </si>
  <si>
    <t>Draft(05/28/2010)</t>
  </si>
  <si>
    <t>https://arizona.app.box.com/file/386244722753</t>
  </si>
  <si>
    <t>interagency bison management plan for state of montana and yellowstone national park implementation maintain a wild free ranging population address the risk of brucellosis transmission park and gallatin counties mt</t>
  </si>
  <si>
    <t>Final(08/25/2000);Draft(06/12/1998)</t>
  </si>
  <si>
    <t>https://arizona.app.box.com/file/386246644708</t>
  </si>
  <si>
    <t>bison and elk management plan implementation national elk refuge/grand teton national park/john d. rockefeller jr. memorial parkway teton county wy</t>
  </si>
  <si>
    <t>Final(02/09/2007);Draft(07/22/2005)</t>
  </si>
  <si>
    <t>https://arizona.app.box.com/file/389150995857</t>
  </si>
  <si>
    <t>project858</t>
  </si>
  <si>
    <t>replacement robley rex va medical center</t>
  </si>
  <si>
    <t>Draft(10/26/2016);Final(04/28/2017)</t>
  </si>
  <si>
    <t>Final(04/28/2017)</t>
  </si>
  <si>
    <t>https://arizona.app.box.com/file/389176651483</t>
  </si>
  <si>
    <t>https://arizona.app.box.com/file/386215752971</t>
  </si>
  <si>
    <t>brooke army medical center replacement facility construction implementation fort sam houston bexar county tx</t>
  </si>
  <si>
    <t>Final(01/06/1989);Draft(08/19/1988)</t>
  </si>
  <si>
    <t>norfolk light rail transit system from the west terminus near eastern virginia medical center through eastern terminus on kempsville road funding us coe section 404 permit us cgd bridge permit city of norfolk va</t>
  </si>
  <si>
    <t>Draft Supplement(01/17/2003)</t>
  </si>
  <si>
    <t>https://arizona.app.box.com/file/386241414757</t>
  </si>
  <si>
    <t>north atlanta corridor transit improvements medical center station to north springs funding fulton and dekalb counties ga</t>
  </si>
  <si>
    <t>Final(05/10/1991);Draft(05/18/1990)</t>
  </si>
  <si>
    <t>project859</t>
  </si>
  <si>
    <t>res americas moapa solar energy center</t>
  </si>
  <si>
    <t>Draft(09/06/2013);Final(02/14/2014)</t>
  </si>
  <si>
    <t>https://arizona.app.box.com/file/389254495851</t>
  </si>
  <si>
    <t>https://arizona.app.box.com/file/389161959438</t>
  </si>
  <si>
    <t>project86</t>
  </si>
  <si>
    <t>berths 212-224 (yti) container terminal improvements project</t>
  </si>
  <si>
    <t>Draft(05/02/2014);Final(10/17/2014)</t>
  </si>
  <si>
    <t>https://arizona.app.box.com/file/389153261120</t>
  </si>
  <si>
    <t>https://arizona.app.box.com/file/389267817818</t>
  </si>
  <si>
    <t>https://arizona.app.box.com/file/389140789710</t>
  </si>
  <si>
    <t>berths 226-236 [everport] container terminal improvements project</t>
  </si>
  <si>
    <t>Draft(04/21/2017)</t>
  </si>
  <si>
    <t>https://arizona.app.box.com/file/389174356940</t>
  </si>
  <si>
    <t>https://arizona.app.box.com/file/386214204584</t>
  </si>
  <si>
    <t>berths 226 to 236 [everport] container terminal improvements project</t>
  </si>
  <si>
    <t>https://arizona.app.box.com/file/389177027762</t>
  </si>
  <si>
    <t>https://arizona.app.box.com/file/386243719743</t>
  </si>
  <si>
    <t>sunrise transportation corridor improvement or-212/224 from i-205 to us 26 funding right-of- way coe section 404 and npdes permits clackamas county or</t>
  </si>
  <si>
    <t>Draft(08/20/1993)</t>
  </si>
  <si>
    <t>berth 97-109 container terminal project proposed new wharves dredging backlands development improvements to the terminal entrance and bridges connecting berths 97-109 with berths 121-131 port of los angeles los angeles ca</t>
  </si>
  <si>
    <t>Draft(09/01/2006)</t>
  </si>
  <si>
    <t>https://arizona.app.box.com/file/386219166385</t>
  </si>
  <si>
    <t>project863</t>
  </si>
  <si>
    <t>Final(04/03/2015);Draft(07/23/2010)</t>
  </si>
  <si>
    <t>https://arizona.app.box.com/file/389170758636</t>
  </si>
  <si>
    <t>https://arizona.app.box.com/file/386216569038</t>
  </si>
  <si>
    <t>project864</t>
  </si>
  <si>
    <t>revised land and resource management plan for the george washington national forest</t>
  </si>
  <si>
    <t>Draft(06/03/2011);Final(12/19/2014)</t>
  </si>
  <si>
    <t>https://arizona.app.box.com/file/389264692613</t>
  </si>
  <si>
    <t>https://arizona.app.box.com/file/389172195331</t>
  </si>
  <si>
    <t>george washington national forest oil and gas land/resource management plan revised alleghany front lease area several counties wv and va</t>
  </si>
  <si>
    <t>Revised Final(02/05/1993)</t>
  </si>
  <si>
    <t>george washington national forest revised land and resource management plan consenting to oil and gas leasing in laurel fork special management area highland county va</t>
  </si>
  <si>
    <t>Third Draft Supplemental(08/23/1996);Final Supplement(02/14/1997)</t>
  </si>
  <si>
    <t>https://arizona.app.box.com/file/386241970178</t>
  </si>
  <si>
    <t>project868</t>
  </si>
  <si>
    <t>rex whitton expressway project to safely and reliably improve personal and freight mobility reduce traffic congestion us 50/63 (rex whitton expressway also known as whitton) facility in cole county mo</t>
  </si>
  <si>
    <t>Final(01/07/2011);Draft(01/08/2010)</t>
  </si>
  <si>
    <t>https://arizona.app.box.com/file/386241061612</t>
  </si>
  <si>
    <t>14th street bridge corridor project to reduce congestion enhance safety and improve traffic operation funding arlington va to washington dc</t>
  </si>
  <si>
    <t>https://arizona.app.box.com/file/386213604152</t>
  </si>
  <si>
    <t>mo-179 extension mo-50 west to the west edgewood boulevard funding right-of-way and coe section 404 permit jefferson city cole county mo</t>
  </si>
  <si>
    <t>Draft(07/22/1994);Final(07/26/1996)</t>
  </si>
  <si>
    <t>mo-63 corridor improvement project to correct roadway deficiencies reduce congestion and provide continuity along the mo-63 corridor on the existing roadway and on new location osage maries and phelps counties mo</t>
  </si>
  <si>
    <t>Draft(01/09/2009);Final(10/30/2009)</t>
  </si>
  <si>
    <t>https://arizona.app.box.com/file/386240974514</t>
  </si>
  <si>
    <t>https://arizona.app.box.com/file/386229514369</t>
  </si>
  <si>
    <t>https://arizona.app.box.com/file/386239322625</t>
  </si>
  <si>
    <t>https://arizona.app.box.com/file/386242874260</t>
  </si>
  <si>
    <t>project869</t>
  </si>
  <si>
    <t>rice solar energy project 150 megawatt solar energy generating facility 161-kv/230-kv electrical transmission tie-line and 161-kv/230-kv electrical interconnection switchyard riverside county ca</t>
  </si>
  <si>
    <t>Final(06/10/2011);Draft(10/22/2010)</t>
  </si>
  <si>
    <t>rice solar energy project proposed 150 megawatt solar energy generating facility a161-kv/230-kv electrical transmission tie-line ad a 161-kv/230-kv electrical interconnection switchyard riverside county ca</t>
  </si>
  <si>
    <t>Draft(10/22/2010)</t>
  </si>
  <si>
    <t>https://arizona.app.box.com/file/389167933736</t>
  </si>
  <si>
    <t>grapevine canyon wind project proposal to develop a wind energy generating facility up to 500 megawatts; (2) a 345 kilovolt (kv) electrical transmission tie-line; and (3) a 345-kv electrical interconnection switchyard coconino county az</t>
  </si>
  <si>
    <t>Final(06/08/2012);Draft(07/23/2010)</t>
  </si>
  <si>
    <t>https://arizona.app.box.com/file/389172151653</t>
  </si>
  <si>
    <t>https://arizona.app.box.com/file/389263300129</t>
  </si>
  <si>
    <t>https://arizona.app.box.com/file/389153074516</t>
  </si>
  <si>
    <t>https://arizona.app.box.com/file/389159351510</t>
  </si>
  <si>
    <t>https://arizona.app.box.com/file/389268157634</t>
  </si>
  <si>
    <t>https://arizona.app.box.com/file/389170640383</t>
  </si>
  <si>
    <t>project871</t>
  </si>
  <si>
    <t>rim fire recovery</t>
  </si>
  <si>
    <t>Final(09/05/2014);Draft(05/16/2014)</t>
  </si>
  <si>
    <t>https://arizona.app.box.com/file/389256508641</t>
  </si>
  <si>
    <t>https://arizona.app.box.com/file/389170914910</t>
  </si>
  <si>
    <t>https://arizona.app.box.com/file/389260423861</t>
  </si>
  <si>
    <t>rim fire reforestation</t>
  </si>
  <si>
    <t>Draft(11/27/2015)</t>
  </si>
  <si>
    <t>https://arizona.app.box.com/file/389173007582</t>
  </si>
  <si>
    <t>https://arizona.app.box.com/file/386240756471</t>
  </si>
  <si>
    <t>king-titus fire recovery project implementation klamath national forest siskiyou county ca</t>
  </si>
  <si>
    <t>Draft(11/17/1989);Final(07/06/1990)</t>
  </si>
  <si>
    <t>summit fire recovery forest restoration project implementation malheur national forest long creek ranger district grant county or</t>
  </si>
  <si>
    <t>Draft(04/04/1997);Draft Supplement(03/27/1998);Final Supplement(06/12/1998);Final(10/10/1997)</t>
  </si>
  <si>
    <t>https://arizona.app.box.com/file/386246683350</t>
  </si>
  <si>
    <t>project874</t>
  </si>
  <si>
    <t>rim paunina project and forest plan amendments crescent ranger district deschutes national forest klamath county or</t>
  </si>
  <si>
    <t>Draft(04/06/2012);Final(02/01/2013)</t>
  </si>
  <si>
    <t>Final(02/01/2013)</t>
  </si>
  <si>
    <t>https://arizona.app.box.com/file/389264727006</t>
  </si>
  <si>
    <t>rim-paunina project and forest plan amendment to decrease the density of trees implementation crescent ranger district deschutes national forest klamath county or</t>
  </si>
  <si>
    <t>Draft(04/06/2012)</t>
  </si>
  <si>
    <t>https://arizona.app.box.com/file/389135872208</t>
  </si>
  <si>
    <t>project875</t>
  </si>
  <si>
    <t>rinconada communication site designation of site to serve present and future high power communication needs and to permit the development of a radio transmission facility within site mt. taylor ranger district cibola national forest cibola county nm</t>
  </si>
  <si>
    <t>Final(05/06/2011);Draft(07/10/2009)</t>
  </si>
  <si>
    <t>https://arizona.app.box.com/file/386244018934</t>
  </si>
  <si>
    <t>la jara mesa mine project development operation and mine reclamation up to 20 years approval mt. taylor ranger district cibola national forest cibola county nm</t>
  </si>
  <si>
    <t>Draft(05/18/2012)</t>
  </si>
  <si>
    <t>https://arizona.app.box.com/file/389264023342</t>
  </si>
  <si>
    <t>https://arizona.app.box.com/file/389160692925</t>
  </si>
  <si>
    <t>https://arizona.app.box.com/file/389263893089</t>
  </si>
  <si>
    <t>https://arizona.app.box.com/file/389161684335</t>
  </si>
  <si>
    <t>northern integrated supply project construction and operation a regional water supply to serve the current and future water needs o f 12 towns and water district approval of section 404 permit application northern colorado water conservancy district larimer and weld counties co</t>
  </si>
  <si>
    <t>Draft(05/09/2008)</t>
  </si>
  <si>
    <t>https://arizona.app.box.com/file/386261845363</t>
  </si>
  <si>
    <t>crystal mountain communication site designation/ non designation tongass national forest stikine area ak</t>
  </si>
  <si>
    <t>Draft(04/19/1991)</t>
  </si>
  <si>
    <t>bluewater ecosystem management project initiation of vegetation treatments to restore ponderosa pine and pinon-juniper stands to a desired condition cibola national forest mt. taylor ranger district mckinley and cibola counties nm</t>
  </si>
  <si>
    <t>Draft(07/18/2003);Final(10/03/2003)</t>
  </si>
  <si>
    <t>https://arizona.app.box.com/file/389161648143</t>
  </si>
  <si>
    <t>project876</t>
  </si>
  <si>
    <t>rio de los pinos vegetation management project proposes to salvage engelmann spruce trees that have been killed by or are infested with spruce beetle conejos peak ranger district rio grande national forest conejos rio grande and archuleta counties co</t>
  </si>
  <si>
    <t>Final(04/09/2010);Draft(12/04/2009)</t>
  </si>
  <si>
    <t>https://arizona.app.box.com/file/389161695658</t>
  </si>
  <si>
    <t>county line vegetation management project salvaging spruce beetle infected trees and thinning spruce-fir stand rio grande national forest conejos peak ranger district conejos county co</t>
  </si>
  <si>
    <t>Draft(12/23/2004);Final(08/12/2005)</t>
  </si>
  <si>
    <t>https://arizona.app.box.com/file/389150393078</t>
  </si>
  <si>
    <t>https://arizona.app.box.com/file/389152628474</t>
  </si>
  <si>
    <t>project879</t>
  </si>
  <si>
    <t>rockaway delivery lateral and northeast connector projects</t>
  </si>
  <si>
    <t>Draft(10/25/2013);Final(03/07/2014)</t>
  </si>
  <si>
    <t>https://arizona.app.box.com/file/389261547695</t>
  </si>
  <si>
    <t>rocaway delivery lateral and northeast connector projects</t>
  </si>
  <si>
    <t>Draft(10/25/2013)</t>
  </si>
  <si>
    <t>https://arizona.app.box.com/file/389266137406</t>
  </si>
  <si>
    <t>https://arizona.app.box.com/file/389167184936</t>
  </si>
  <si>
    <t>south county connector</t>
  </si>
  <si>
    <t>Draft(05/03/2013)</t>
  </si>
  <si>
    <t>https://arizona.app.box.com/file/389266628542</t>
  </si>
  <si>
    <t>https://arizona.app.box.com/file/389168607552</t>
  </si>
  <si>
    <t>atlantic coast of new york, east rockaway inlet to rockaway inlet and jamaica bay</t>
  </si>
  <si>
    <t>https://arizona.app.box.com/file/389171145006</t>
  </si>
  <si>
    <t>https://arizona.app.box.com/file/386237381825</t>
  </si>
  <si>
    <t>project88</t>
  </si>
  <si>
    <t>berths 302-306 american presidents line (apl) container terminal project construction and operation us army coe section 10 and section 103 of the marine protection research and sanctuaries act los angeles county ca</t>
  </si>
  <si>
    <t>Final(06/15/2012);Draft(12/23/2011)</t>
  </si>
  <si>
    <t>https://arizona.app.box.com/file/386242975896</t>
  </si>
  <si>
    <t>https://arizona.app.box.com/file/386246500278</t>
  </si>
  <si>
    <t>san pedro waterfront project proposed specific development project and associated infrastructure improvements on approximately 400 acres currently operated by los angeles harbor department (lahd) located along the west side of los angeles harbor's main channel from the vincent thomas bridge to cabrillo beach us army section 10 and 404 and section 103 marine protection research and sanctuaries act permits (mprsa) city of los angeles ca</t>
  </si>
  <si>
    <t>https://arizona.app.box.com/file/386244834245</t>
  </si>
  <si>
    <t>san pedro waterfront project proposed specific development project and associated infrastructure improvements on approximately 400 acres currently operated by los angeles harbor department (lahd) located along the west side of los angeles harbor's main channel from tthe vincent thomas bridge to cabrillo beach us army section 10 and 404 and section 103 marine protection research and sanctuaries act permits (mprsa) city of los angeles ca</t>
  </si>
  <si>
    <t>https://arizona.app.box.com/file/386265226736</t>
  </si>
  <si>
    <t>project881</t>
  </si>
  <si>
    <t>rogue river-siskiyou national forest motorized vehicle use supplement the existing 2009 feis to add complete information and analysis implementation douglas klamath jackson curry coos and josephine counties or and del norte and siskiyou counties ca</t>
  </si>
  <si>
    <t>https://arizona.app.box.com/file/389164396484</t>
  </si>
  <si>
    <t>siskiyou national forest land and resource management plan implementation curry coos and josephine counties or and del norte county ca</t>
  </si>
  <si>
    <t>Draft(08/28/1987);Final(03/31/1989)</t>
  </si>
  <si>
    <t>motorized vehicle use on the rogue river-siskiyou national forest supplement</t>
  </si>
  <si>
    <t>Final Supplement(09/25/2015)</t>
  </si>
  <si>
    <t>https://arizona.app.box.com/file/389172544794</t>
  </si>
  <si>
    <t>https://arizona.app.box.com/file/386212002793</t>
  </si>
  <si>
    <t>project884</t>
  </si>
  <si>
    <t>ross lake national recreation area project general management plan implementation skagit and whatcom counties wa</t>
  </si>
  <si>
    <t>Draft(07/16/2010);Final(12/16/2011)</t>
  </si>
  <si>
    <t>Final(12/16/2011)</t>
  </si>
  <si>
    <t>https://arizona.app.box.com/file/386231280179</t>
  </si>
  <si>
    <t>ross lake national recreation area project general managament plan implementation skagit and whatcom counties wa</t>
  </si>
  <si>
    <t>https://arizona.app.box.com/file/386243588071</t>
  </si>
  <si>
    <t>okanogan national forest land and resource management plan implementation okanogan skagit chelan and whatcom counties wa</t>
  </si>
  <si>
    <t>Final(01/05/1990)</t>
  </si>
  <si>
    <t>okanogan national forest land and resource management plan additional alternative implementation okanogan skagit whatcom and chelan counties wa</t>
  </si>
  <si>
    <t>Draft Supplement(10/14/1988)</t>
  </si>
  <si>
    <t>project885</t>
  </si>
  <si>
    <t>round mountain expansion project proposed to construct and operate and expand the existing open-pit gold mining and processing operations north of the town of tonopah in nye county nv</t>
  </si>
  <si>
    <t>Final(04/26/2010);Draft(07/31/2009)</t>
  </si>
  <si>
    <t>https://arizona.app.box.com/file/386242869553</t>
  </si>
  <si>
    <t>https://arizona.app.box.com/file/386239897364</t>
  </si>
  <si>
    <t>cortez hills expansion project proposes to construct and operate a new facilities and expansion of the existing open-pit gold mining and processing operations crescent valley lander and eureka counties nv</t>
  </si>
  <si>
    <t>Final(10/03/2008);Draft(10/05/2007)</t>
  </si>
  <si>
    <t>https://arizona.app.box.com/file/386212630512</t>
  </si>
  <si>
    <t>https://arizona.app.box.com/file/386239142683</t>
  </si>
  <si>
    <t>cortez hills expansion project updated information to refine the analysis of specific air quality effects and dewatering mitigation effectiveness proposes to construct and operate a new facilities and expansion of the existing open-pit gold mining and processing operations crescent valley lander and eureka counties nv</t>
  </si>
  <si>
    <t>Draft Supplement(08/20/2010);Final Supplement(01/14/2011)</t>
  </si>
  <si>
    <t>https://arizona.app.box.com/file/386227242131</t>
  </si>
  <si>
    <t>https://arizona.app.box.com/file/386217147098</t>
  </si>
  <si>
    <t>phoenix project expansion of current mining operations and processing activities battle mountain plan of operations lander county nv</t>
  </si>
  <si>
    <t>Draft(03/02/2001)</t>
  </si>
  <si>
    <t>https://arizona.app.box.com/file/386244537962</t>
  </si>
  <si>
    <t>project887</t>
  </si>
  <si>
    <t>airport forest health project forest health improvements through reduction of fuel loads and fire hazards and wildlife habitat improvements pacific ranger district eldorado national forest el dorado and placer counties ca</t>
  </si>
  <si>
    <t>Draft(07/21/2000)</t>
  </si>
  <si>
    <t>https://arizona.app.box.com/file/386240718303</t>
  </si>
  <si>
    <t>freds fire reforestation project implementation el dorado national forest placerville and pacific ranger districts el dorado county ca</t>
  </si>
  <si>
    <t>Draft(09/11/2009);Final(03/12/2010)</t>
  </si>
  <si>
    <t>https://arizona.app.box.com/file/389158641766</t>
  </si>
  <si>
    <t>https://arizona.app.box.com/file/389151601538</t>
  </si>
  <si>
    <t>whale rock analysis area multi-resource improvement and management plan implementation eldorado national forest pacific southwest region eldorado county ca</t>
  </si>
  <si>
    <t>Draft(04/12/1996);Final(06/27/1997)</t>
  </si>
  <si>
    <t>https://arizona.app.box.com/file/386264908952</t>
  </si>
  <si>
    <t>pacific pipeline transportation project construction/operation right-of-way grant special-use-permit coe section 10 and 404 permits angeles national forest santa barbara ventura los angeles and kern counties ca</t>
  </si>
  <si>
    <t>Draft(04/28/1995);Final(01/26/1996)</t>
  </si>
  <si>
    <t>https://arizona.app.box.com/file/386265331214</t>
  </si>
  <si>
    <t>project89</t>
  </si>
  <si>
    <t>big cyress national preserve addition general management plan/wilderness study/off-road vehicle management plan implementation collier county fl</t>
  </si>
  <si>
    <t>Final(12/06/2010);Draft(07/10/2009)</t>
  </si>
  <si>
    <t>https://arizona.app.box.com/file/386242187951</t>
  </si>
  <si>
    <t>https://arizona.app.box.com/file/386231371228</t>
  </si>
  <si>
    <t>big cypress national preserve general management plan implementation new information on the special alternative for the off-road vehicle management plan collier dade and monroe counties fl</t>
  </si>
  <si>
    <t>Draft Supplement(08/20/1999);Final Supplement(08/11/2000)</t>
  </si>
  <si>
    <t>https://arizona.app.box.com/file/386241943957</t>
  </si>
  <si>
    <t>https://arizona.app.box.com/file/386244380489</t>
  </si>
  <si>
    <t>big cypress national preserve general management plan implementation collier dade and monroe counties fl</t>
  </si>
  <si>
    <t>Final(11/01/1991);Draft(08/11/1989)</t>
  </si>
  <si>
    <t>big thicket national preserve general management plan</t>
  </si>
  <si>
    <t>https://arizona.app.box.com/file/389263419661</t>
  </si>
  <si>
    <t>https://arizona.app.box.com/file/389152833749</t>
  </si>
  <si>
    <t>big thicket national preserve final general management plan</t>
  </si>
  <si>
    <t>https://arizona.app.box.com/file/389267357259</t>
  </si>
  <si>
    <t>https://arizona.app.box.com/file/389153353185</t>
  </si>
  <si>
    <t>project890</t>
  </si>
  <si>
    <t>runway safety area improvements kodiak airport</t>
  </si>
  <si>
    <t>Draft(10/19/2012);Final(08/02/2013)</t>
  </si>
  <si>
    <t>https://arizona.app.box.com/file/389260571000</t>
  </si>
  <si>
    <t>https://arizona.app.box.com/file/389171430591</t>
  </si>
  <si>
    <t>kodiak airport runway safety area improvements kodiak ak</t>
  </si>
  <si>
    <t>https://arizona.app.box.com/file/389184745578</t>
  </si>
  <si>
    <t>https://arizona.app.box.com/file/386214017863</t>
  </si>
  <si>
    <t>groton-new london airport construction of runway 5-23 safety area permits and approvals town of groton new london county ct</t>
  </si>
  <si>
    <t>Draft(03/15/2002);Final(03/26/2004)</t>
  </si>
  <si>
    <t>FHWA FAA</t>
  </si>
  <si>
    <t>https://arizona.app.box.com/file/386217649585</t>
  </si>
  <si>
    <t>https://arizona.app.box.com/file/386227885414</t>
  </si>
  <si>
    <t>tweed-new haven airport runway safety area and taxiway improvements safety improvements to runway 2/20 and taxiways 'b' and 'e' funding coe section 10 and 404 permits new haven county ct</t>
  </si>
  <si>
    <t>Final(06/02/2000);Draft(10/08/1999)</t>
  </si>
  <si>
    <t>gary/chicago international airport master plan development including runway safety area enhancement/extension of runway 12/30 funding lake county in</t>
  </si>
  <si>
    <t>Final(10/22/2004);Draft(04/23/2004)</t>
  </si>
  <si>
    <t>https://arizona.app.box.com/file/386241383203</t>
  </si>
  <si>
    <t>https://arizona.app.box.com/file/386239766683</t>
  </si>
  <si>
    <t>project891</t>
  </si>
  <si>
    <t>rusk permit area proposes to construct operate and reclaim permit area expansion of existing south hallsville no. 1 mine. issuance of section 404 permit rusk harrison and panola counties tx</t>
  </si>
  <si>
    <t>Draft(10/29/2010);Final(05/20/2011)</t>
  </si>
  <si>
    <t>https://arizona.app.box.com/file/386244834339</t>
  </si>
  <si>
    <t>https://arizona.app.box.com/file/386243970412</t>
  </si>
  <si>
    <t>south hallsville surface lignite no. 1 mine expansion referred to herein as south marshall project area (previously known as henry w. pirkey power plant and south hallsville no. 1 mine project) npdes and coe section 404 permits sabine river harrison</t>
  </si>
  <si>
    <t>Draft Supplement(06/20/1997);Final Supplement(10/17/1997)</t>
  </si>
  <si>
    <t>us 259/kilgore bypass construction us 259 north to us 259 south funding and section 404 permit city of kilgore gregg and rusk counties tx</t>
  </si>
  <si>
    <t>Final(02/08/1991)</t>
  </si>
  <si>
    <t>monticello b-2 area surface lignite mine expansion revised and additional information issuance of npdes permit and coe 404 permit titus county tx</t>
  </si>
  <si>
    <t>Final(10/04/1991)</t>
  </si>
  <si>
    <t>oak hill surface lignite mine (formerly known as the martin lake d area mine) expansion project into the diii area modification/reissuance of a new source npdes permit rusk county tx</t>
  </si>
  <si>
    <t>Final Supplement(10/24/1997);Draft Supplement(12/27/1996)</t>
  </si>
  <si>
    <t>project893</t>
  </si>
  <si>
    <t>sabine-neches waterway channel improvement project proposed ocean dredged material disposal site designation southeast texas and southwest louisiana</t>
  </si>
  <si>
    <t>Draft(12/24/2009);Final(03/04/2011)</t>
  </si>
  <si>
    <t>LA TX</t>
  </si>
  <si>
    <t>https://arizona.app.box.com/file/386232537695</t>
  </si>
  <si>
    <t>~voided~ -sabine-neches waterway channel improvement project proposed ocean dredged material disposal site designation southeast texas and southwest louisiana</t>
  </si>
  <si>
    <t>Final(09/24/2010)</t>
  </si>
  <si>
    <t>southwest pass/mississippi river ocean dredged material disposal site (odmds) designation for material dredged from the southwest pass channel jefferson and plaquemines la</t>
  </si>
  <si>
    <t>Final(12/09/1988)</t>
  </si>
  <si>
    <t>chetco ocean dredged material disposal site designation or</t>
  </si>
  <si>
    <t>Draft(04/13/1990)</t>
  </si>
  <si>
    <t>barataria bay waterway ocean dredged material disposal site (odmds) designation jefferson parish la</t>
  </si>
  <si>
    <t>Draft(04/07/1989);Final(08/11/1989)</t>
  </si>
  <si>
    <t>project894</t>
  </si>
  <si>
    <t>saddle lakes timber sale</t>
  </si>
  <si>
    <t>Final(10/23/2015);Draft(09/12/2014)</t>
  </si>
  <si>
    <t>Final(10/23/2015)</t>
  </si>
  <si>
    <t>https://arizona.app.box.com/file/389170485885</t>
  </si>
  <si>
    <t>https://arizona.app.box.com/file/386228409934</t>
  </si>
  <si>
    <t>ten lakes travel management project</t>
  </si>
  <si>
    <t>https://arizona.app.box.com/file/389176107870</t>
  </si>
  <si>
    <t>https://arizona.app.box.com/file/386239216506</t>
  </si>
  <si>
    <t>pilgrim timber sale project kootenai national forest</t>
  </si>
  <si>
    <t>https://arizona.app.box.com/file/389260544450</t>
  </si>
  <si>
    <t>https://arizona.app.box.com/file/389165138461</t>
  </si>
  <si>
    <t>pack and saddle stock outfitter-guide special use permit issuance</t>
  </si>
  <si>
    <t>Final(03/08/2013);Final Supplement(06/29/2018)</t>
  </si>
  <si>
    <t>https://arizona.app.box.com/file/389266375899</t>
  </si>
  <si>
    <t>https://arizona.app.box.com/file/389166693134</t>
  </si>
  <si>
    <t>https://arizona.app.box.com/file/389170622550</t>
  </si>
  <si>
    <t>https://arizona.app.box.com/file/386226829609</t>
  </si>
  <si>
    <t>spruce creek timber sale implementation boise national forest valley county id</t>
  </si>
  <si>
    <t>Draft(03/26/1993);Final(12/10/1993)</t>
  </si>
  <si>
    <t>project895</t>
  </si>
  <si>
    <t>project896</t>
  </si>
  <si>
    <t>salt wells energy projects proposal for three separate geothermal energy and transmission projects implementation churchill county nv</t>
  </si>
  <si>
    <t>Final(07/22/2011);Draft(01/28/2011)</t>
  </si>
  <si>
    <t>https://arizona.app.box.com/file/386240348260</t>
  </si>
  <si>
    <t>https://arizona.app.box.com/file/386246722742</t>
  </si>
  <si>
    <t>naval air station fallon geothermal resources for electrical power generation phase i and ii development coe section 404 permit and right-of- way grants churchill county nj</t>
  </si>
  <si>
    <t>Draft(06/22/1990);Final(05/24/1991)</t>
  </si>
  <si>
    <t>lahontan valley wetlands water rights acquisition program implementation churchill county nv</t>
  </si>
  <si>
    <t>Draft(07/21/1995);Final(10/04/1996)</t>
  </si>
  <si>
    <t>fallon naval air station renewal of the b-20 land withdrawal city of fallon churchill county nv</t>
  </si>
  <si>
    <t>LF(01/29/1999);LD(06/12/1998)</t>
  </si>
  <si>
    <t>project897</t>
  </si>
  <si>
    <t>salton sea species conservation habitat project</t>
  </si>
  <si>
    <t>Draft(08/19/2011);Final(07/26/2013)</t>
  </si>
  <si>
    <t>https://arizona.app.box.com/file/389261391745</t>
  </si>
  <si>
    <t>salton sea restoration project implementation coe section 404 permit riverside and imperial counties ca</t>
  </si>
  <si>
    <t>Draft(01/31/2000)</t>
  </si>
  <si>
    <t>https://arizona.app.box.com/file/386239340467</t>
  </si>
  <si>
    <t>salton sea species conservation habitat project to serve as a proof of concept for the restoration of shallow water habitat that currently support fish and wildlife dependent upon the salton sea within the southern portion of the salton sea imperial county ca</t>
  </si>
  <si>
    <t>https://arizona.app.box.com/file/386232462734</t>
  </si>
  <si>
    <t>nisource multi-species habitat conservation plan eis</t>
  </si>
  <si>
    <t>https://arizona.app.box.com/file/389263391517</t>
  </si>
  <si>
    <t>https://arizona.app.box.com/file/389153004034</t>
  </si>
  <si>
    <t>coachella valley multiple species habitat conservation plan major amendment</t>
  </si>
  <si>
    <t>Final Supplement(10/31/2014)</t>
  </si>
  <si>
    <t>https://arizona.app.box.com/file/389264388641</t>
  </si>
  <si>
    <t>project899</t>
  </si>
  <si>
    <t>san diego freeway (i-405) improvement project</t>
  </si>
  <si>
    <t>Final(04/03/2015);Draft(05/18/2012)</t>
  </si>
  <si>
    <t>Final(04/03/2015);Draft Supplement(06/28/2013)</t>
  </si>
  <si>
    <t>https://arizona.app.box.com/file/389263211566</t>
  </si>
  <si>
    <t>https://arizona.app.box.com/file/389159304166</t>
  </si>
  <si>
    <t>https://arizona.app.box.com/file/389166197056</t>
  </si>
  <si>
    <t>san diego freeway (i-405) improvement project between state route 73 and interstate 605 usace section 404 permit orange and los angeles counties ca</t>
  </si>
  <si>
    <t>https://arizona.app.box.com/file/386241168370</t>
  </si>
  <si>
    <t>interstate 405 (san diego freeway) sepulveda pass widening project from interstate 10 to us-101 in the city of los angeles los angeles county ca</t>
  </si>
  <si>
    <t>Draft(06/01/2007)</t>
  </si>
  <si>
    <t>https://arizona.app.box.com/file/386244144310</t>
  </si>
  <si>
    <t>interstate 405 (san diego freeway) sepulveda pass widening project widening and high occupancy vehicle (hov) improvements from interstate 10 to us-101 in the city of los angeles preferred alternative is 2 los angeles county ca</t>
  </si>
  <si>
    <t>Final(03/14/2008)</t>
  </si>
  <si>
    <t>https://arizona.app.box.com/file/386243862684</t>
  </si>
  <si>
    <t>i-5/santa ana freeway widening and interchange reconstruction i-405 to ca-55 funding 404 permit cities of irvine and tustin orange county ca</t>
  </si>
  <si>
    <t>project901</t>
  </si>
  <si>
    <t>san joaquin river restoration program a comprehensive long-term effort to restore flows to the san joaquin river from friant dam to the confluence of merced river and restore a self-sustaining chinook salmon fishery in the river while reducing or avoiding adverse water supply impacts from interim and restoration flows implementation ca</t>
  </si>
  <si>
    <t>Final(08/10/2012);Draft(04/29/2011)</t>
  </si>
  <si>
    <t>BOR BR</t>
  </si>
  <si>
    <t>https://arizona.app.box.com/file/386254037617</t>
  </si>
  <si>
    <t>https://arizona.app.box.com/file/386243522162</t>
  </si>
  <si>
    <t>programmatic - calfed bay-delta program development and implementation of a long-term comprehensive plan to restore ecological health and improve water management san francisco bay - sacramento/san joaquin river bay-delta ca</t>
  </si>
  <si>
    <t>Final(07/21/2000)</t>
  </si>
  <si>
    <t>programmatic - calfed bay-delta program long-term comprehensive plan to restore ecosystem health and improve water management implementation san franscisco bay - sacramento/san joaquin river bay-delta ca</t>
  </si>
  <si>
    <t>Draft(03/20/1998)</t>
  </si>
  <si>
    <t>programmatic - calfed bay-delta program develop and implement long-term comprehensive plan to restore ecological health and improve water management san francisco bay - sacramento/san joaquin river bay-delta ca</t>
  </si>
  <si>
    <t>Second Draft(07/02/1999)</t>
  </si>
  <si>
    <t>prisoners harbor coastal wetland restoration project proposes to restore a functional self-sustaining ecosystem at a coastal wetland site channel islands national park santa cruz island santa barbara county ca</t>
  </si>
  <si>
    <t>Draft(05/15/2009);Final(04/16/2010)</t>
  </si>
  <si>
    <t>https://arizona.app.box.com/file/386244513424</t>
  </si>
  <si>
    <t>https://arizona.app.box.com/file/386218851984</t>
  </si>
  <si>
    <t>project903</t>
  </si>
  <si>
    <t>Draft(08/10/2012);Final(07/05/2013)</t>
  </si>
  <si>
    <t>contra loma reservoir and recreation area resource management plan</t>
  </si>
  <si>
    <t>Draft(05/09/2014)</t>
  </si>
  <si>
    <t>https://arizona.app.box.com/file/389263470676</t>
  </si>
  <si>
    <t>https://arizona.app.box.com/file/389138517869</t>
  </si>
  <si>
    <t>san luis transmission project</t>
  </si>
  <si>
    <t>Final(03/25/2016);Draft(07/17/2015)</t>
  </si>
  <si>
    <t>https://arizona.app.box.com/file/389173764815</t>
  </si>
  <si>
    <t>https://arizona.app.box.com/file/386214251567</t>
  </si>
  <si>
    <t>https://arizona.app.box.com/file/389170469336</t>
  </si>
  <si>
    <t>https://arizona.app.box.com/file/386225489986</t>
  </si>
  <si>
    <t>project905</t>
  </si>
  <si>
    <t>Final(08/21/2015);Draft(09/05/2014)</t>
  </si>
  <si>
    <t>petit manan national wildlife refuge complex comprehensive conservation plan implementation gulf of maine</t>
  </si>
  <si>
    <t>Draft(05/21/2004)</t>
  </si>
  <si>
    <t>https://arizona.app.box.com/file/389133368352</t>
  </si>
  <si>
    <t>stillwater national wildlife refuge complex comprehensive conservation plan and boundary revision implementation churchill and washoe counties nv</t>
  </si>
  <si>
    <t>Draft(04/21/2000);Final(05/24/2002)</t>
  </si>
  <si>
    <t>https://arizona.app.box.com/file/389133259346</t>
  </si>
  <si>
    <t>https://arizona.app.box.com/file/389137227657</t>
  </si>
  <si>
    <t>project906</t>
  </si>
  <si>
    <t>santa fe national forest travel management proposes to provide for a system of road trails and areas designated for motorized use sante fe nm</t>
  </si>
  <si>
    <t>Final(07/06/2012);Draft(08/06/2010)</t>
  </si>
  <si>
    <t>Draft(08/06/2010);Final(07/06/2012)</t>
  </si>
  <si>
    <t>https://arizona.app.box.com/file/389161742042</t>
  </si>
  <si>
    <t>https://arizona.app.box.com/file/389269316084</t>
  </si>
  <si>
    <t>apache-sitgreaves national forests public motorized travel management plan proposes to provide for a system of roads trails and areas designated for motorized use apache coconino greenlee and navajo counties az</t>
  </si>
  <si>
    <t>Draft(10/29/2010)</t>
  </si>
  <si>
    <t>https://arizona.app.box.com/file/389159761400</t>
  </si>
  <si>
    <t>fishlake national forest off-highway vehicle route designation project proposes to designate a system of motorized road trails and areas to revise and update the existing motorized travel plan ut</t>
  </si>
  <si>
    <t>Final(12/22/2006);Draft(08/05/2005)</t>
  </si>
  <si>
    <t>https://arizona.app.box.com/file/389161023340</t>
  </si>
  <si>
    <t>https://arizona.app.box.com/file/389137920829</t>
  </si>
  <si>
    <t>payette national forest travel management plan designate a system of roads trails and areas open to motorized and non-motorized use implementation adam washington idaho valley counties id</t>
  </si>
  <si>
    <t>Final(05/25/2007);Draft(02/17/2006)</t>
  </si>
  <si>
    <t>https://arizona.app.box.com/file/386265456584</t>
  </si>
  <si>
    <t>https://arizona.app.box.com/file/389162139595</t>
  </si>
  <si>
    <t>project909</t>
  </si>
  <si>
    <t>schofield generating station project u.s. army garrison-hawaii</t>
  </si>
  <si>
    <t>Final(10/30/2015);Draft(04/24/2015)</t>
  </si>
  <si>
    <t>project914</t>
  </si>
  <si>
    <t>section 30 limestone mining project proposal to implement mining actions mystic ranger district black hills national forest rapid city pennington county sd</t>
  </si>
  <si>
    <t>Final(03/09/2012);Draft(03/18/2011)</t>
  </si>
  <si>
    <t>https://arizona.app.box.com/file/389138122870</t>
  </si>
  <si>
    <t>prairie project area (lower rapid creek area) multiple resource management actions implementation black hills national forest mystic ranger district pennington county sd</t>
  </si>
  <si>
    <t>Draft(06/13/2003);Final(11/21/2003)</t>
  </si>
  <si>
    <t>SD ID</t>
  </si>
  <si>
    <t>https://arizona.app.box.com/file/389137734696</t>
  </si>
  <si>
    <t>https://arizona.app.box.com/file/389137030111</t>
  </si>
  <si>
    <t>project915</t>
  </si>
  <si>
    <t>sellwood bridge project rehabilitate or replace the bridge crosses the willamette river on southeast tacoma street and oregon state highway 43 funding multnomah county or</t>
  </si>
  <si>
    <t>Final(08/06/2010);Draft(11/07/2008)</t>
  </si>
  <si>
    <t>https://arizona.app.box.com/file/386212898167</t>
  </si>
  <si>
    <t>https://arizona.app.box.com/file/386247489334</t>
  </si>
  <si>
    <t>south park bridge project proposes to rehabilitate or replace the historic south park ridge over the duwamish waterway at 14th/16 avenue s us coast guard permit and u.s. army coe section 10 and 404 permits king county wa</t>
  </si>
  <si>
    <t>Final(12/31/2009);Draft(10/07/2005)</t>
  </si>
  <si>
    <t>https://arizona.app.box.com/file/386246952543</t>
  </si>
  <si>
    <t>https://arizona.app.box.com/file/386213573658</t>
  </si>
  <si>
    <t>us 101/oregon coast highway improvements rouge river bridge to gold beach funding curry county or</t>
  </si>
  <si>
    <t>Final(06/17/1988)</t>
  </si>
  <si>
    <t>project917</t>
  </si>
  <si>
    <t>sequoia and kings canyon national parks wilderness stewardship plan</t>
  </si>
  <si>
    <t>Draft(06/27/2014);Final(04/03/2015)</t>
  </si>
  <si>
    <t>https://arizona.app.box.com/file/389152287864</t>
  </si>
  <si>
    <t>https://arizona.app.box.com/file/389256633407</t>
  </si>
  <si>
    <t>sequoia and kings canyon national parks general management plan middle and south forks of the kings river and north forks of the kern river general management plan tulare and fresno counties ca</t>
  </si>
  <si>
    <t>Draft(05/07/2004);Final(11/17/2006)</t>
  </si>
  <si>
    <t>https://arizona.app.box.com/file/386239682062</t>
  </si>
  <si>
    <t>https://arizona.app.box.com/file/386244282491</t>
  </si>
  <si>
    <t>sequoia-kings canyon national parks grant grove and redwood mountain areas development and use implementation fresno and tulare counties ca</t>
  </si>
  <si>
    <t>kings river special management area (sma) south fork middle fork kings wild and scenic rivers development and management implementation plan sierra and sequoia national forests king rivers ranger and hume lake ranger districts fresno county ca</t>
  </si>
  <si>
    <t>Final(07/26/1991)</t>
  </si>
  <si>
    <t>sequoia national forest land and resource management plan implementation tulare kern and fresno counties ca</t>
  </si>
  <si>
    <t>Final(03/04/1988)</t>
  </si>
  <si>
    <t>project92</t>
  </si>
  <si>
    <t>big moose vegetation management project implementation divide ranger district rio national forest hinsdale and mineral counties co</t>
  </si>
  <si>
    <t>Draft(09/17/2010);Final(04/08/2011)</t>
  </si>
  <si>
    <t>https://arizona.app.box.com/file/389133664970</t>
  </si>
  <si>
    <t>https://arizona.app.box.com/file/389137302857</t>
  </si>
  <si>
    <t>san juan national land and resource management program amendment to timber management program archuleta conejos hinsdale la plata mineral montezuma rio granda san juan and san miquel counties co</t>
  </si>
  <si>
    <t>Final Supplement(07/02/1992)</t>
  </si>
  <si>
    <t>project923</t>
  </si>
  <si>
    <t>sheldon national wildlife refuge project draft resource conservation plan implementation humboldt and washoe counties nv and lake county or</t>
  </si>
  <si>
    <t>Draft(09/09/2011);Final(08/24/2012)</t>
  </si>
  <si>
    <t>https://arizona.app.box.com/file/386241572866</t>
  </si>
  <si>
    <t>https://arizona.app.box.com/file/389153084664</t>
  </si>
  <si>
    <t>project924</t>
  </si>
  <si>
    <t>sherman cattle and horse allotment grazing authorization and management project</t>
  </si>
  <si>
    <t>Draft(05/31/2013);Final(10/04/2013)</t>
  </si>
  <si>
    <t>https://arizona.app.box.com/file/389268225772</t>
  </si>
  <si>
    <t>https://arizona.app.box.com/file/389152673203</t>
  </si>
  <si>
    <t>sherman cattle and horse allotment grazing authorization and management</t>
  </si>
  <si>
    <t>https://arizona.app.box.com/file/389262014550</t>
  </si>
  <si>
    <t>https://arizona.app.box.com/file/389153386740</t>
  </si>
  <si>
    <t>north rich cattle allotment grazing authorization implementation logan district wasatch-cache national forest cache and rich counties ut</t>
  </si>
  <si>
    <t>Final(03/19/2004);Draft(07/18/2003)</t>
  </si>
  <si>
    <t>https://arizona.app.box.com/file/389161644127</t>
  </si>
  <si>
    <t>https://arizona.app.box.com/file/389161099648</t>
  </si>
  <si>
    <t>stanley basin cattle and horse allotment management plan implementation sawtooth and challis national forests custer county id</t>
  </si>
  <si>
    <t>Final(05/07/1993);Draft(05/18/1990)</t>
  </si>
  <si>
    <t>upper and lower east fork cattle and horse allotment management plans updating the allotment plans to allow permitted livestock grazing national forest system lands sawtooth and challis national forests custer county id</t>
  </si>
  <si>
    <t>Final(10/10/2003)</t>
  </si>
  <si>
    <t>https://arizona.app.box.com/file/389163802843</t>
  </si>
  <si>
    <t>project925</t>
  </si>
  <si>
    <t>shoreline ii outfitter/guide</t>
  </si>
  <si>
    <t>Final(03/17/2017);Draft(01/29/2016)</t>
  </si>
  <si>
    <t>shoreline ii outfitter/guide (formerly shoreline ii outfitter and guide management plan)</t>
  </si>
  <si>
    <t>Draft(01/29/2016)</t>
  </si>
  <si>
    <t>https://arizona.app.box.com/file/389172732350</t>
  </si>
  <si>
    <t>https://arizona.app.box.com/file/386239218164</t>
  </si>
  <si>
    <t>shoreline outfitter/guide plan commercial permits issuance for shoreline-based activities on national forest lands admiralty island national monument hoonah sitka and juneau ranger districts tongass national forest ak</t>
  </si>
  <si>
    <t>shoreline outfitter/guide plan commercial permits issuance for shoreline-based activities on naitonal forest system lnads admiralty island national monument hoonah sitka and juneau ranger districts tongass national forest ak</t>
  </si>
  <si>
    <t>Final(01/28/2005)</t>
  </si>
  <si>
    <t>rogue river-siskiyou national forest special use permits for outfitter and guide operations on the lower rogue and lower illinois rivers gold ranger district rogue river -siskiyou national forest curry county or</t>
  </si>
  <si>
    <t>https://arizona.app.box.com/file/389160926617</t>
  </si>
  <si>
    <t>project927</t>
  </si>
  <si>
    <t>show low south land exchange</t>
  </si>
  <si>
    <t>Draft(11/02/2012);Final(12/27/2013)</t>
  </si>
  <si>
    <t>Final(12/27/2013)</t>
  </si>
  <si>
    <t>show low south land exchange apache-sitgreaves national forests coconino national forest and prescott national forest yavapai navajo greenlee and apache counties az</t>
  </si>
  <si>
    <t>https://arizona.app.box.com/file/389263991426</t>
  </si>
  <si>
    <t>https://arizona.app.box.com/file/389161516641</t>
  </si>
  <si>
    <t>i-215 improvements orange show road to ca-30 funding city of san bernardino san bernardino county ca</t>
  </si>
  <si>
    <t>Draft(03/05/1993);Final(02/18/2000)</t>
  </si>
  <si>
    <t>https://arizona.app.box.com/file/386243834879</t>
  </si>
  <si>
    <t>project928</t>
  </si>
  <si>
    <t>sierra national forest travel management plan to prohibit motorized vehicle travel off designated national forest transportation system (nfis) roads trails and area fresno mariposa madera counties ca</t>
  </si>
  <si>
    <t>Final(05/07/2010);Draft(05/08/2009)</t>
  </si>
  <si>
    <t>https://arizona.app.box.com/file/389161279258</t>
  </si>
  <si>
    <t>https://arizona.app.box.com/file/389161367972</t>
  </si>
  <si>
    <t>lower trinity and mad river motorized travel management proposed to prohibit cross-county motor vehicle travel off designated national forest transportation system (nfts) roads and motorized trails six river national forest ca</t>
  </si>
  <si>
    <t>Final(02/19/2010);Draft(06/05/2009)</t>
  </si>
  <si>
    <t>https://arizona.app.box.com/file/389165263345</t>
  </si>
  <si>
    <t>https://arizona.app.box.com/file/389161974521</t>
  </si>
  <si>
    <t>shasta-trinity national forest motorized travel management project proposal to prohibit cross-county motor vehicle travel off designated national forest transportation system (nfts) roads motorized trails and areas by the public except as allowed by permit or other authorization (excluding snowmobile use) ca</t>
  </si>
  <si>
    <t>Final(03/26/2010);Draft(06/26/2009)</t>
  </si>
  <si>
    <t>https://arizona.app.box.com/file/389161776789</t>
  </si>
  <si>
    <t>https://arizona.app.box.com/file/389138170191</t>
  </si>
  <si>
    <t>project93</t>
  </si>
  <si>
    <t>https://arizona.app.box.com/file/389165372678</t>
  </si>
  <si>
    <t>https://arizona.app.box.com/file/389162389613</t>
  </si>
  <si>
    <t>https://arizona.app.box.com/file/389161899953</t>
  </si>
  <si>
    <t>https://arizona.app.box.com/file/389149413598</t>
  </si>
  <si>
    <t>lower west fork project to treat units in and adjacent to the wildland-urban-interface (wui) with prescribed fire and commercial and pre-commercial thins west fork ranger district bitterroot national forest ravalli county mt</t>
  </si>
  <si>
    <t>Draft(04/10/2009);Final(08/06/2010)</t>
  </si>
  <si>
    <t>https://arizona.app.box.com/file/389168145117</t>
  </si>
  <si>
    <t>https://arizona.app.box.com/file/389133508756</t>
  </si>
  <si>
    <t>https://arizona.app.box.com/file/389137348570</t>
  </si>
  <si>
    <t>https://arizona.app.box.com/file/389161937825</t>
  </si>
  <si>
    <t>lakeface-lamb fuel reduction project to reduce the risk of lethal fires within a wildland/urban interface implementation idaho panhandle national forests priest lake ranger district bonner county id</t>
  </si>
  <si>
    <t>Draft(04/21/2000)</t>
  </si>
  <si>
    <t>https://arizona.app.box.com/file/389162069256</t>
  </si>
  <si>
    <t>project930</t>
  </si>
  <si>
    <t>sierrita pipeline project</t>
  </si>
  <si>
    <t>https://arizona.app.box.com/file/389260108571</t>
  </si>
  <si>
    <t>https://arizona.app.box.com/file/389137974088</t>
  </si>
  <si>
    <t>https://arizona.app.box.com/file/389266883090</t>
  </si>
  <si>
    <t>https://arizona.app.box.com/file/389162659801</t>
  </si>
  <si>
    <t>penneast pipeline project</t>
  </si>
  <si>
    <t>Draft(07/29/2016);Final(04/14/2017)</t>
  </si>
  <si>
    <t>https://arizona.app.box.com/file/389175880446</t>
  </si>
  <si>
    <t>https://arizona.app.box.com/file/386226164355</t>
  </si>
  <si>
    <t>https://arizona.app.box.com/file/389172302460</t>
  </si>
  <si>
    <t>https://arizona.app.box.com/file/386241211007</t>
  </si>
  <si>
    <t>atlantic coast pipeline and supply header project</t>
  </si>
  <si>
    <t>Final(07/28/2017);Draft(01/06/2017)</t>
  </si>
  <si>
    <t>https://arizona.app.box.com/file/389171715203</t>
  </si>
  <si>
    <t>https://arizona.app.box.com/file/386225910179</t>
  </si>
  <si>
    <t>https://arizona.app.box.com/file/389174021831</t>
  </si>
  <si>
    <t>https://arizona.app.box.com/file/386212129564</t>
  </si>
  <si>
    <t>project931</t>
  </si>
  <si>
    <t>sigurd to red butte no. 2 345kv transmission project issuance of right-of -way grant by blm and special-use-permit by afs sevier millard iron beaver and washington counties ut</t>
  </si>
  <si>
    <t>Draft(06/03/2011);Final(10/05/2012)</t>
  </si>
  <si>
    <t>Final(10/05/2012)</t>
  </si>
  <si>
    <t>https://arizona.app.box.com/file/389178292352</t>
  </si>
  <si>
    <t>sigurd to red butte no. 2-345kv transmission project construct operate and maintain a single - circurt 345 kv transmission line issue of right-of -way grant by blm and special-use-permit by afs sevier and washington counties ut</t>
  </si>
  <si>
    <t>https://arizona.app.box.com/file/386212507133</t>
  </si>
  <si>
    <t>barren ridge renewable transmission project construction and operation application to the usfs for a special use authorization and to blm for right-of-way grant kern and los angeles counties ca</t>
  </si>
  <si>
    <t>https://arizona.app.box.com/file/389162271750</t>
  </si>
  <si>
    <t>falcon to gonder 345kv transmission project construction resource management plan amendments right-of-way grant lander elko eureka and white pine counties nv</t>
  </si>
  <si>
    <t>Final(12/21/2001)</t>
  </si>
  <si>
    <t>https://arizona.app.box.com/file/386239837914</t>
  </si>
  <si>
    <t>project933</t>
  </si>
  <si>
    <t>imperial beach shore protection project to provide shore protection and prevent damage to adjacent beachfront structures silver strand shoreline city of imperial beach san diego county ca</t>
  </si>
  <si>
    <t>Draft(06/28/2002);Final(08/08/2003)</t>
  </si>
  <si>
    <t>https://arizona.app.box.com/file/386243596012</t>
  </si>
  <si>
    <t>https://arizona.app.box.com/file/386247657407</t>
  </si>
  <si>
    <t>san diego navy broadway complex redevelopment implementation ca</t>
  </si>
  <si>
    <t>Draft(04/20/1990);Final(11/16/1990)</t>
  </si>
  <si>
    <t>san diego naval training center (ntc) disposal and reuse of certain real properties implementation city of san diego san diego county ca</t>
  </si>
  <si>
    <t>Final(07/31/1998);Draft(08/29/1997)</t>
  </si>
  <si>
    <t>project934</t>
  </si>
  <si>
    <t>site-wide eis - continued operation of the department of energy/national nuclear security administration nevada national security site and off-site location in nevada</t>
  </si>
  <si>
    <t>Draft(07/29/2011);Final(02/22/2013)</t>
  </si>
  <si>
    <t>NNSA</t>
  </si>
  <si>
    <t>National Nuclear Security Administration</t>
  </si>
  <si>
    <t>https://arizona.app.box.com/file/386241953796</t>
  </si>
  <si>
    <t>https://arizona.app.box.com/file/389161385931</t>
  </si>
  <si>
    <t>los alamos national laboratory continued operation site-wide implementation los alamos county nm</t>
  </si>
  <si>
    <t>Draft(05/15/1998);Final(02/19/1999)</t>
  </si>
  <si>
    <t>sandia national laboratories/new mexico (snl) continued operation site-wide (doe/eis-0281) albuquerque nm</t>
  </si>
  <si>
    <t>continued operations of los alamos national laboratory proposal to expand overall operational levels (doe/eis-0380) site wide los alamos county nm</t>
  </si>
  <si>
    <t>Final(05/16/2008)</t>
  </si>
  <si>
    <t>site-wide continued operation of lawrence livermore national laboratory (llnl) and stockpile stewardship and management implementation alameda and san joaquin counties ca</t>
  </si>
  <si>
    <t>Final(04/29/2005);Draft(02/27/2004)</t>
  </si>
  <si>
    <t>https://arizona.app.box.com/file/386240777996</t>
  </si>
  <si>
    <t>https://arizona.app.box.com/file/386244717417</t>
  </si>
  <si>
    <t>project935</t>
  </si>
  <si>
    <t>six county association of governments construction and operation between levan and salina, utah</t>
  </si>
  <si>
    <t>Final(05/29/2015);Draft(07/06/2007)</t>
  </si>
  <si>
    <t>https://arizona.app.box.com/file/389172723841</t>
  </si>
  <si>
    <t>https://arizona.app.box.com/file/386238358352</t>
  </si>
  <si>
    <t>six county association of governments proposed rail line between levan and salina</t>
  </si>
  <si>
    <t>Draft Supplement(05/09/2014)</t>
  </si>
  <si>
    <t>https://arizona.app.box.com/file/389263998436</t>
  </si>
  <si>
    <t>https://arizona.app.box.com/file/389163839462</t>
  </si>
  <si>
    <t>central utah rail project six counties association of governments construction and operation exemption rail line between levan and salina right-of-way application docket no. fd 34075 sanpete sevier juab counties ut</t>
  </si>
  <si>
    <t>Draft(07/06/2007)</t>
  </si>
  <si>
    <t>utah museum of natural history construction and operation new museum facility at university of utah salt lake city ut</t>
  </si>
  <si>
    <t>Draft(07/28/2006);Final(02/23/2007)</t>
  </si>
  <si>
    <t>https://arizona.app.box.com/file/386263615597</t>
  </si>
  <si>
    <t>project937</t>
  </si>
  <si>
    <t>smith river nra restoration and motorized travel management</t>
  </si>
  <si>
    <t>Draft(04/11/2014);Final(03/24/2017)</t>
  </si>
  <si>
    <t>smith river national recreation area restoration and motorized travel management</t>
  </si>
  <si>
    <t>https://arizona.app.box.com/file/389256052121</t>
  </si>
  <si>
    <t>https://arizona.app.box.com/file/389166820334</t>
  </si>
  <si>
    <t>stanislaus national forest motorized travel management (17305) plan implementation stanislaus national forest ca</t>
  </si>
  <si>
    <t>Final(12/04/2009);Draft(03/06/2009)</t>
  </si>
  <si>
    <t>https://arizona.app.box.com/file/389161861573</t>
  </si>
  <si>
    <t>https://arizona.app.box.com/file/389138397167</t>
  </si>
  <si>
    <t>project938</t>
  </si>
  <si>
    <t>smiths fork vegetation restoration project</t>
  </si>
  <si>
    <t>Final(03/21/2014);Draft(08/30/2013)</t>
  </si>
  <si>
    <t>https://arizona.app.box.com/file/389257421163</t>
  </si>
  <si>
    <t>upper north fork hfra ecosystem restoration project</t>
  </si>
  <si>
    <t>Draft(03/21/2014);Final(07/25/2014)</t>
  </si>
  <si>
    <t>https://arizona.app.box.com/file/389266425780</t>
  </si>
  <si>
    <t>https://arizona.app.box.com/file/389166322796</t>
  </si>
  <si>
    <t>https://arizona.app.box.com/file/389258847984</t>
  </si>
  <si>
    <t>https://arizona.app.box.com/file/389166177185</t>
  </si>
  <si>
    <t>project939</t>
  </si>
  <si>
    <t>smoky canyon mine panels f &amp; g lease and mine plan modification project</t>
  </si>
  <si>
    <t>Final(03/27/2015);Draft(05/30/2014)</t>
  </si>
  <si>
    <t>Second Draft(05/30/2014)</t>
  </si>
  <si>
    <t>https://arizona.app.box.com/file/389167169078</t>
  </si>
  <si>
    <t>smoky canyon mine panels f and g lease and mine plan modification project</t>
  </si>
  <si>
    <t>Second Final(03/27/2015)</t>
  </si>
  <si>
    <t>https://arizona.app.box.com/file/389264238412</t>
  </si>
  <si>
    <t>https://arizona.app.box.com/file/389162680427</t>
  </si>
  <si>
    <t>smoky canyon mine panels f &amp; g proposed mine expansion caribou county id</t>
  </si>
  <si>
    <t>Final(10/26/2007);Draft(12/30/2005)</t>
  </si>
  <si>
    <t>https://arizona.app.box.com/file/386245753824</t>
  </si>
  <si>
    <t>https://arizona.app.box.com/file/386239823503</t>
  </si>
  <si>
    <t>proposed east smoky panel mine project at smoky canyon mine</t>
  </si>
  <si>
    <t>https://arizona.app.box.com/file/389175282208</t>
  </si>
  <si>
    <t>smoky canyon mine panels b and c propose to mine phosphate ore reserve in the final two mine panels national forest system lands and federal mineral leases caribou national forest permit caribou county id</t>
  </si>
  <si>
    <t>Draft Supplement(07/13/2001)</t>
  </si>
  <si>
    <t>project94</t>
  </si>
  <si>
    <t>big south fork national river and recreation area obed wild and scenic river non-federal oil and gas management plan implementation ky and tn</t>
  </si>
  <si>
    <t>Final(07/20/2012);Draft(06/17/2011)</t>
  </si>
  <si>
    <t>big south fork national river and recreation area and obed wild and scenic river non-federal oil and gas management plan implementation ky and tn</t>
  </si>
  <si>
    <t>Draft(06/17/2011)</t>
  </si>
  <si>
    <t>https://arizona.app.box.com/file/386243018447</t>
  </si>
  <si>
    <t>Final(07/20/2012)</t>
  </si>
  <si>
    <t>https://arizona.app.box.com/file/386247271128</t>
  </si>
  <si>
    <t>obed wild and scenic river general management plan and development concept plan implementation morgan and cumberland counties tn</t>
  </si>
  <si>
    <t>Draft(12/23/1994);Final(07/07/1995)</t>
  </si>
  <si>
    <t>big south fork national river and recreation area general management plan implementation mccreary county ky and fentress morgan pickett scott counties tn</t>
  </si>
  <si>
    <t>Draft(02/25/2000)</t>
  </si>
  <si>
    <t>https://arizona.app.box.com/file/386237642128</t>
  </si>
  <si>
    <t>big south fork national river and recreation area general management plan implementation resources roads and trails mccreary ky and fentress morgan pickett and scott counties tn</t>
  </si>
  <si>
    <t>Final(03/25/2005)</t>
  </si>
  <si>
    <t>https://arizona.app.box.com/file/386259939266</t>
  </si>
  <si>
    <t>project940</t>
  </si>
  <si>
    <t>farley vegetation management project to conduct timber harvest commercial and non-commercial thinning fuels treatment prescribed burning and reforestation desolation creek north fork john day ranger district umatilla national forest grant county or</t>
  </si>
  <si>
    <t>Final(07/24/2009);Draft(09/05/2008)</t>
  </si>
  <si>
    <t>https://arizona.app.box.com/file/389151984461</t>
  </si>
  <si>
    <t>https://arizona.app.box.com/file/389161500359</t>
  </si>
  <si>
    <t>north fork burnt river mining project proposal for mineral plans of operation implementation wallowa-whitman national forest unity ranger district of the whitman unit blue mountains town of unity baker county or</t>
  </si>
  <si>
    <t>Final(04/30/2004);Draft(09/05/2003)</t>
  </si>
  <si>
    <t>https://arizona.app.box.com/file/389164857134</t>
  </si>
  <si>
    <t>https://arizona.app.box.com/file/389162303928</t>
  </si>
  <si>
    <t>monument fire recovery project whitman unit - wallowa -whitman national forest (wwnf) timber harvest of fire killed and dying trees reforestation recovery of herbaceous native vegetation and maintenance or improvement of water quality implementation baker county or</t>
  </si>
  <si>
    <t>Draft(10/17/2003)</t>
  </si>
  <si>
    <t>https://arizona.app.box.com/file/389161650473</t>
  </si>
  <si>
    <t>project943</t>
  </si>
  <si>
    <t>Draft(11/29/2013);Final(06/12/2015)</t>
  </si>
  <si>
    <t>soda mountain solar project</t>
  </si>
  <si>
    <t>https://arizona.app.box.com/file/389268137018</t>
  </si>
  <si>
    <t>https://arizona.app.box.com/file/389164439164</t>
  </si>
  <si>
    <t>stateline solar farm project proposed final plan amendment</t>
  </si>
  <si>
    <t>https://arizona.app.box.com/file/389267847540</t>
  </si>
  <si>
    <t>https://arizona.app.box.com/file/389154632505</t>
  </si>
  <si>
    <t>quartzsite solar energy project and proposed yuma field office resource management plan amendment la paz county az</t>
  </si>
  <si>
    <t>https://arizona.app.box.com/file/389264433683</t>
  </si>
  <si>
    <t>https://arizona.app.box.com/file/389165246328</t>
  </si>
  <si>
    <t>project949</t>
  </si>
  <si>
    <t>south florida and caribbean parks exotic plant management plan manage and control exotic plants in nine parks five in south florida parks: big cypress national preserve biscayne national park canaveral national seashore dry tortugas national park everglades national park and four in caribbean parks: buck island reef national monument christiansted national historic site salt river bay national historic park and ecological preserve and virgin islands national park florida and caribbean</t>
  </si>
  <si>
    <t>Draft(09/22/2006);Final(09/03/2010)</t>
  </si>
  <si>
    <t>https://arizona.app.box.com/file/386218865984</t>
  </si>
  <si>
    <t>https://arizona.app.box.com/file/386244269880</t>
  </si>
  <si>
    <t>buck island reef national monument general management plan implementation st. croix virgin islands</t>
  </si>
  <si>
    <t>Draft(03/02/2012)</t>
  </si>
  <si>
    <t>VI</t>
  </si>
  <si>
    <t>https://arizona.app.box.com/file/386231311809</t>
  </si>
  <si>
    <t>canaveral national seashore final general management plan</t>
  </si>
  <si>
    <t>https://arizona.app.box.com/file/389261666484</t>
  </si>
  <si>
    <t>https://arizona.app.box.com/file/389151965495</t>
  </si>
  <si>
    <t>project95</t>
  </si>
  <si>
    <t>Draft(05/03/2013);Final(10/03/2014)</t>
  </si>
  <si>
    <t>big thicket national preserve oil and gas management plan implementation hardin jefferson orange liberty tyler jasper and polk counties tx</t>
  </si>
  <si>
    <t>Final(12/16/2005);Draft(12/10/2004)</t>
  </si>
  <si>
    <t>https://arizona.app.box.com/file/386241091778</t>
  </si>
  <si>
    <t>https://arizona.app.box.com/file/386216419680</t>
  </si>
  <si>
    <t>denali national park and preserve revised final backcountry management plan general management plan amendment implementation ak</t>
  </si>
  <si>
    <t>Final(01/20/2006)</t>
  </si>
  <si>
    <t>https://arizona.app.box.com/file/386246410010</t>
  </si>
  <si>
    <t>project951</t>
  </si>
  <si>
    <t>south george vegetation and fuels management project to improve forest health and resilience to fire insects and disease in upland forests pomerory ranger district umatilla national forest asotin and garfield counties wa</t>
  </si>
  <si>
    <t>Draft(02/24/2012);Final(07/27/2012)</t>
  </si>
  <si>
    <t>https://arizona.app.box.com/file/389137304531</t>
  </si>
  <si>
    <t>south george vegetation and fuels management project to improve forest health and resilience to fire insects and disease in upland forests pmerory ranger district umatilla national forest asotin and garfield counties wa</t>
  </si>
  <si>
    <t>Draft(02/24/2012)</t>
  </si>
  <si>
    <t>https://arizona.app.box.com/file/389150870298</t>
  </si>
  <si>
    <t>cobbler ii timber sale and fuels reduction project proposing vegetation and fuels management to improve health and vigor upland forest stands and reduce hazardous and ladder fuels walla walla ranger district umatilla national forest wallowa and union counties or</t>
  </si>
  <si>
    <t>Final(10/22/2010);Draft(04/30/2010)</t>
  </si>
  <si>
    <t>https://arizona.app.box.com/file/389163027550</t>
  </si>
  <si>
    <t>https://arizona.app.box.com/file/389162545777</t>
  </si>
  <si>
    <t>cobbler ii timber sale and fuels reduction project updated information to revise and clarify aspects of the analyses presented in the feis of october 2010 proposing vegetation and fuels management to improve health and vigor upland forest stands and reduce hazardous and ladder fuels walla walla ranger district umatilla national forest wallowa and union counties or</t>
  </si>
  <si>
    <t>Final Supplement(05/18/2012);Draft Supplement(08/12/2011)</t>
  </si>
  <si>
    <t>https://arizona.app.box.com/file/389163675058</t>
  </si>
  <si>
    <t>https://arizona.app.box.com/file/389261688620</t>
  </si>
  <si>
    <t>frenchtown face ecosystem restoration project maintenance and improvement of forest health risk reduction of damage insects and disease lolo national forest ninemile ranger district missoula mt</t>
  </si>
  <si>
    <t>Draft(07/23/2004);Final(03/24/2006)</t>
  </si>
  <si>
    <t>https://arizona.app.box.com/file/386243671648</t>
  </si>
  <si>
    <t>https://arizona.app.box.com/file/389150187090</t>
  </si>
  <si>
    <t>project952</t>
  </si>
  <si>
    <t>Draft(04/26/2013);Final(09/26/2014)</t>
  </si>
  <si>
    <t>south mountain freeway (loop 202) interstate 10 (papago freeway) to interstate 10 (maricopa freeway)</t>
  </si>
  <si>
    <t>https://arizona.app.box.com/file/389266479877</t>
  </si>
  <si>
    <t>https://arizona.app.box.com/file/389171580086</t>
  </si>
  <si>
    <t>red mountain freeway (loop 202) transportation facility construction from salt river between the price freeway on the west and az-87 on the east coe section 404 and npdes permits phoenix metropolitan area maricopa county az</t>
  </si>
  <si>
    <t>Draft(11/12/1993);Final(08/19/1994)</t>
  </si>
  <si>
    <t>red mountain freeway (loop 202) construction and operation between ar 87 (county club drive) and us-60 (superstition freeway) funding npdes permit and coe section 404 permit city of mesa maricopa county az</t>
  </si>
  <si>
    <t>Final(07/09/1999);Draft(01/23/1998)</t>
  </si>
  <si>
    <t>project954</t>
  </si>
  <si>
    <t>south shore of staten island coastal storm risk management</t>
  </si>
  <si>
    <t>Final(09/16/2016);Draft(06/19/2015)</t>
  </si>
  <si>
    <t>south shore of staten island (sssi) coastal storm risk management</t>
  </si>
  <si>
    <t>https://arizona.app.box.com/file/389173147857</t>
  </si>
  <si>
    <t>https://arizona.app.box.com/file/386213371658</t>
  </si>
  <si>
    <t>draft integrated city of norfolk coastal storm risk management feasibility study</t>
  </si>
  <si>
    <t>Draft(11/17/2017)</t>
  </si>
  <si>
    <t>https://arizona.app.box.com/file/389165145238</t>
  </si>
  <si>
    <t>https://arizona.app.box.com/file/386237324013</t>
  </si>
  <si>
    <t>final integrated city of norfolk coastal storm risk management feasibility study</t>
  </si>
  <si>
    <t>https://arizona.app.box.com/file/389181059985</t>
  </si>
  <si>
    <t>sabine pass to galveston bay, texas, coastal storm risk reduction and ecosystem restoration</t>
  </si>
  <si>
    <t>https://arizona.app.box.com/file/389163122207</t>
  </si>
  <si>
    <t>https://arizona.app.box.com/file/386237325692</t>
  </si>
  <si>
    <t>project955</t>
  </si>
  <si>
    <t>south texas project electric generating station units 3 and 4 application for combined license (nureg-1937)</t>
  </si>
  <si>
    <t>vogtle electric generating plant units 3 and 4 construction and operation application for combined licenses (cols) nureg-1947 waynesbora ga</t>
  </si>
  <si>
    <t>Final(03/25/2011);Draft(09/03/2010)</t>
  </si>
  <si>
    <t>https://arizona.app.box.com/file/386247212207</t>
  </si>
  <si>
    <t>https://arizona.app.box.com/file/386244382158</t>
  </si>
  <si>
    <t>project96</t>
  </si>
  <si>
    <t>big thorne project</t>
  </si>
  <si>
    <t>Final(07/12/2013);Draft(10/26/2012)</t>
  </si>
  <si>
    <t>Final(07/12/2013)</t>
  </si>
  <si>
    <t>https://arizona.app.box.com/file/389260686661</t>
  </si>
  <si>
    <t>https://arizona.app.box.com/file/389152623883</t>
  </si>
  <si>
    <t>big thorne project proposes to harvest timber build new roads and reconstruct roads thorne bay ranger district tongass national forest ak</t>
  </si>
  <si>
    <t>https://arizona.app.box.com/file/389260759985</t>
  </si>
  <si>
    <t>kosciusko island timber sale(s) timber harvesting tongass national forest thorne bay ranger district kosciusko island ak</t>
  </si>
  <si>
    <t>Draft(07/19/2002)</t>
  </si>
  <si>
    <t>https://arizona.app.box.com/file/386246697596</t>
  </si>
  <si>
    <t>luck lake timber sales project implementation tongass national forest thorne bay ranger district prince of wales island ak</t>
  </si>
  <si>
    <t>Draft(03/19/1999);Final(08/11/2000)</t>
  </si>
  <si>
    <t>tuxekan island timber sale(s) project timber harvesting implementation coast guard bridge permit us army coe section 10 and 404 permits tongass national forest thorne bay ranger district thorne bay ak</t>
  </si>
  <si>
    <t>https://arizona.app.box.com/file/389138064269</t>
  </si>
  <si>
    <t>project960</t>
  </si>
  <si>
    <t>Final(12/24/2015);Draft(09/11/2015)</t>
  </si>
  <si>
    <t>algonquin incremental market project</t>
  </si>
  <si>
    <t>Draft(08/15/2014);Final(01/30/2015)</t>
  </si>
  <si>
    <t>CT Multi</t>
  </si>
  <si>
    <t>https://arizona.app.box.com/file/389260147779</t>
  </si>
  <si>
    <t>https://arizona.app.box.com/file/389159185366</t>
  </si>
  <si>
    <t>https://arizona.app.box.com/file/389264403594</t>
  </si>
  <si>
    <t>https://arizona.app.box.com/file/389167525888</t>
  </si>
  <si>
    <t>tx-45 highway southeast study i-35 south at farm-to-market road-1327 to tx-130/us 183 local regional enhancements to the national transportation systems funding and right-of-way permit issuance travis county tx</t>
  </si>
  <si>
    <t>Final(12/19/2003)</t>
  </si>
  <si>
    <t>project965</t>
  </si>
  <si>
    <t>southline transmission project</t>
  </si>
  <si>
    <t>Final(11/06/2015);Draft(04/11/2014)</t>
  </si>
  <si>
    <t>hooper springs transmission project</t>
  </si>
  <si>
    <t>Draft(03/08/2013);Draft Supplement(05/09/2014);Final(01/23/2015)</t>
  </si>
  <si>
    <t>https://arizona.app.box.com/file/389260225850</t>
  </si>
  <si>
    <t>https://arizona.app.box.com/file/389161906858</t>
  </si>
  <si>
    <t>https://arizona.app.box.com/file/389267190815</t>
  </si>
  <si>
    <t>https://arizona.app.box.com/file/389161308944</t>
  </si>
  <si>
    <t>https://arizona.app.box.com/file/389262448638</t>
  </si>
  <si>
    <t>project971</t>
  </si>
  <si>
    <t>spokane tribe of indians west plains casino and mixed-use development project approval of gaming development and management spokane county wa</t>
  </si>
  <si>
    <t>Draft(03/02/2012);Final(02/01/2013)</t>
  </si>
  <si>
    <t>west plains casino and mixed-use development project approval of gaming development and management spokane tribe of indians spokane county wa</t>
  </si>
  <si>
    <t>https://arizona.app.box.com/file/386243998967</t>
  </si>
  <si>
    <t>https://arizona.app.box.com/file/389164774025</t>
  </si>
  <si>
    <t>cowlitz indian tribe trust acquisition and casino project take 151.87 acres into federal trust and issuing of reservation proclamation and approving the gaming development and management contract clack county wa</t>
  </si>
  <si>
    <t>Draft(04/14/2006);Final(05/30/2008)</t>
  </si>
  <si>
    <t>https://arizona.app.box.com/file/386241941460</t>
  </si>
  <si>
    <t>https://arizona.app.box.com/file/386226553379</t>
  </si>
  <si>
    <t>big sandy rancheria and casino and resort project proposing construct a gaming and entertainment facility approval of lease agreement grant big sandy rancheria band of western mono indians east of friant fresno county ca</t>
  </si>
  <si>
    <t>Draft(01/14/2011)</t>
  </si>
  <si>
    <t>https://arizona.app.box.com/file/386251915620</t>
  </si>
  <si>
    <t>graton rancheria casino and hotel project transfer of land into trust implementation federated indians of graton rancheria (tribe) sonoma county ca</t>
  </si>
  <si>
    <t>Draft(03/09/2007);Final(02/27/2009)</t>
  </si>
  <si>
    <t>NIG</t>
  </si>
  <si>
    <t>https://arizona.app.box.com/file/386253735571</t>
  </si>
  <si>
    <t>https://arizona.app.box.com/file/386247577832</t>
  </si>
  <si>
    <t>project973</t>
  </si>
  <si>
    <t>Final(10/20/2016);Draft(10/06/2014)</t>
  </si>
  <si>
    <t>1800 north (sr-37) project</t>
  </si>
  <si>
    <t>https://arizona.app.box.com/file/389173043502</t>
  </si>
  <si>
    <t>https://arizona.app.box.com/file/386238302079</t>
  </si>
  <si>
    <t>monroe connector/bypass</t>
  </si>
  <si>
    <t>Draft Supplement(11/22/2013);Final Supplement(06/06/2014)</t>
  </si>
  <si>
    <t>https://arizona.app.box.com/file/389266594930</t>
  </si>
  <si>
    <t>https://arizona.app.box.com/file/389166153284</t>
  </si>
  <si>
    <t>https://arizona.app.box.com/file/389163557601</t>
  </si>
  <si>
    <t>project975</t>
  </si>
  <si>
    <t>st. johns river crossing</t>
  </si>
  <si>
    <t>Final(09/27/2013);Draft(01/08/2010)</t>
  </si>
  <si>
    <t>st. johns river crossing project improved highway corridor and brdge crossing the st. john river between clay and st. johns counties fl</t>
  </si>
  <si>
    <t>Draft(01/08/2010)</t>
  </si>
  <si>
    <t>https://arizona.app.box.com/file/386239346165</t>
  </si>
  <si>
    <t>st. johns bayou and new madrid floodway project</t>
  </si>
  <si>
    <t>https://arizona.app.box.com/file/389260812778</t>
  </si>
  <si>
    <t>https://arizona.app.box.com/file/389159054566</t>
  </si>
  <si>
    <t>jacksonville harbor navigation channel deepening improvements construction st. johns river duval county fl</t>
  </si>
  <si>
    <t>Draft(06/19/1998);Final(11/06/1998)</t>
  </si>
  <si>
    <t>little missouri river crossing</t>
  </si>
  <si>
    <t>Draft(07/06/2018)</t>
  </si>
  <si>
    <t>https://arizona.app.box.com/file/389178123316</t>
  </si>
  <si>
    <t>https://arizona.app.box.com/file/386239544117</t>
  </si>
  <si>
    <t>castillo de san marcos national monument general management plan implementation city of st. augustine st. johns county fl</t>
  </si>
  <si>
    <t>Final(05/04/2007);Draft(04/28/2006)</t>
  </si>
  <si>
    <t>https://arizona.app.box.com/file/386218303302</t>
  </si>
  <si>
    <t>https://arizona.app.box.com/file/386242513901</t>
  </si>
  <si>
    <t>project977</t>
  </si>
  <si>
    <t>Final(11/27/2015);Draft(01/16/2015)</t>
  </si>
  <si>
    <t>proposed rule: standards for growing harvesting packing and holding of produce for human consumption</t>
  </si>
  <si>
    <t>https://arizona.app.box.com/file/389256921035</t>
  </si>
  <si>
    <t>project978</t>
  </si>
  <si>
    <t>state route 58 (sr-58) kramer junction expressway project</t>
  </si>
  <si>
    <t>Final(07/18/2014);Draft(07/05/2013)</t>
  </si>
  <si>
    <t>https://arizona.app.box.com/file/389256337856</t>
  </si>
  <si>
    <t>https://arizona.app.box.com/file/389152214838</t>
  </si>
  <si>
    <t>https://arizona.app.box.com/file/389258307068</t>
  </si>
  <si>
    <t>https://arizona.app.box.com/file/389162259441</t>
  </si>
  <si>
    <t>state route 58 hinkley expressway project</t>
  </si>
  <si>
    <t>https://arizona.app.box.com/file/389255843111</t>
  </si>
  <si>
    <t>https://arizona.app.box.com/file/389152167089</t>
  </si>
  <si>
    <t>state route 58 (sr-58) hinkley expressway project grade separate widen and realign san bernardino county ca</t>
  </si>
  <si>
    <t>https://arizona.app.box.com/file/389178949619</t>
  </si>
  <si>
    <t>https://arizona.app.box.com/file/386242544243</t>
  </si>
  <si>
    <t>tier 1- state route 180 westside expressway</t>
  </si>
  <si>
    <t>Final(03/15/2013)</t>
  </si>
  <si>
    <t>https://arizona.app.box.com/file/389266322005</t>
  </si>
  <si>
    <t>https://arizona.app.box.com/file/389167367178</t>
  </si>
  <si>
    <t>new york state route 198 (scajaquada expressway) corridor project</t>
  </si>
  <si>
    <t>Final(11/17/2017)</t>
  </si>
  <si>
    <t>https://arizona.app.box.com/file/389176915075</t>
  </si>
  <si>
    <t>project979</t>
  </si>
  <si>
    <t>Final(07/12/2013);Draft(01/04/2013)</t>
  </si>
  <si>
    <t>project98</t>
  </si>
  <si>
    <t>billings and pompeys pillar national monument resource management plan</t>
  </si>
  <si>
    <t>Draft(03/29/2013);Final(05/29/2015)</t>
  </si>
  <si>
    <t>https://arizona.app.box.com/file/389268210325</t>
  </si>
  <si>
    <t>https://arizona.app.box.com/file/389161806971</t>
  </si>
  <si>
    <t>billings bypass improvements</t>
  </si>
  <si>
    <t>Final(03/28/2014)</t>
  </si>
  <si>
    <t>https://arizona.app.box.com/file/389262519739</t>
  </si>
  <si>
    <t>https://arizona.app.box.com/file/389259890773</t>
  </si>
  <si>
    <t>project981</t>
  </si>
  <si>
    <t>Draft(05/27/2011);Final(08/24/2012)</t>
  </si>
  <si>
    <t>state route 91 corridor improvement project proposes widening including the construction of one mixed-flow lane in each direction between state 91 and interstate 15 riverside and orange county ca</t>
  </si>
  <si>
    <t>Draft(05/27/2011)</t>
  </si>
  <si>
    <t>https://arizona.app.box.com/file/386244794728</t>
  </si>
  <si>
    <t>interstate 5 (santa ana freeway) project improvement from state route 91 in orange county to interstate 605 in los angeles county ca</t>
  </si>
  <si>
    <t>Draft(11/17/2006);Final(09/21/2007)</t>
  </si>
  <si>
    <t>https://arizona.app.box.com/file/386218018070</t>
  </si>
  <si>
    <t>https://arizona.app.box.com/file/386241353045</t>
  </si>
  <si>
    <t>state route 241-91 tolled express lanes connector project</t>
  </si>
  <si>
    <t>Draft Supplement(11/10/2016)</t>
  </si>
  <si>
    <t>California Department of Transportation</t>
  </si>
  <si>
    <t>https://arizona.app.box.com/file/389165419517</t>
  </si>
  <si>
    <t>https://arizona.app.box.com/file/386226177394</t>
  </si>
  <si>
    <t>project984</t>
  </si>
  <si>
    <t>steller sea lion protection measures for groundfish fisheries in the bering sea and aleutian islands management area</t>
  </si>
  <si>
    <t>Draft(05/17/2013);Final(05/23/2014)</t>
  </si>
  <si>
    <t>https://arizona.app.box.com/file/389263323117</t>
  </si>
  <si>
    <t>https://arizona.app.box.com/file/389162375638</t>
  </si>
  <si>
    <t>https://arizona.app.box.com/file/389261614006</t>
  </si>
  <si>
    <t>https://arizona.app.box.com/file/389162898042</t>
  </si>
  <si>
    <t>steller sea lion protection measures in the alaska groundfish fisheries fishery management plans for groundfish of the gulf of alaska and the groundfish fishery of the bering sea and aleutian islands area ak</t>
  </si>
  <si>
    <t>FE(11/23/2001);DE(08/31/2001)</t>
  </si>
  <si>
    <t>https://arizona.app.box.com/file/386230111097</t>
  </si>
  <si>
    <t>programmatic - alaska groundfish fisheries implementation under the authority of the fishery management plans for the groundfish fishery of the gulf of alaska and the groundfish of the bering sea and aleutian islands area ak</t>
  </si>
  <si>
    <t>DD(02/02/2001)</t>
  </si>
  <si>
    <t>https://arizona.app.box.com/file/386245890602</t>
  </si>
  <si>
    <t>programmatic - alaska groundfish fisheries new information concerning the ecosystem and a preferred alternative fishery management plans for groundfish fishery of the gulf of alaska and the groundfish fishery of the bering sea and aleutian islands area north pacific fishery management council ak</t>
  </si>
  <si>
    <t>FD(06/04/2004);DF(08/29/2003)</t>
  </si>
  <si>
    <t>https://arizona.app.box.com/file/386253962095</t>
  </si>
  <si>
    <t>https://arizona.app.box.com/file/386230116055</t>
  </si>
  <si>
    <t>groundfish fishery of the bering sea and aleutian islands fishery management plan increase of the optimum yield range implementation ak</t>
  </si>
  <si>
    <t>Draft Supplement(05/06/1988)</t>
  </si>
  <si>
    <t>project985</t>
  </si>
  <si>
    <t>stillwater mining reused water management plans and boe ranch lad usace section 404 permit beartooth ranger district stillwater county mt</t>
  </si>
  <si>
    <t>Final(06/29/2012);Draft(11/26/2010)</t>
  </si>
  <si>
    <t>https://arizona.app.box.com/file/389165506334</t>
  </si>
  <si>
    <t>stillwater mining revised water management plans and boe ranch lad implementation stillwater and nye counties mt</t>
  </si>
  <si>
    <t>Draft(11/26/2010)</t>
  </si>
  <si>
    <t>https://arizona.app.box.com/file/389157670476</t>
  </si>
  <si>
    <t>beartooth mountains oil and gas exploration and development plan approval and leasing custer national forest beartooth ranger district carbon park sweetgrass and stillwater counties mt</t>
  </si>
  <si>
    <t>Final(05/07/1993);Draft(10/09/1992)</t>
  </si>
  <si>
    <t>beartooth ranger district travel management planning proposing to designate routes for public motorized use and change management of pack and saddle stock on certain trail beartooth ranger district custer national forest carbon stillwater sweet grass and park counties mt</t>
  </si>
  <si>
    <t>Draft(10/05/2007);Final(06/06/2008)</t>
  </si>
  <si>
    <t>https://arizona.app.box.com/file/389146060117</t>
  </si>
  <si>
    <t>https://arizona.app.box.com/file/389150901022</t>
  </si>
  <si>
    <t>stillwater valley platinum-palladium mining and milling project amendment to plan of operations and approval of permit stillwater river valley custer national forest stillwater county mt</t>
  </si>
  <si>
    <t>Second Draft(06/05/1992)</t>
  </si>
  <si>
    <t>project986</t>
  </si>
  <si>
    <t>stonewall vegetation project</t>
  </si>
  <si>
    <t>Final(08/21/2015);Draft(05/03/2013)</t>
  </si>
  <si>
    <t>Final(08/21/2015);Draft(05/03/2013);Draft Supplement(11/30/2018)</t>
  </si>
  <si>
    <t>https://arizona.app.box.com/file/389266489102</t>
  </si>
  <si>
    <t>https://arizona.app.box.com/file/389152133457</t>
  </si>
  <si>
    <t>https://arizona.app.box.com/file/389184241704</t>
  </si>
  <si>
    <t>https://arizona.app.box.com/file/389163324926</t>
  </si>
  <si>
    <t>interstate 69 section of independent utility (siu) 15 project construct between u.s. highway 171 near the town of stonewall in desoto parish and interstate highway 20 (i-20) near the town of haughton in bossier parish la</t>
  </si>
  <si>
    <t>Draft(06/17/2005)</t>
  </si>
  <si>
    <t>https://arizona.app.box.com/file/386238713862</t>
  </si>
  <si>
    <t>project987</t>
  </si>
  <si>
    <t>strata energy, inc., ross in situ</t>
  </si>
  <si>
    <t>Draft(03/29/2013);Final(03/11/2014)</t>
  </si>
  <si>
    <t>project988</t>
  </si>
  <si>
    <t>strategies to benefit native species by reducing the abundance of lake trout in flathead lake</t>
  </si>
  <si>
    <t>Draft(06/21/2013);Final(02/21/2014)</t>
  </si>
  <si>
    <t>proposed strategies to benefit native species by reducing the abundance of lake trout in flathead lake</t>
  </si>
  <si>
    <t>https://arizona.app.box.com/file/389268158507</t>
  </si>
  <si>
    <t>https://arizona.app.box.com/file/389152871591</t>
  </si>
  <si>
    <t>https://arizona.app.box.com/file/389264981622</t>
  </si>
  <si>
    <t>https://arizona.app.box.com/file/389164863661</t>
  </si>
  <si>
    <t>trout creek</t>
  </si>
  <si>
    <t>https://arizona.app.box.com/file/389166874544</t>
  </si>
  <si>
    <t>invasive plant control project protection of the abundance and biological diversity of desired native plant carson national forest and santa fe national forest rio arriba colfax los alamos mora san miguel and santa fe counties nm</t>
  </si>
  <si>
    <t>Final(11/18/2005);Draft(07/16/2004)</t>
  </si>
  <si>
    <t>https://arizona.app.box.com/file/386257196845</t>
  </si>
  <si>
    <t>https://arizona.app.box.com/file/389161313462</t>
  </si>
  <si>
    <t>project989</t>
  </si>
  <si>
    <t>stream protection rule</t>
  </si>
  <si>
    <t>Draft(07/17/2015);Final(11/16/2016)</t>
  </si>
  <si>
    <t>caliente creek stream group flood control plan implementation kern county ca</t>
  </si>
  <si>
    <t>Draft(07/17/1987)</t>
  </si>
  <si>
    <t>project993</t>
  </si>
  <si>
    <t>Final(11/08/2013);Draft(10/05/2012)</t>
  </si>
  <si>
    <t>project994</t>
  </si>
  <si>
    <t>sunnydale-velasco hope sf master plan project</t>
  </si>
  <si>
    <t>Final(07/10/2015);Draft(12/19/2014)</t>
  </si>
  <si>
    <t>https://arizona.app.box.com/file/389256141227</t>
  </si>
  <si>
    <t>https://arizona.app.box.com/file/389172520117</t>
  </si>
  <si>
    <t>https://arizona.app.box.com/file/389172145425</t>
  </si>
  <si>
    <t>potrero hope sf master plan project</t>
  </si>
  <si>
    <t>Draft(11/07/2014)</t>
  </si>
  <si>
    <t>https://arizona.app.box.com/file/389263987531</t>
  </si>
  <si>
    <t>https://arizona.app.box.com/file/389138437106</t>
  </si>
  <si>
    <t>potrero hope sf master plan</t>
  </si>
  <si>
    <t>https://arizona.app.box.com/file/389170833992</t>
  </si>
  <si>
    <t>ashburton avenue master plan and urban renewal plan/mulford hope vi revitalization plan development implementation yonkers city westchester county ny</t>
  </si>
  <si>
    <t>Draft(10/14/2005);Final(03/03/2006)</t>
  </si>
  <si>
    <t>https://arizona.app.box.com/file/386241284344</t>
  </si>
  <si>
    <t>https://arizona.app.box.com/file/386241624532</t>
  </si>
  <si>
    <t>project996</t>
  </si>
  <si>
    <t>https://arizona.app.box.com/file/386245531351</t>
  </si>
  <si>
    <t>https://arizona.app.box.com/file/386245468605</t>
  </si>
  <si>
    <t>i-405 construction south renton interchange to sunset interchange funding and section 10 permit city of renton king county wa</t>
  </si>
  <si>
    <t>Final(07/15/1988)</t>
  </si>
  <si>
    <t>tacoma housing authority (tha) hope vi salisshan redevelopment project redevelopment project revitalize the community neighborhood and housing in the area funding nhpa section 106 npdes permit city of tacoma wa</t>
  </si>
  <si>
    <t>Final(02/27/2004);Draft(09/12/2003)</t>
  </si>
  <si>
    <t>https://arizona.app.box.com/file/386229628953</t>
  </si>
  <si>
    <t>us 50/south shore community revitalization project</t>
  </si>
  <si>
    <t>Draft(05/05/2017);Final(10/26/2018)</t>
  </si>
  <si>
    <t>https://arizona.app.box.com/file/389174079974</t>
  </si>
  <si>
    <t>https://arizona.app.box.com/file/386231122540</t>
  </si>
  <si>
    <t>https://arizona.app.box.com/file/389174913455</t>
  </si>
  <si>
    <t>https://arizona.app.box.com/file/386231181887</t>
  </si>
  <si>
    <t>https://arizona.app.box.com/file/386248947772</t>
  </si>
  <si>
    <t>https://arizona.app.box.com/file/386253214495</t>
  </si>
  <si>
    <t>project998</t>
  </si>
  <si>
    <t>project999</t>
  </si>
  <si>
    <t>surface coal and lignite mining</t>
  </si>
  <si>
    <t>Draft(07/17/2015);Final(04/29/2016)</t>
  </si>
  <si>
    <t>Final(04/29/2016)</t>
  </si>
  <si>
    <t>https://arizona.app.box.com/file/389175250014</t>
  </si>
  <si>
    <t>https://arizona.app.box.com/file/386244109839</t>
  </si>
  <si>
    <t>surface coal and lignite mining in texas</t>
  </si>
  <si>
    <t>https://arizona.app.box.com/file/389168085088</t>
  </si>
  <si>
    <t>https://arizona.app.box.com/file/386211953593</t>
  </si>
  <si>
    <t>dry fork surface coal mine mining plan approval campbell county wy</t>
  </si>
  <si>
    <t>Draft(04/29/1988);Final(03/10/1989)</t>
  </si>
  <si>
    <t>three oaks mine project surface lignite mine construction and operation us army coe section 404 permit issuance lee and bastrop counties tx</t>
  </si>
  <si>
    <t>project983</t>
  </si>
  <si>
    <t>steamboat project proposes to implement multiple resource management actions northern hills ranger district black hills national forest lawrence meade and pennington counties sd</t>
  </si>
  <si>
    <t>Draft(08/12/2011);Final(02/24/2012)</t>
  </si>
  <si>
    <t>nautilus project area multiple resource management actions implementation black hills national forest northern hills ranger district lawrence meade and pennington sd</t>
  </si>
  <si>
    <t>Draft(06/04/2010);Final(09/03/2010)</t>
  </si>
  <si>
    <t>west rim project proposes to implement multiple resource management actions northern hills ranger district black hills national forest lawrence county sd</t>
  </si>
  <si>
    <t>Final(10/24/2008);Draft(06/06/2008)</t>
  </si>
  <si>
    <t>citadel project area proposes to implement multiple resource management actions northern hills ranger district black hills national forest lawrence county sd</t>
  </si>
  <si>
    <t>Final(09/14/2007);Draft(06/01/2007)</t>
  </si>
  <si>
    <t>project99</t>
  </si>
  <si>
    <t>Final(03/28/2014);Draft(08/17/2012)</t>
  </si>
  <si>
    <t>billings bypass improvements connecting interstate 90 (i-90) east of billings with old highway (old hwy 312) possible usace section 10 and 404 permits yellowstone county mt</t>
  </si>
  <si>
    <t>project992</t>
  </si>
  <si>
    <t>summit logan valley grazing authorization project</t>
  </si>
  <si>
    <t>Final(11/22/2013);Draft(11/02/2012)</t>
  </si>
  <si>
    <t>Final(11/22/2013)</t>
  </si>
  <si>
    <t>summit logan valley grazing authorization project prairie city ranger district malheur national forest grant county or</t>
  </si>
  <si>
    <t>kamas valley grazing allotment management plan implementation wasatch-cache national forest kamas ranger district summit county ut</t>
  </si>
  <si>
    <t>Draft(05/22/1992);Final(01/29/1993)</t>
  </si>
  <si>
    <t>project995</t>
  </si>
  <si>
    <t>project997</t>
  </si>
  <si>
    <t>Draft(05/25/2012);Final(06/14/2013)</t>
  </si>
  <si>
    <t>sunzia southwest transmission project resource management plan amendment construction and operation of two new 500 kv transmission lines right-of-way grant lincoln county nm and pinal county az</t>
  </si>
  <si>
    <t>project1091</t>
  </si>
  <si>
    <t>us-95 garwood to sagle (from mp-438.4 to mp 469.75) transportation improvements to present and future traffic demand funding npdes permit and us army coe section 404 permit kootenai and bonner counties id</t>
  </si>
  <si>
    <t>Final(04/09/2010);Draft(12/29/2006)</t>
  </si>
  <si>
    <t>i-75 from m-102 to m-59 proposed widening and reconstruction transportation improvements funding npdes permit and us army coe section 404 permit oakland county mi</t>
  </si>
  <si>
    <t>i-40 transportation improvements from i-75 to cherry street in knoxville funding npdes and us army coe section 404 permits issuance knox county tn</t>
  </si>
  <si>
    <t>us 24 transportation improvements project i-469 in new haven indiana to oh-15 in defiance funding npdes permit and us army coe section 404 permit issuance westenmost and allen counties in and paulding and defiance counties oh</t>
  </si>
  <si>
    <t>project221</t>
  </si>
  <si>
    <t>Final(06/19/2015);Draft(03/28/2014)</t>
  </si>
  <si>
    <t>withdrawn - crooked river valley rehabilitation project</t>
  </si>
  <si>
    <t>crooked river national grassland vegetation management/grazing vegetation treatments and grazing disposition ochoco national forest jefferson county or</t>
  </si>
  <si>
    <t>Draft(04/09/2004);Final(10/22/2004)</t>
  </si>
  <si>
    <t>project326</t>
  </si>
  <si>
    <t>Final(06/13/2014);Draft(06/22/2012)</t>
  </si>
  <si>
    <t>fort matanzas national monument general management plan implementation st. john's county fl</t>
  </si>
  <si>
    <t>effigy mounds national monument final general management plan</t>
  </si>
  <si>
    <t>Final(03/08/2013)</t>
  </si>
  <si>
    <t>project418</t>
  </si>
  <si>
    <t>gulf regional airspace strategic initiative landscape initiative</t>
  </si>
  <si>
    <t>Draft(05/09/2014);Final(06/05/2015)</t>
  </si>
  <si>
    <t>FL Multi</t>
  </si>
  <si>
    <t>adoption - gulf coast strategic homeporting</t>
  </si>
  <si>
    <t>Final(05/29/1987)</t>
  </si>
  <si>
    <t>new mexico training initiative proposal to modify the training airspace new cannon air force base (afb) nm</t>
  </si>
  <si>
    <t>Draft(01/07/2005);Final(10/20/2006)</t>
  </si>
  <si>
    <t>adoption - new mexico training initiative proposal to modify the training airspace new cannon air force base (afb) nm</t>
  </si>
  <si>
    <t>Final(05/18/2007)</t>
  </si>
  <si>
    <t>gulf coast strategic homeporting dredging c/o/m fl la al ms and tx</t>
  </si>
  <si>
    <t>project547</t>
  </si>
  <si>
    <t>lander field office planning area project resource management plan</t>
  </si>
  <si>
    <t>Final(02/22/2013);Draft(09/09/2011)</t>
  </si>
  <si>
    <t>lander field office planning area project proposed resource management plan</t>
  </si>
  <si>
    <t>Final(02/22/2013)</t>
  </si>
  <si>
    <t>project595</t>
  </si>
  <si>
    <t>malheur national wildlife refuge comprehensive conservation plan, harney county wa</t>
  </si>
  <si>
    <t>Final(12/21/2012);Draft(03/16/2012)</t>
  </si>
  <si>
    <t>project776</t>
  </si>
  <si>
    <t>portageville bridge project</t>
  </si>
  <si>
    <t>Draft(08/01/2014);Final(12/29/2014)</t>
  </si>
  <si>
    <t>proposed new bridge across the manatee river</t>
  </si>
  <si>
    <t>Draft(07/05/2013);Final(04/18/2014)</t>
  </si>
  <si>
    <t>project900</t>
  </si>
  <si>
    <t>Final(07/10/2015);Draft(08/31/2012)</t>
  </si>
  <si>
    <t>san francisco veterans affairs medical center (sfvamc) long range development plan implementation fort miley san francisco county ca</t>
  </si>
  <si>
    <t>Draft(08/31/2012)</t>
  </si>
  <si>
    <t>veterans affairs medical and regional office center relocation to tripler army medical center construction and renovation approval and npdes permit oahu hi</t>
  </si>
  <si>
    <t>Final(03/10/1995);Draft(07/15/1994)</t>
  </si>
  <si>
    <t>project956</t>
  </si>
  <si>
    <t>south unit - badlands national park general management plan implementation sd</t>
  </si>
  <si>
    <t>Draft(08/20/2010);Final(04/27/2012)</t>
  </si>
  <si>
    <t>badlands national park/north unit general management plan implementation jackson pennington and shananon counties sd</t>
  </si>
  <si>
    <t>Final(11/09/2006);Draft(10/28/2005)</t>
  </si>
  <si>
    <t>wind cave national park project elk general management plan implementation custer county sd</t>
  </si>
  <si>
    <t>Final(10/30/2009);Draft(06/20/2008)</t>
  </si>
  <si>
    <t>wind cave national park general management plan (gmp) implementation black hills custer county sd</t>
  </si>
  <si>
    <t>Draft(07/16/1993);Final(09/23/1994)</t>
  </si>
  <si>
    <t>project991</t>
  </si>
  <si>
    <t>napa river salt marsh restoration project salinity reduction and habitat restoration for napa river unit san pablo bay napa and solano counties ca</t>
  </si>
  <si>
    <t>Draft(05/02/2003)</t>
  </si>
  <si>
    <t>project206</t>
  </si>
  <si>
    <t>Final(10/07/2016);Draft(03/25/2016)</t>
  </si>
  <si>
    <t>rio grande project, continued implementation of the 2008 operating agreement</t>
  </si>
  <si>
    <t>Draft(03/25/2016)</t>
  </si>
  <si>
    <t>project974</t>
  </si>
  <si>
    <t>sr-126 (memorial boulevard) improvement project from east center street to i-81</t>
  </si>
  <si>
    <t>Draft(02/17/2012);Final(12/12/2014)</t>
  </si>
  <si>
    <t>sr-126 (memorial boulevard) corridor improvement project from east center street to interstate 81 funding usace section 404 permit sullivan county tn</t>
  </si>
  <si>
    <t>Draft(02/17/2012)</t>
  </si>
  <si>
    <t>east 71st street south reconstruction south lewis avenue to south memorial drive funding city and county of tulsa ok</t>
  </si>
  <si>
    <t>Draft(07/14/1989);Final(06/22/1990)</t>
  </si>
  <si>
    <t>1800 north (sr-37) transportation improvement</t>
  </si>
  <si>
    <t>i-81 corridor improvement study in virginia transportation improvements from the tennessee border to the west virginia border (tier 1) several counties va and wv</t>
  </si>
  <si>
    <t>Draft(12/09/2005);Final(04/06/2007)</t>
  </si>
  <si>
    <t>nan VA</t>
  </si>
  <si>
    <t>project1052</t>
  </si>
  <si>
    <t>turkey point nuclear plant units 6 and 7 application for combined licenses (nureg-2176)</t>
  </si>
  <si>
    <t>Final(11/04/2016);Draft(03/06/2015)</t>
  </si>
  <si>
    <t>combine licenses (cols) for turkey point nuclear plant units 6 and 7</t>
  </si>
  <si>
    <t>project1109</t>
  </si>
  <si>
    <t>project922</t>
  </si>
  <si>
    <t>Final(08/26/2016);Draft(01/16/2015)</t>
  </si>
  <si>
    <t>u.s. sheep experimental station grazing and associated activities project</t>
  </si>
  <si>
    <t>Final(08/11/2017)</t>
  </si>
  <si>
    <t>ARS</t>
  </si>
  <si>
    <t>project482</t>
  </si>
  <si>
    <t>interstate 290 eisenhower expressway</t>
  </si>
  <si>
    <t>Final(07/28/2017);Draft(12/30/2016)</t>
  </si>
  <si>
    <t>tx-71/us 290 improvements r.m. 1826 to f.m. 973 funding travis county tx</t>
  </si>
  <si>
    <t>Draft(05/15/1987);Final(07/22/1988)</t>
  </si>
  <si>
    <t>project413</t>
  </si>
  <si>
    <t>Final(04/12/2013);Draft(11/09/2012)</t>
  </si>
  <si>
    <t>1992 central and western gulf of mexico outer continental shelf (ocs) oil and gas sales 139 and 141 lease offering</t>
  </si>
  <si>
    <t>Draft(04/26/1991)</t>
  </si>
  <si>
    <t>project684</t>
  </si>
  <si>
    <t>new orleans to venice (nov) louisiana hurricane risk reduction project incorporation of non-federal levees from oakville to st. jude plaquemines parish la</t>
  </si>
  <si>
    <t>Final(06/10/2011);Draft(03/04/2011)</t>
  </si>
  <si>
    <t>new orleans to venice (nov) louisiana hurricane rick reduction project incorporation of non-federal levees from oakville to st. jude plaquemines parish la</t>
  </si>
  <si>
    <t>new orleans to venice hurricane protection plan barrier features construction plaquemines parish la</t>
  </si>
  <si>
    <t>Second Draft Supplemental(08/14/1987)</t>
  </si>
  <si>
    <t>new orleans to venice (nov) federal hurricane protection levee. restoring armoring and accelerating the completion of the existing nov plaquemines parish la</t>
  </si>
  <si>
    <t>Draft Supplement(03/25/2011);Final Supplement(06/24/2011)</t>
  </si>
  <si>
    <t>new orleans to venice hurricane protection plan barrier feature construction implementation plaquemines parish la</t>
  </si>
  <si>
    <t>Second Final Supplemental(12/04/1987)</t>
  </si>
  <si>
    <t>project844</t>
  </si>
  <si>
    <t>pyramid way and mccarran boulevard intersection improvement project and record of decision</t>
  </si>
  <si>
    <t>Draft(03/01/2013);Final(12/20/2013)</t>
  </si>
  <si>
    <t>pyramid way and mccarran boulevard intersection improvement project</t>
  </si>
  <si>
    <t>mid-coast corridor transit project/record of decision</t>
  </si>
  <si>
    <t>Final Supplement(11/07/2014)</t>
  </si>
  <si>
    <t>interstate 66 corridor tier 1 final environmental impact statement and tier 1 record of decision</t>
  </si>
  <si>
    <t>project1016</t>
  </si>
  <si>
    <t>texas-oklahoma passenger rail study corridor</t>
  </si>
  <si>
    <t>Final(11/03/2017);Draft(07/15/2016)</t>
  </si>
  <si>
    <t>chicago to council bluffs-omaha regional passenger rail system planning study tier 1</t>
  </si>
  <si>
    <t>texas lng project</t>
  </si>
  <si>
    <t>Draft(11/02/2018)</t>
  </si>
  <si>
    <t>project795</t>
  </si>
  <si>
    <t>programmatic - biomass crop assistance program</t>
  </si>
  <si>
    <t>Final(06/18/2015);Draft(12/23/2014)</t>
  </si>
  <si>
    <t>programmatic - biomass crop assistance program (bcap) to establish and administer the program areas program component of bcap as mandated in title ix of the 2008 farm bill in the united states</t>
  </si>
  <si>
    <t>Draft(08/07/2009);Final(06/25/2010)</t>
  </si>
  <si>
    <t>withdrawn - programmatic - biomass crop assistance program (bcap) to establish and administer the program areas program component of bcap as mandated in title ix of the 2008 farm bill in the united states</t>
  </si>
  <si>
    <t>Final(04/26/2010)</t>
  </si>
  <si>
    <t>programmatic - engineered high energy crop programs</t>
  </si>
  <si>
    <t>project433</t>
  </si>
  <si>
    <t>Draft(05/01/2015);Final(03/11/2016)</t>
  </si>
  <si>
    <t>kaloko-honokohau national historical park management and development general management plan implementation hawaii county hi</t>
  </si>
  <si>
    <t>Draft(10/09/1992);Final(10/07/1994)</t>
  </si>
  <si>
    <t>project420</t>
  </si>
  <si>
    <t>gunnison basin federal lands travel management project to address travel management on federal lands within the upper gunnison basin and north fork valley implementation gunnison delta hinsdale and saguache counties co</t>
  </si>
  <si>
    <t>Draft(03/06/2009);Final(04/30/2010)</t>
  </si>
  <si>
    <t>gunnison resource area resource management plan implementation montrose district hinsdale ouray gunnison saguache and montrose counties co</t>
  </si>
  <si>
    <t>Final(04/03/1992);Draft(03/15/1991)</t>
  </si>
  <si>
    <t>project1081</t>
  </si>
  <si>
    <t>us 41 improvement project extend from depere - suamico (memorial drive to county m) brown county wi</t>
  </si>
  <si>
    <t>Final(07/22/2011);Draft(02/11/2011)</t>
  </si>
  <si>
    <t>us 10 highway transportation improvement us 45 to us 41 in the city of appleton funding and coe section 404 permit winnebago county wi</t>
  </si>
  <si>
    <t>Draft(09/25/1992);Final(03/18/1994)</t>
  </si>
  <si>
    <t>us 41 highway corridor project transportation improvement between the cities of oconto and peshtigo funding marinette and oconto counties wi</t>
  </si>
  <si>
    <t>Draft(04/15/2005)</t>
  </si>
  <si>
    <t>us 41 highway corridor project transportation improvement between the cities of oconto and perhtigo funding marinette and oconto counties wi</t>
  </si>
  <si>
    <t>fox river project navigation system operation and maintenance from depere to menasha; four harbors on lake winnebago; channels on the upper fox river from lake winnebago wi</t>
  </si>
  <si>
    <t>Final(08/28/1998);Draft(05/16/1997)</t>
  </si>
  <si>
    <t>project660</t>
  </si>
  <si>
    <t>muscle shoals reservation redevelopment disposal and potential redevelopment approximately 1 400 acres of its muscle shoals reservation muscle shoals colbert county al</t>
  </si>
  <si>
    <t>Draft(01/14/2011);Final(11/18/2011)</t>
  </si>
  <si>
    <t>patton island bridge and approach roads construction crossing the tennessee river and connecting the cities of florence and muscle shoals funding 404 permit tva permit and cgd bridge permit colbert and lauderdale counties al</t>
  </si>
  <si>
    <t>Final(08/23/1991);Draft(11/03/1989)</t>
  </si>
  <si>
    <t>northern arizona proposed withdrawal project proposed 20-year withdrawal of approximately 1 million acres of federal mineral estate coconino and mohave counties az</t>
  </si>
  <si>
    <t>Draft(02/18/2011);Final(10/28/2011)</t>
  </si>
  <si>
    <t>memphis to atlanta corridor study mississippi/alabama state line to i-65 funding and us army coe section 404 permit colbert franklin lauderdale lawrence limestone and morgan counties al</t>
  </si>
  <si>
    <t>project679</t>
  </si>
  <si>
    <t>nevada and northeastern california greater sage-grouse land use plan amendments</t>
  </si>
  <si>
    <t>Final(05/29/2015);Draft(11/01/2013)</t>
  </si>
  <si>
    <t>nevada and northeastern california greater sage-grouse proposed land use plan amendments</t>
  </si>
  <si>
    <t>nevada and northeastern california greater sage-grouse planning</t>
  </si>
  <si>
    <t>nevada and northeastern california greater sage-grouse draft resource management plan amendment and environmental impact statement</t>
  </si>
  <si>
    <t>Draft(05/04/2018)</t>
  </si>
  <si>
    <t>project669</t>
  </si>
  <si>
    <t>Draft(08/28/2009);Final(02/19/2010)</t>
  </si>
  <si>
    <t>natomas levee improvement program phase 3 landsides improvements project issuing of 408 permission and 404 permit central valley flood control board sutter and sacramento counties ca</t>
  </si>
  <si>
    <t>Draft(02/20/2009)</t>
  </si>
  <si>
    <t>natomas levee improvement project issuing of 408 permission and 404 permit sacramento area flood control agency sutter and sacramento ca</t>
  </si>
  <si>
    <t>Final(11/14/2008);Draft(06/13/2008)</t>
  </si>
  <si>
    <t>project865</t>
  </si>
  <si>
    <t>Final(09/05/2014);Draft(02/08/2013)</t>
  </si>
  <si>
    <t>programmatic - chequamegon - nicolet national forests and revised land and resource management plan implementation several counties wi</t>
  </si>
  <si>
    <t>Draft(04/11/2003)</t>
  </si>
  <si>
    <t>project1077</t>
  </si>
  <si>
    <t>us 281</t>
  </si>
  <si>
    <t>Final(05/22/2015);Draft(04/26/2013)</t>
  </si>
  <si>
    <t>us 281 from loop 1604 to borgfeld</t>
  </si>
  <si>
    <t>nd-57 improvements us 281 to nd-20 funding right-of-way npdes and coe section 404 permit city of bismarck nd</t>
  </si>
  <si>
    <t>south locust street (also known as old highway 281) transportation improvements i-80 to the grand island and north of us 34 funding and coe section 404 permit hall county nb</t>
  </si>
  <si>
    <t>Final(03/21/1997);Draft(08/20/1993)</t>
  </si>
  <si>
    <t>south locust street (also known as old highway 281) transportation improvements additional information i-80 to the grand island and north of us 34 funding and coe section 404 permit hall county nb</t>
  </si>
  <si>
    <t>Draft Supplement(09/08/1995)</t>
  </si>
  <si>
    <t>project507</t>
  </si>
  <si>
    <t>jepson parkway project proposes to upgrade and link a series of existing two and four-lane roadways right-of-way endangered species act section 7 and us army coe section 404 permits solano county ca</t>
  </si>
  <si>
    <t>Draft(06/06/2008);Final(05/20/2011)</t>
  </si>
  <si>
    <t>butte 70/149/99/191 highway improvement project upgrade state route 149 to a four-lane expressway from 70 north of oroville to route 99 south of chico right-of-way acquisition funding endangered species act section 7 and coe section 404 permit butte county ca</t>
  </si>
  <si>
    <t>Draft(06/14/2002);Final(02/21/2003)</t>
  </si>
  <si>
    <t>ca-70 two -lane expressway upgrade to a four-lane expressway/freeway south of striplin road to south of mcgowan road overcrossing funding and us army coe section 404 permit issuance sutter and yuba counties ca</t>
  </si>
  <si>
    <t>Draft(11/05/1999)</t>
  </si>
  <si>
    <t>ca-70 two--lane expressway upgrade to a four-lane expressway/freeway south of striplin road to south of mcgowan road overcrossing funding and us army coe section 404 permit issuance sutter and yuba counties ca</t>
  </si>
  <si>
    <t>southern corridor transportation facility construction extending from i-15 at reference post 2 in st. george to ut-9 near hurricane endangered species act review section 7 right-of-way approval and us army corps section 404 permits cities of washington st. george and hurricane washington county ut</t>
  </si>
  <si>
    <t>project362</t>
  </si>
  <si>
    <t xml:space="preserve">generic - license renewal of nuclear plants supplement 50 regarding grand gulf nuclear station, unit 1 </t>
  </si>
  <si>
    <t>Final(12/10/2014);Draft(12/20/2013)</t>
  </si>
  <si>
    <t>generic - license renewal of nuclear plants supplement 51 regarding callaway plant unit 1</t>
  </si>
  <si>
    <t>project297</t>
  </si>
  <si>
    <t>f-15 aircraft conversion for the 144th fighter wing, california air national guard fresno-yosemite international airport</t>
  </si>
  <si>
    <t>Draft(05/11/2012);Final(03/01/2013)</t>
  </si>
  <si>
    <t>f-15 aircraft conversion 144th fighter wing california air national guard fresno-yosemite international airport</t>
  </si>
  <si>
    <t>f-15 aircraft conversion 144th fighter wing california national guard to convert the unit from the f-16 fighting falcon aircraft and operations to the f-15 eagle aircraft and operations at fresno-yosemite international airport fresno county ca</t>
  </si>
  <si>
    <t>158th fighter wing vermont air national guard project proposed realignment of national guard avenue and main gate construction burlington international airport in south burlington vt</t>
  </si>
  <si>
    <t>Draft(10/30/2009);Final(08/13/2010)</t>
  </si>
  <si>
    <t>DOD NGB</t>
  </si>
  <si>
    <t>final recommendations and associated actions for the 104th fighter wing massachusetts air national guard base realignment and closure implementation westfield-barnes airport westfield ma</t>
  </si>
  <si>
    <t>Final(11/02/2007);Draft(04/13/2007)</t>
  </si>
  <si>
    <t>project144</t>
  </si>
  <si>
    <t>jackson vegetation management project implementation pauline ranger district ochoco national forest crook county or</t>
  </si>
  <si>
    <t>project389</t>
  </si>
  <si>
    <t>bangor hydro-electric second 345-kv transmission tie line interconnection to new brunswick construction and operation presidential permit coe section 10 and 404 permits me</t>
  </si>
  <si>
    <t>Draft(12/23/1993);Final(08/18/1995)</t>
  </si>
  <si>
    <t>arizona interconnection project el paso 345 kv transmission line construction right-of-way grants and permits approval plan amendment az and nm</t>
  </si>
  <si>
    <t>Final(03/27/1987)</t>
  </si>
  <si>
    <t>project611</t>
  </si>
  <si>
    <t>mendota pool bypass and reach 2b improvements project</t>
  </si>
  <si>
    <t>Final(07/15/2016);Draft(06/19/2015)</t>
  </si>
  <si>
    <t>mendota pool bypass and reach 2b channel improvements project eis/eir</t>
  </si>
  <si>
    <t>mendota pool group 20-year exchange program</t>
  </si>
  <si>
    <t>river islands at lathrop phase 2b</t>
  </si>
  <si>
    <t>mendota pool 10--year exchange agreements provide water to irrigable lands central valley project improvement act (cvpa) fresno and madera counties ca</t>
  </si>
  <si>
    <t>mendota pool 10 year excharge agreements water provision to irrigable lands central valley project improvement act (cvpia) fresno and madera counties ca</t>
  </si>
  <si>
    <t>project707</t>
  </si>
  <si>
    <t>Draft(05/25/2012);Final(11/20/2015)</t>
  </si>
  <si>
    <t>north fork eagle creek wells special use authorization project operation of four municipal supply water wells lincoln national forest lincoln county nm</t>
  </si>
  <si>
    <t>eagle prospect exploratory wells project proposes to drill up to 3 exploratory oil and gas wells big piney ranger district bridger-teton national forest sublette county wy</t>
  </si>
  <si>
    <t>Draft(03/16/2007)</t>
  </si>
  <si>
    <t>project528</t>
  </si>
  <si>
    <t>kings river experimental watershed forest health and research project implementation sierra national forest high sierra ranger district fresno county ca</t>
  </si>
  <si>
    <t>Final(04/15/2011);Draft(12/23/2010)</t>
  </si>
  <si>
    <t>kings river project proposal to restore historical pre-1850 forest conditions implementation high sierra ranger district sierra national forest fresno county ca</t>
  </si>
  <si>
    <t>Draft(01/27/2006);Final(10/20/2006)</t>
  </si>
  <si>
    <t>kings river project new information regarding pacific fisher (martes pennanti) proposal to restore historical pre-1850 forest conditions implementation high sierra ranger district sierra national forest fresno county ca</t>
  </si>
  <si>
    <t>Draft Supplement(09/19/2008)</t>
  </si>
  <si>
    <t>liberty forest health improvement project implementation tahoe national forests sierraville ranger district sierra and nevada counties ca</t>
  </si>
  <si>
    <t>Draft(10/17/1997);Final(03/20/1998)</t>
  </si>
  <si>
    <t>project125</t>
  </si>
  <si>
    <t>buffalo resource management plan</t>
  </si>
  <si>
    <t>Final(05/29/2015);Draft(06/28/2013)</t>
  </si>
  <si>
    <t>project961</t>
  </si>
  <si>
    <t>southeastern lincoln county habitat conservation plan application package for three incidental take permits authorize the take of desert tortoise (gopherus agassizii) and southwestern williow flycatcher (empidonax traillii extimus) implementation lincoln county nv</t>
  </si>
  <si>
    <t>Draft(12/05/2008);Final(03/19/2010)</t>
  </si>
  <si>
    <t>washington county habitat conservation plan issuance of a permit for incidental take of mojave desert tortoise (gopherus agassizii) upper virgin river recovery unit washington county ut</t>
  </si>
  <si>
    <t>Final(12/29/1995);Draft(07/14/1995)</t>
  </si>
  <si>
    <t>caliente management framework plan amendment implementation management of desert tortoise habitat (gopherus agassizii) northeastern mojave recovery unit lincoln county nv</t>
  </si>
  <si>
    <t>Final(06/25/1999);Draft(05/29/1998)</t>
  </si>
  <si>
    <t>desert tortoises (gopherus agassizii) habitat issuance of permit to allow incidental take federal land and non-federal land clark county nv published 6-09-95 - telephone number correction.</t>
  </si>
  <si>
    <t>Draft(02/10/1995);Final(06/09/1995)</t>
  </si>
  <si>
    <t>project493</t>
  </si>
  <si>
    <t>invasive plant management for the medicine bow - routt national forests and thunder basin national grasslands</t>
  </si>
  <si>
    <t>Final(06/12/2015);Draft(03/21/2014)</t>
  </si>
  <si>
    <t>medicine bow - routt national forests and thunder basin national grassland invasive plant management</t>
  </si>
  <si>
    <t>mackey road relocation medicine bow-routt national forests and thunder basin national grassland</t>
  </si>
  <si>
    <t>thunder basin national grasslands oil and gas exploration and development land availability and authorization for leasing and lease offerings medicine bow national forests campbell crook weston converse and niobrara counties wy the us department of</t>
  </si>
  <si>
    <t>D2(06/19/1992)</t>
  </si>
  <si>
    <t>clinker mining addition project medicin bow-routt national forests and thunder basin national grassland</t>
  </si>
  <si>
    <t>project230</t>
  </si>
  <si>
    <t>d-bug hazard reduction timber sales project to lessen the fuel and safety hazards associated with the on-going outbreak of mountain pine beetles diamond lake ranger district umpqua national forest douglas county or</t>
  </si>
  <si>
    <t>Final(10/08/2010);Draft(03/13/2009)</t>
  </si>
  <si>
    <t>paw timber sale timber harvest and road construction implementation umpqua national forest diamond lake ranger district douglas county or</t>
  </si>
  <si>
    <t>Draft(04/16/1993);Final(07/26/1996)</t>
  </si>
  <si>
    <t>diamond lake restoration project improve water quality and the recreational fishery umpqua national forest diamond lake ranger district umpqua river basin douglas county or</t>
  </si>
  <si>
    <t>Final(12/17/2004)</t>
  </si>
  <si>
    <t>diamond lake restoration project water quality and recreational fishery improvments umpqua national forest diamond lake ranger district umpqua river basin douglas county or</t>
  </si>
  <si>
    <t>Draft(04/02/2004)</t>
  </si>
  <si>
    <t>lemolo watershed projects updated and new information concerning recommendations steamed from the diamond lake/lemolo lake watershed analysis (wa) implementation umpqua national forest diamond lake ranger district douglas county or</t>
  </si>
  <si>
    <t>Draft Supplement(10/17/2003)</t>
  </si>
  <si>
    <t>project722</t>
  </si>
  <si>
    <t>ochoa mine project</t>
  </si>
  <si>
    <t>Final(02/28/2014);Draft(08/09/2013)</t>
  </si>
  <si>
    <t>project101</t>
  </si>
  <si>
    <t>Final(05/30/2014);Draft(08/21/2009)</t>
  </si>
  <si>
    <t>biscayne national park fishery management plan improvement of the status of fisheries resources implementation miami-dade county fl</t>
  </si>
  <si>
    <t>project117</t>
  </si>
  <si>
    <t>breckenridge multi-season recreation projects</t>
  </si>
  <si>
    <t>Final(08/14/2015);Draft(01/16/2015)</t>
  </si>
  <si>
    <t>breckenridge summer uses eis</t>
  </si>
  <si>
    <t>multi-project for hydropower licenses susquehanna river hydroelectric projects</t>
  </si>
  <si>
    <t>breckenridge ski resort peak 6 project implementation white river national forest summit county co</t>
  </si>
  <si>
    <t>pima county multi-species conservation plan pima county az</t>
  </si>
  <si>
    <t>project544</t>
  </si>
  <si>
    <t>lake tahoe basin management unit south shore fuel reduction and healthy forest restoration to manage fuel reduction and forest health in the wildland urban intermit (wui) el dorado county ca</t>
  </si>
  <si>
    <t>Draft(04/10/2009);Final(12/09/2011)</t>
  </si>
  <si>
    <t>lake tahoe basin management unit national forest land and resource management plan implementation el dorado placer and alpine counties ca and washoe and douglas counties nv</t>
  </si>
  <si>
    <t>Final(11/25/1988)</t>
  </si>
  <si>
    <t>north shore ecosystem management project implementation lake tahoe basin management unit washoe and placer counties ca and nv</t>
  </si>
  <si>
    <t>Draft(10/27/1995);Final(07/26/1996)</t>
  </si>
  <si>
    <t>lake tahoe basin management unit land and resource managment plan updated forest plan implementation alpine el dorado placer counties ca and douglas and washoe counties nv</t>
  </si>
  <si>
    <t>Revised Draft(06/01/2012)</t>
  </si>
  <si>
    <t>tallac historic site master plan implementation lake tahoe management unit special use permit el dorado county ca</t>
  </si>
  <si>
    <t>Draft(05/21/1993);Final(07/29/1994)</t>
  </si>
  <si>
    <t>project972</t>
  </si>
  <si>
    <t>spruce beetle epidemic and aspen decline management response</t>
  </si>
  <si>
    <t>Final(06/03/2016);Draft(05/29/2015)</t>
  </si>
  <si>
    <t>mountain pine beetle response project implementing multiple resource management activities black hills national forest custer fall river lawrence meade and pennington counties sd and crook and weston counties wy</t>
  </si>
  <si>
    <t>Draft(05/11/2012);Final(09/21/2012)</t>
  </si>
  <si>
    <t>southern region southern pine beetle</t>
  </si>
  <si>
    <t>Final(03/06/1987)</t>
  </si>
  <si>
    <t>monroe mountain aspen ecosystems restoration project</t>
  </si>
  <si>
    <t>project744</t>
  </si>
  <si>
    <t>high uintas wilderness colorado river cutthroat trout (crct) habitat enhancement</t>
  </si>
  <si>
    <t>king fire restoration</t>
  </si>
  <si>
    <t>Draft(05/22/2015)</t>
  </si>
  <si>
    <t>project882</t>
  </si>
  <si>
    <t>roosevelt-vanderbilt national historic sites general management plan implementation hyde park ny</t>
  </si>
  <si>
    <t>Draft(12/24/2009);Final(08/06/2010)</t>
  </si>
  <si>
    <t>manhattan sites general management plans implementation castle clinton national monument federal hall national memorial general grant national memorial saint paul's church national historic site and theodore roosevelt birthplace national historic site</t>
  </si>
  <si>
    <t>Draft(05/17/1996)</t>
  </si>
  <si>
    <t>project753</t>
  </si>
  <si>
    <t>petition (15-300-01p) for determination of nonregulated status for asr368 creeping bentgrass</t>
  </si>
  <si>
    <t>Final(12/09/2016);Draft(09/30/2016)</t>
  </si>
  <si>
    <t>NAT</t>
  </si>
  <si>
    <t>APHIS</t>
  </si>
  <si>
    <t>monsanto petitions (10-188-01p and 12-185-01p) for determinations of nonregulated status for dicamba-resistant soybean and cotton varieties</t>
  </si>
  <si>
    <t>determinations of nonregulated status for 2 4-d-resistant corn and soybean varieties</t>
  </si>
  <si>
    <t>Final(08/08/2014);Draft(01/10/2014)</t>
  </si>
  <si>
    <t>glyphosate -tolerant h7-1 sugar beet request for nonregulated status united states</t>
  </si>
  <si>
    <t>Final(06/08/2012)</t>
  </si>
  <si>
    <t>glyphosate -tolerant h7-1 sugar beets request for nonregulated status united states</t>
  </si>
  <si>
    <t>project586</t>
  </si>
  <si>
    <t>lower yaak, obrien, sheep project</t>
  </si>
  <si>
    <t>Draft(12/31/2015);Final(07/28/2016)</t>
  </si>
  <si>
    <t>lower yaak, o'brien, sheep project</t>
  </si>
  <si>
    <t>Draft(12/31/2015)</t>
  </si>
  <si>
    <t>south fork yaak salvage project implementation kootenai national forest three rivers ranger district lincoln county mt</t>
  </si>
  <si>
    <t>Draft(07/07/1995)</t>
  </si>
  <si>
    <t>upper yaak river drainage area timber harvest and road construction/reconstruction kootenai national forest lincoln county mt</t>
  </si>
  <si>
    <t>Draft(05/26/1989);Final(05/18/1990)</t>
  </si>
  <si>
    <t>project761</t>
  </si>
  <si>
    <t>Draft(02/08/2013);Final(05/17/2013)</t>
  </si>
  <si>
    <t>pilgrim creek timber sale project kootenai national forest cabinet ranger district sanders county mt</t>
  </si>
  <si>
    <t>pilgrim creek timber sale kootenai national forest cabinet ranger district sanders county mt</t>
  </si>
  <si>
    <t>pilgrim vegetation management project proposed restoration of forest health and ecosystem implementation shasta-trinity national forest siskiyou county ca</t>
  </si>
  <si>
    <t>Final(07/06/2007)</t>
  </si>
  <si>
    <t>berray mountain timber sale harvesting timber kootenai national forest cabinet ranger district sanders county mt</t>
  </si>
  <si>
    <t>Draft(11/26/1993);Final(07/26/1996)</t>
  </si>
  <si>
    <t>project1023</t>
  </si>
  <si>
    <t>thompson creek modified plan of operations for mine expansion</t>
  </si>
  <si>
    <t>Draft(03/21/2014);Final(06/10/2016)</t>
  </si>
  <si>
    <t>proposed modification to the thompson creek mine plan of operations section 404 clean water act permit application public land disposal and draft resource management plan amendment</t>
  </si>
  <si>
    <t>thompson creek mine (tcm) updated information prevent and/or control potential acid-rock drainage plan of operations custer county id</t>
  </si>
  <si>
    <t>project792</t>
  </si>
  <si>
    <t>programmatic - ash impoundment closure</t>
  </si>
  <si>
    <t>Draft(01/08/2016);Final(06/10/2016)</t>
  </si>
  <si>
    <t>kennecott tailings modernization project tailings impoundment expansion coe section 404 permit issuance salt lake county ut</t>
  </si>
  <si>
    <t>Final(12/29/1995);Draft(04/28/1995)</t>
  </si>
  <si>
    <t>ash and iron mountain grazing permit reissuance allotment gallatin national forest park county mt</t>
  </si>
  <si>
    <t>Draft(10/23/1998);Final(04/30/1999)</t>
  </si>
  <si>
    <t>stillwater mine revised waste management plan and hertzler tailings impoundment construction and operation plan-of-operation and coe section 404 permit custer national forest stillwater county mt</t>
  </si>
  <si>
    <t>Draft(03/20/1998);Final(10/09/1998)</t>
  </si>
  <si>
    <t>owen lake soda ash mining processing project construction and operation coe section 404 npdes right-of-way and conditional-use permits inyo county ca</t>
  </si>
  <si>
    <t>Draft(06/17/1994)</t>
  </si>
  <si>
    <t>project85</t>
  </si>
  <si>
    <t>berryessa creek element coyote and berryessa creek california flood control project</t>
  </si>
  <si>
    <t>Final(01/03/2014);Draft(03/22/2013)</t>
  </si>
  <si>
    <t>Final(01/03/2014)</t>
  </si>
  <si>
    <t>coyote and berryessa creeks flood control plan implementation cities of san jose and milpitas santa clara county ca</t>
  </si>
  <si>
    <t>Final(07/08/1988);Draft(05/22/1987)</t>
  </si>
  <si>
    <t>coyote creek flood control project facilities construction sect. 10 and 404 permits ca.</t>
  </si>
  <si>
    <t>Final(02/20/1987)</t>
  </si>
  <si>
    <t>lake berryessa reservoir area management plan land and water management implementation napa county ca</t>
  </si>
  <si>
    <t>Final(06/26/1992);Draft(01/05/1990)</t>
  </si>
  <si>
    <t>dry creek (roseville) northern california streams study flood control plan implementation sacramento county ca</t>
  </si>
  <si>
    <t>Draft(11/04/1988)</t>
  </si>
  <si>
    <t>project946</t>
  </si>
  <si>
    <t>south coast conduit/upper reach reliability project construction of a second water pipeline for improving water supply us army coe section 10 and 404 permits santa barbara county ca</t>
  </si>
  <si>
    <t>Final(12/17/2010);Draft(10/03/2008)</t>
  </si>
  <si>
    <t>los vaqueros water quality and reliability project implementation section 10 and 404 permits and possible npdes permit contra costa water district contra costa county ca</t>
  </si>
  <si>
    <t>Draft(03/13/1992);Final(11/26/1993)</t>
  </si>
  <si>
    <t>shell hercules project oil and gas resources development section 10 and 404 permits santa barbara channel santa barbara county ca</t>
  </si>
  <si>
    <t>Draft(08/12/1988)</t>
  </si>
  <si>
    <t>lower mission creek flood control project proposed plan for flood control city and county of santa barbara ca</t>
  </si>
  <si>
    <t>Draft(12/23/1999)</t>
  </si>
  <si>
    <t>project819</t>
  </si>
  <si>
    <t>programmatic - non-contiguous region of the nationwide public safety broadband network</t>
  </si>
  <si>
    <t>Draft(03/04/2016);Final(06/30/2017)</t>
  </si>
  <si>
    <t>project1144</t>
  </si>
  <si>
    <t>william states lee iii nuclear station units 1 and 2 combined licenses (cols) application</t>
  </si>
  <si>
    <t>Final(12/27/2013);Draft(12/23/2011)</t>
  </si>
  <si>
    <t>william states lee iii nuclear station units 1 and 2 combined licenses (cols) application constructing and operating two new nuclear units at the lee nuclear station site nureg-2111 cherokee county sc</t>
  </si>
  <si>
    <t>Draft(12/23/2011)</t>
  </si>
  <si>
    <t>project768</t>
  </si>
  <si>
    <t>Final(11/05/2010);Draft(12/29/2008)</t>
  </si>
  <si>
    <t>plumas national forest public motorized travel management implementation plumas national forest plumas lassen yuba butte ad sierra counties ca</t>
  </si>
  <si>
    <t>lassen national forest motorized travel management plan implementation butte lassen modoc plumas shasta siskiyou tehama counties ca</t>
  </si>
  <si>
    <t>Final(12/18/2009);Draft(06/05/2009)</t>
  </si>
  <si>
    <t>project1150</t>
  </si>
  <si>
    <t>sunrise vegetation and fuels management</t>
  </si>
  <si>
    <t>Draft(06/08/2018)</t>
  </si>
  <si>
    <t>mckay fuels and vegetation management project</t>
  </si>
  <si>
    <t>Final(06/14/2013);Draft(03/15/2013)</t>
  </si>
  <si>
    <t>teton to snake fuels management</t>
  </si>
  <si>
    <t>project112</t>
  </si>
  <si>
    <t>boise national forest project proposed amendments to the land and resource management plan wildlife conservation strategy (wcs) phase 1: forested biological community located within portions of ada boise elmore gem and valley counties id</t>
  </si>
  <si>
    <t>Final(07/09/2010);Draft(12/24/2009)</t>
  </si>
  <si>
    <t>forest plan amendments proposed to facilitate implementation of the 2011 plan-scale wildlife conservation strategy phase 1: forested biological community payette national forest adam idaho valley and washington counties id</t>
  </si>
  <si>
    <t>Draft(01/21/2011)</t>
  </si>
  <si>
    <t>boise national forest land and resource management plan implementation ada boise gem elmore valley and washington id published fr 5-5-90 - due date correction.</t>
  </si>
  <si>
    <t>Final(04/27/1990);Draft(05/06/1988)</t>
  </si>
  <si>
    <t>snake river birds of prey national conservation area resource management plan implementation ada canyon elmore owyhee counties id</t>
  </si>
  <si>
    <t>Final(02/29/2008);Draft(06/02/2006)</t>
  </si>
  <si>
    <t>elk creek integrated resource management project implementation boise national forest mountain home ranger district elmore county id</t>
  </si>
  <si>
    <t>Draft(03/18/1994)</t>
  </si>
  <si>
    <t>project480</t>
  </si>
  <si>
    <t>international falls land port of entry improvements study proposes to replace the existing land port of entry minnesota along the us and canada border</t>
  </si>
  <si>
    <t>Final(10/07/2011);Draft(01/22/2010)</t>
  </si>
  <si>
    <t>Draft(01/22/2010);Final(10/07/2011)</t>
  </si>
  <si>
    <t>pacific highway port of entry (poe) facility expansion construction of wa-543 in blaine near the united states/canada border in blaine whatcom county wa</t>
  </si>
  <si>
    <t>Draft(03/31/1995);Final(01/19/1996);Draft Supplement(06/07/1996)</t>
  </si>
  <si>
    <t>madawaska border station project replacement of existing border station in madawaska international border between united states and canada aroostook county me</t>
  </si>
  <si>
    <t>project1100</t>
  </si>
  <si>
    <t>Final(10/21/2016);Draft(01/04/2013)</t>
  </si>
  <si>
    <t>project329</t>
  </si>
  <si>
    <t>Draft(05/11/2012);Final(07/26/2013)</t>
  </si>
  <si>
    <t>fort pulaski national monument general management plan and willderness study implementation chatham county ga</t>
  </si>
  <si>
    <t>project888</t>
  </si>
  <si>
    <t>Final(01/20/2010);Draft(06/26/2009)</t>
  </si>
  <si>
    <t>adoption - ruby pipeline project proposed natural gas pipeline facilities</t>
  </si>
  <si>
    <t>ragged ruby</t>
  </si>
  <si>
    <t>ruby hill gold mining operations project implementation battle mountain district plan of operations and coe section 404 permit eureka county nv</t>
  </si>
  <si>
    <t>Draft(08/16/1996);Final(01/03/1997)</t>
  </si>
  <si>
    <t>project1137</t>
  </si>
  <si>
    <t xml:space="preserve">whistling ridge energy project </t>
  </si>
  <si>
    <t>Draft(05/28/2010);Final(09/02/2011)</t>
  </si>
  <si>
    <t>whistling ridge energy project construction and operation of a 75-megawatt (mw) wind turbine facility city of white salmon skamania county wa</t>
  </si>
  <si>
    <t>proposed issuance of an incidental take permit for the beech ridge energy wind project habitat conservation plan</t>
  </si>
  <si>
    <t>whisky ridge ecological restoration project</t>
  </si>
  <si>
    <t>Draft(02/22/2013);Final(05/31/2013)</t>
  </si>
  <si>
    <t>project30</t>
  </si>
  <si>
    <t>amendment 18a to the fishery management plan for the snapper-grouper fishery of the south atlantic region to limit participation and effort in the black sea bass pot fishery south atlantic region nc sc fl and ga</t>
  </si>
  <si>
    <t>Draft(12/09/2011);Final(02/17/2012)</t>
  </si>
  <si>
    <t>snapper grouper fishery amendment 15a proposes management reference points and rebuilding plans for snowy grouper black sea bass and red porgy south atlantic region</t>
  </si>
  <si>
    <t>Final(01/25/2008);Draft(10/19/2007)</t>
  </si>
  <si>
    <t>NC nan</t>
  </si>
  <si>
    <t>project440</t>
  </si>
  <si>
    <t>henrys fork salinity control project plan and irrigation improvements</t>
  </si>
  <si>
    <t>Final(04/26/2013);Draft(01/18/2013)</t>
  </si>
  <si>
    <t>henrys fork salinity control project plan irrigation improvements sweetwater and uinta counties wy and daggett and summit counties wy</t>
  </si>
  <si>
    <t>big sandy river unit onfarm irrigation improvements colorado river salinity control program wy</t>
  </si>
  <si>
    <t>Draft(03/13/1987)</t>
  </si>
  <si>
    <t>mcelmo creek unit salinity control study onfarm irrigation improvements funding and implementation montezuma county co</t>
  </si>
  <si>
    <t>uintah basin unit expansion plan irrigation improvement colorado river salinity control program funding uintah and duchesne ut</t>
  </si>
  <si>
    <t>Second Draft(05/03/1991);Second Final(12/27/1991)</t>
  </si>
  <si>
    <t>project499</t>
  </si>
  <si>
    <t>issuing annual quotas to the alaska eskimo whaling commission (aewc) for a subsistence hunt on bowhead whales for the years 2013 through 2017/2018</t>
  </si>
  <si>
    <t>Draft(06/15/2012);Final(01/18/2013)</t>
  </si>
  <si>
    <t>final environmental impact statement for issuing annual catch limits to the alaska eskimo whaling commission for a subsistence hunt on bowhead whales for the years 2019 and beyond</t>
  </si>
  <si>
    <t>alaska eskimo whaling commission for a subsistence hunt on bowhead whale for the years 2008 through 2012 for issuing annual quotas proposes to authorize subsistence harvests of the western arctic stock of bowhead whales bering chukchi and beaufort seas ak</t>
  </si>
  <si>
    <t>Draft(08/03/2007);Final(01/25/2008)</t>
  </si>
  <si>
    <t>federal subsistence management program for federal public lands in alaska implementation ak</t>
  </si>
  <si>
    <t>Draft(10/18/1991);Final(02/28/1992)</t>
  </si>
  <si>
    <t>management of the subsistence harvest of northern fur seals on st. paul island, alaska</t>
  </si>
  <si>
    <t>project412</t>
  </si>
  <si>
    <t>Final(07/06/2012);Draft(12/30/2011)</t>
  </si>
  <si>
    <t>project870</t>
  </si>
  <si>
    <t>Draft(12/11/2009);Final(08/31/2012)</t>
  </si>
  <si>
    <t>southeast high speed rail, richmond, va, to raleigh, nc</t>
  </si>
  <si>
    <t>hampton roads crossing study</t>
  </si>
  <si>
    <t>Draft Supplement(08/05/2016);Final Supplement(05/05/2017)</t>
  </si>
  <si>
    <t>southeast high speed rail corridor transportation study to examine incremental development of a high speed passenger service along existing railroad rights-of-way from washington dc through richmond va and raleigh nc to charlotte nc; dc va and nc</t>
  </si>
  <si>
    <t>Final(07/26/2002);Draft(10/19/2001)</t>
  </si>
  <si>
    <t>project486</t>
  </si>
  <si>
    <t>Draft(07/09/2010);Final(11/15/2013)</t>
  </si>
  <si>
    <t>interstate 5 north coast corridor project construction of improvements from la jolla village drive in san diego to harbor drive in oceanside/camp pendleton new information san diego county ca</t>
  </si>
  <si>
    <t>Draft Supplement(08/31/2012)</t>
  </si>
  <si>
    <t>project921</t>
  </si>
  <si>
    <t>shawnee fossil plant coal combustion residual management</t>
  </si>
  <si>
    <t>Final(12/08/2017);Draft(06/16/2017)</t>
  </si>
  <si>
    <t>Final Supplement(08/31/2018);Draft Supplement(05/04/2018)</t>
  </si>
  <si>
    <t>cumberland fossil plant coal combustion residual management operations</t>
  </si>
  <si>
    <t>cumberland fossil plant coal combustion residuals management operations</t>
  </si>
  <si>
    <t>Final(04/20/2018)</t>
  </si>
  <si>
    <t>bull run fossil plant landfill</t>
  </si>
  <si>
    <t>Final(01/23/2017);Draft(05/27/2016)</t>
  </si>
  <si>
    <t>project390</t>
  </si>
  <si>
    <t>gray's reef national marine sanctuary (grnms) research areas designation establish a research area implementation nc</t>
  </si>
  <si>
    <t>Draft(09/14/2010);Final(08/26/2011)</t>
  </si>
  <si>
    <t>Draft(09/10/2010);Final(08/26/2011)</t>
  </si>
  <si>
    <t>stellwagen bank national marine sanctuary implementation designation and management plan boston ma</t>
  </si>
  <si>
    <t>Final(09/03/1993);Draft(02/08/1991)</t>
  </si>
  <si>
    <t>olympic coast national marine sanctuary management plan site designation npdes permit and coe permit olympic peninsula wa</t>
  </si>
  <si>
    <t>Final(12/23/1993);Draft(09/20/1991)</t>
  </si>
  <si>
    <t>gray's reef national marine sanctuary draft management plan (dmp) address current resource conditions and compatible multiple uses located 17.5 nautical mile off sapelo island ga</t>
  </si>
  <si>
    <t>Draft(11/07/2003)</t>
  </si>
  <si>
    <t>gray's reef national marine sanctuary final management plan (dmp) address current resource conditions and compatible multiple uses located 17.5 nautical mile off sapelo island ga</t>
  </si>
  <si>
    <t>Final(07/28/2006)</t>
  </si>
  <si>
    <t>project1031</t>
  </si>
  <si>
    <t>toledo bend hydroelectric relicensing project no. 2305-036</t>
  </si>
  <si>
    <t>Draft(06/21/2013);Final(12/27/2013)</t>
  </si>
  <si>
    <t>toledo bend hydroelectric project no. 2305-036</t>
  </si>
  <si>
    <t>niagara project hydroelectric relicensing application ferc no. 2216 niagara river niagara county ny</t>
  </si>
  <si>
    <t>Final(01/05/2007);Draft(07/21/2006)</t>
  </si>
  <si>
    <t>snoqualmie falls hydroelectric project (ferc. project no.2493) relicensing snoqualmie river king county wa</t>
  </si>
  <si>
    <t>Final(10/04/1996);Draft(11/25/1994)</t>
  </si>
  <si>
    <t>project421</t>
  </si>
  <si>
    <t>habitat conservation plan and incidental take permit for the indiana bat (myotis sodalis) for the buckeye wind power project</t>
  </si>
  <si>
    <t>Final(04/19/2013);Draft(06/29/2012)</t>
  </si>
  <si>
    <t>proposed habitat conservation plan and incidental take permit for the indiana bat (myotis sodalis) for the buckeye wind power project</t>
  </si>
  <si>
    <t>proposed habitat conservation plan and incidental take permit for the indiana bat (myotis sodalis) for the buckeye wind power project application champaign county oh</t>
  </si>
  <si>
    <t>draft environmental impact statement for proposed habitat conservation plan and incidental take permit</t>
  </si>
  <si>
    <t>project932</t>
  </si>
  <si>
    <t>Draft(04/16/2010);Final(09/10/2010)</t>
  </si>
  <si>
    <t>project21</t>
  </si>
  <si>
    <t>Draft(03/12/2010);Final(08/10/2012)</t>
  </si>
  <si>
    <t>nebraska national forests and grassland travel management project proposes to designate routes and areas open to motorized travel buffalo gap national grassland oglala national grassland samuel r. mckelvie national forest and the pine ridge and bessey units of the nebraska national forest fall river custer pennington jackson counties; sd and sioux dawes cherry thomas and blaine counties ne</t>
  </si>
  <si>
    <t>Final(04/26/2010);Draft(09/25/2009)</t>
  </si>
  <si>
    <t>project746</t>
  </si>
  <si>
    <t>los angeles international airport proposed master plan improvements funding los angeles county ca</t>
  </si>
  <si>
    <t>Draft(02/02/2001)</t>
  </si>
  <si>
    <t>phoenix sky harbor international airport (phx) construction and operation of a terminal airfield and surface transportation city of phoenix maricopa county az</t>
  </si>
  <si>
    <t>Final(02/10/2006);Draft(06/10/2005)</t>
  </si>
  <si>
    <t>project1047</t>
  </si>
  <si>
    <t>truckee meadows flood control project</t>
  </si>
  <si>
    <t>Final(01/17/2014);Draft(05/24/2013)</t>
  </si>
  <si>
    <t>ca-267 bypass construction between i-80 and truckee area bypass funding and section 404 permit nevada county ca</t>
  </si>
  <si>
    <t>Draft(10/27/1989);Final(05/22/1992)</t>
  </si>
  <si>
    <t>napa river flood control project updated information flood improvement city of napa napa county ca</t>
  </si>
  <si>
    <t>Draft Supplement(03/31/1995)</t>
  </si>
  <si>
    <t>mt. hood meadows parking improvements eis</t>
  </si>
  <si>
    <t>project1013</t>
  </si>
  <si>
    <t>Draft(07/29/2015);Final(02/24/2017)</t>
  </si>
  <si>
    <t>lower snake river programmatic sediment management plan</t>
  </si>
  <si>
    <t>fire fuels and related vegetation management direction plan amendment upper snake river district (the district) amending 12 existing land use plans several counties id</t>
  </si>
  <si>
    <t>Final(02/29/2008);Draft(11/12/2004)</t>
  </si>
  <si>
    <t>project786</t>
  </si>
  <si>
    <t>previously issued oil and gas leases in the white river national forest</t>
  </si>
  <si>
    <t>Final(08/05/2016);Draft(11/20/2015)</t>
  </si>
  <si>
    <t>white river national forest land and resources management plan oil and gas leasing development implementation several counties co</t>
  </si>
  <si>
    <t>Final(12/23/1993);Draft(11/13/1992)</t>
  </si>
  <si>
    <t>oil and gas leasing in portions of the wyoming range in the bridger-teton national forest</t>
  </si>
  <si>
    <t>Second Draft Supplemental(04/08/2016)</t>
  </si>
  <si>
    <t>project860</t>
  </si>
  <si>
    <t>restoration design energy project proposed resource management plan amendments identifying lands across arizona suitable for renewable energy development az</t>
  </si>
  <si>
    <t>Draft(02/17/2012);Final(11/02/2012)</t>
  </si>
  <si>
    <t>restoration design energy project identifying lands across arizona suitable for renewable energy development az</t>
  </si>
  <si>
    <t>arizona statewide wild and scenic rivers suitable or nonsuitable designation national wild and scenic rivers system several counties az</t>
  </si>
  <si>
    <t>LD(04/08/1994);LF(12/30/1994)</t>
  </si>
  <si>
    <t>wayne national forest amendment land and resource management plan determination of lands suitable for oil and gas leasing and coe section 404 permit several counties oh</t>
  </si>
  <si>
    <t>Final(08/14/1992);Draft(12/13/1991)</t>
  </si>
  <si>
    <t>project147</t>
  </si>
  <si>
    <t>carcass management during a mass animal health emergency</t>
  </si>
  <si>
    <t>Final(12/18/2015);Draft(08/21/2015)</t>
  </si>
  <si>
    <t>carcass management during a mass animal health emergency, draft programmatic eis</t>
  </si>
  <si>
    <t>national institutes of health animal center draft master plan montgomery county md</t>
  </si>
  <si>
    <t>national institutes of health animal center 1995 master plan implementation poolesville montgomery county md</t>
  </si>
  <si>
    <t>Draft(07/26/1996)</t>
  </si>
  <si>
    <t>project13</t>
  </si>
  <si>
    <t xml:space="preserve">albany-eugene 115 kilovolt no. 1 transmission line rebuild project </t>
  </si>
  <si>
    <t>north/south eugene-springfield transmission line comprehensive plan development lane county or</t>
  </si>
  <si>
    <t>Draft(12/15/1989)</t>
  </si>
  <si>
    <t>mcclenllanville 115 kv transmission project</t>
  </si>
  <si>
    <t>libby (fec) to troy section of bpa's libby to bonner ferry 115-kilovolt transmission line project rebuilding transmission line between libby and troy lincoln county mt</t>
  </si>
  <si>
    <t>Final(06/06/2008);Draft(07/20/2007);Final(05/30/2008)</t>
  </si>
  <si>
    <t>project1044</t>
  </si>
  <si>
    <t>sheppard creek post-fire project timber salvage implementation flathead national forest flathead and lincoln counties mt</t>
  </si>
  <si>
    <t>Final(09/26/2008);Draft(05/16/2008)</t>
  </si>
  <si>
    <t>penney ridge fire salvage and resource recovery project implementation shasta-trinity national forest trinity county ca</t>
  </si>
  <si>
    <t>Draft(12/01/1989);Final(05/18/1990)</t>
  </si>
  <si>
    <t>johnson bar fire salvage</t>
  </si>
  <si>
    <t>project715</t>
  </si>
  <si>
    <t>northern arizona withdrawal project 20-year withdrawal of approximately 1 million acres of federal mineral estate coconino and mohave counties az</t>
  </si>
  <si>
    <t>arizona strip district land and resource management plan implementation mohave and coconino counties az</t>
  </si>
  <si>
    <t>Final(03/01/1991);Draft(12/08/1989)</t>
  </si>
  <si>
    <t>grand canyon national park general management plan implementation coconino and mohave counties az</t>
  </si>
  <si>
    <t>Final(07/21/1995);Draft(03/10/1995)</t>
  </si>
  <si>
    <t>kingman resource area resource management plan implementation mohave yavapi and coconino az</t>
  </si>
  <si>
    <t>Final(01/14/1994);Draft(12/07/1990)</t>
  </si>
  <si>
    <t>project666</t>
  </si>
  <si>
    <t>national petroleum reserve-alaska (npr-a) integrated activity plan north slope borough ak</t>
  </si>
  <si>
    <t>Draft(03/30/2012);Final(11/16/2012)</t>
  </si>
  <si>
    <t>national petroleum reserve - alaska (npr-a) integrated activity plan north slope borough ak</t>
  </si>
  <si>
    <t>Final(12/31/2012)</t>
  </si>
  <si>
    <t>northeast national petroleum reserve-alaska (npr-a) integrate activity plan multiple-use management for land within the north slope borough ak</t>
  </si>
  <si>
    <t>Final(08/07/1998);Draft(12/05/1997)</t>
  </si>
  <si>
    <t>national petroleum reserve - alaska (npr-a) integrated activity plan to determine appropriate management blm-administrated lands in the npr-a north slope borough ak</t>
  </si>
  <si>
    <t>northwest national petroleum reserve-alaska (npr-a) integrated plan multiple-use management of 8.8 million acres lands within the north slope borough ak</t>
  </si>
  <si>
    <t>Final(11/28/2003);Draft(01/17/2003)</t>
  </si>
  <si>
    <t>project87</t>
  </si>
  <si>
    <t>Draft(04/21/2017);Final(10/06/2017)</t>
  </si>
  <si>
    <t>project78</t>
  </si>
  <si>
    <t>bear river narrows hydroelectric project p-12486 final eis</t>
  </si>
  <si>
    <t>Draft(10/09/2015);Final(05/06/2016)</t>
  </si>
  <si>
    <t>bear river narrows hydroelectric project-ferc project 12486-008</t>
  </si>
  <si>
    <t>Draft(10/09/2015)</t>
  </si>
  <si>
    <t>drum-spaulding hydroelectric project and yuba-bear hydroelectric project for hydropower license</t>
  </si>
  <si>
    <t>project662</t>
  </si>
  <si>
    <t>nabesna off-road vehicle management plan implementation wrangell-st. elias national park and preserve ak</t>
  </si>
  <si>
    <t>Draft(08/13/2010);Final(08/26/2011)</t>
  </si>
  <si>
    <t>wrangell-st. elias national park and preserve wilderness recommendations designation or nondesignation ak</t>
  </si>
  <si>
    <t>Final(08/26/1988);Draft(04/22/1988)</t>
  </si>
  <si>
    <t>denali park road final vehicle management plan implementation denali national park and preserve ak</t>
  </si>
  <si>
    <t>denali park road and preserve draft vehicle management plan implementation ak</t>
  </si>
  <si>
    <t>project759</t>
  </si>
  <si>
    <t>phoenix copper leach project construction and operation of a new copper benfication facility lander county nv</t>
  </si>
  <si>
    <t>phoenix copper leach project proposed construction and operation of a new copper benfication facility lander county nv</t>
  </si>
  <si>
    <t>phoenix project current mining operations and processing activities expansion plan of operations approval battle mountain lander county nv</t>
  </si>
  <si>
    <t>Final(01/11/2002)</t>
  </si>
  <si>
    <t>sanchez open pit heap leach copper mine project construction and operation permits approval gila mountain graham county az</t>
  </si>
  <si>
    <t>Draft(03/13/1992);Final(12/18/1992)</t>
  </si>
  <si>
    <t>project537</t>
  </si>
  <si>
    <t>lake casitas resource management plan (rmp) implementation cities of los angeles and ventura western ventura county ca</t>
  </si>
  <si>
    <t>Draft(08/08/2008);Final(04/26/2010)</t>
  </si>
  <si>
    <t>santa monica mountains national recreation area general management plan implementation los angeles and ventura counties ca</t>
  </si>
  <si>
    <t>Final(01/31/2003);Draft(12/15/2000)</t>
  </si>
  <si>
    <t>los padres national forest land and resource management plan implementation monterey san luis obispo santa barbara ventura and los angeles counties ca</t>
  </si>
  <si>
    <t>Final(03/25/1988)</t>
  </si>
  <si>
    <t>millerton lake resource management plan (rmp) and general plan implementation fresno and madera counties ca</t>
  </si>
  <si>
    <t>Final(04/30/2010);Draft(08/01/2008)</t>
  </si>
  <si>
    <t>project861</t>
  </si>
  <si>
    <t>Draft(10/04/2013);Final(06/10/2016)</t>
  </si>
  <si>
    <t>mississippi river gulf outlet ecosystem restoration to develop a comprehensive ecosystem restoration plan to restore the lake borgne ecosystems la and ms</t>
  </si>
  <si>
    <t>project845</t>
  </si>
  <si>
    <t>quartzsite solar energy project and yuma field office resource management plan amendment la paz county az</t>
  </si>
  <si>
    <t>Draft(11/10/2011);Final(12/21/2012)</t>
  </si>
  <si>
    <t>quartzsite solar energy project and proposed yuma field office resource management plan amendment implementation right-of-way application to the blm la paz county az</t>
  </si>
  <si>
    <t>Draft(11/10/2011)</t>
  </si>
  <si>
    <t>silver state solar energy project and proposed las vegas field office resource management plan amendment to address new information clark county nv</t>
  </si>
  <si>
    <t>Draft Supplement(10/12/2012)</t>
  </si>
  <si>
    <t>project497</t>
  </si>
  <si>
    <t>isle royale national park wilderness and backcountry management plan implementation mi</t>
  </si>
  <si>
    <t>Draft(10/21/2005);Final(09/30/2011)</t>
  </si>
  <si>
    <t>Final(09/30/2011)</t>
  </si>
  <si>
    <t>isle royale national park wilderness and backcounty management plan implementation mi</t>
  </si>
  <si>
    <t>Draft(10/21/2005)</t>
  </si>
  <si>
    <t>isle royale national park general management plan implementation keweenaw county mi</t>
  </si>
  <si>
    <t>Draft(04/10/1998);Final(11/06/1998)</t>
  </si>
  <si>
    <t>isle royale national park general management plan implementation keweenaw county mi ( revised feis)</t>
  </si>
  <si>
    <t>Revised Final(03/26/1999)</t>
  </si>
  <si>
    <t>backcountry management plan grand canyon national park</t>
  </si>
  <si>
    <t>Draft(12/11/2015)</t>
  </si>
  <si>
    <t>project714</t>
  </si>
  <si>
    <t>northeastern tributary reservoirs land management plan implementation beaver creek clear creek boone fort patrick henry south holston watauga and wilbur reservoirs carter johnson sullivan and washington counties tn and washington county va</t>
  </si>
  <si>
    <t>Draft(10/09/2009);Final(03/12/2010)</t>
  </si>
  <si>
    <t>TN nan</t>
  </si>
  <si>
    <t>cherokee national forest land and resource management plan alternative 7 modification implementation carter cocke greene johnson mcminn monroe polk sullivan unicoi and washington counties tn; washington county va and ashe county nc</t>
  </si>
  <si>
    <t>Draft Supplement(05/05/1989)</t>
  </si>
  <si>
    <t>cherokee national forest land and resource management plan alternative 7 modification implementation carter cooke greene johnson mcminn monroe polik sullivan unicoi and washington counties tn; washington county va and ashe county nc</t>
  </si>
  <si>
    <t>Final Supplement(03/02/1990)</t>
  </si>
  <si>
    <t>cherokee national forest revised land and resource management plan implementation carter cocke greene johnson mcminn monroe polk sullivan and unicoi counties tn</t>
  </si>
  <si>
    <t>Draft(03/21/2003);Final(01/30/2004)</t>
  </si>
  <si>
    <t>project741</t>
  </si>
  <si>
    <t>pacific coast groundfish harvest specifications and management measures for 2015-2016 and biennial periods thereafter, and amendment 24 to the pacific coast groundfish fishery management plan</t>
  </si>
  <si>
    <t>Draft(10/24/2014);Final(01/16/2015)</t>
  </si>
  <si>
    <t>harvest specifications and management measures for 2015-2016 and biennial periods thereafter</t>
  </si>
  <si>
    <t>project131</t>
  </si>
  <si>
    <t>cachuma lake resource management plan implementation cachuma lake santa barbara county ca</t>
  </si>
  <si>
    <t>Final(05/28/2010);Draft(08/01/2008)</t>
  </si>
  <si>
    <t>lake cachuma enlargement and bradbury dam safety modifications implementation section 404 permit santa barbara county ca</t>
  </si>
  <si>
    <t>Draft(12/28/1990)</t>
  </si>
  <si>
    <t>lower santa ynez river fish management plan and cachuma project biological opinion for southern steelhead trout habitat conditions for the endangered southern steelhead improvements santa barbara county ca</t>
  </si>
  <si>
    <t>Final(04/30/2004);Draft(08/01/2003)</t>
  </si>
  <si>
    <t>channel islands national marine sanctuary management plan implementation santa barbara and ventura counties ca</t>
  </si>
  <si>
    <t>Final(12/05/2008)</t>
  </si>
  <si>
    <t>lower mission creek flood control project proposed plan for flood control city of santa barbara santa barbara county ca</t>
  </si>
  <si>
    <t>Final(11/03/2000)</t>
  </si>
  <si>
    <t>project374</t>
  </si>
  <si>
    <t>Final(06/08/2012);Draft(10/14/2011)</t>
  </si>
  <si>
    <t>glyphosate -tolerant alfalfa events j101 and j163: request for nonregulated status implementation united states</t>
  </si>
  <si>
    <t>Final(12/23/2010);Draft(12/18/2009)</t>
  </si>
  <si>
    <t>project1119</t>
  </si>
  <si>
    <t>Draft(04/19/2013);Final(08/09/2013)</t>
  </si>
  <si>
    <t>us 97 bend north corridor project</t>
  </si>
  <si>
    <t>project10</t>
  </si>
  <si>
    <t>aiya solar project</t>
  </si>
  <si>
    <t>Final(06/10/2016);Draft(05/15/2015)</t>
  </si>
  <si>
    <t>panoche valley solar project</t>
  </si>
  <si>
    <t>Final(12/31/2015)</t>
  </si>
  <si>
    <t>project226</t>
  </si>
  <si>
    <t>Final(05/03/2013);Draft(06/22/2012)</t>
  </si>
  <si>
    <t>cuyahoga valley national park comprehensive trail management plan cuyahoga and summit counties oh</t>
  </si>
  <si>
    <t>cuyahoga valley national park rural landscape management program rural landscape resources preservation and protection cuyahoga river cuyahoga and summit counties oh</t>
  </si>
  <si>
    <t>Draft(02/14/2003);Final(01/02/2004)</t>
  </si>
  <si>
    <t>cleveland harbor dredged material management plan operations and maintenance cuyahoga county oh</t>
  </si>
  <si>
    <t>Draft(09/11/2009)</t>
  </si>
  <si>
    <t>project558</t>
  </si>
  <si>
    <t>little slate project proposes watershed improvement timber harvest fuel treatments soil restoration and access changes in the little slate creek salmon river ranger district nez perce national forest idaho county id</t>
  </si>
  <si>
    <t>Draft(07/22/2011);Final(03/02/2012)</t>
  </si>
  <si>
    <t>clean slate ecoystem management project aquatic and terrestrial restoration nez perce national forest salmon river ranger district idaho county id</t>
  </si>
  <si>
    <t>Final(11/28/2003);Draft(03/23/2001)</t>
  </si>
  <si>
    <t>red pines project implementation of fuel reduction activities and watershed activities improvement nez perce national forest red river ranger district idaho county id</t>
  </si>
  <si>
    <t>Final(07/29/2005);Draft(08/27/2004)</t>
  </si>
  <si>
    <t>mallard creek timber sale and road construction implementation nez perce national forest red river ranger district idaho county id</t>
  </si>
  <si>
    <t>Draft(04/20/1990);Final(12/21/1990)</t>
  </si>
  <si>
    <t>project659</t>
  </si>
  <si>
    <t>multi-project for hydropower licenses - susquehanna river hydroelectric projects - york haven project no. 1888</t>
  </si>
  <si>
    <t>Draft(08/08/2014);Final(03/20/2015)</t>
  </si>
  <si>
    <t>hydropower licenses - merced river hydroelectric project (ferc no. 2179-043) and merced falls hydroelectric project (ferc no. 2467-020)</t>
  </si>
  <si>
    <t>salmon river basin fifteen hydroelectric projects construction operation and maintenance licenses</t>
  </si>
  <si>
    <t>Final(07/31/1987)</t>
  </si>
  <si>
    <t>snohomish river basin seven hydroelectric projects construction operation and maintenance licenses wa</t>
  </si>
  <si>
    <t>Final(07/02/1987)</t>
  </si>
  <si>
    <t>project348</t>
  </si>
  <si>
    <t>Draft(07/29/2011);Final(04/26/2013)</t>
  </si>
  <si>
    <t>project7</t>
  </si>
  <si>
    <t>abengoa biorefinery project to support the design construction and startup of a commercial-scale integrated biorefinery federal funding located near the city hugoton stevens county ks</t>
  </si>
  <si>
    <t>Final(08/20/2010);Draft(09/25/2009)</t>
  </si>
  <si>
    <t>spokane tribes integrated resource management plan implementation stevens county wa</t>
  </si>
  <si>
    <t>Draft(09/08/2006)</t>
  </si>
  <si>
    <t>spokane tribes integrated resource management plan (irmp) for the spokane indian reservation implementation stevens county wa</t>
  </si>
  <si>
    <t>Final(06/20/2008)</t>
  </si>
  <si>
    <t>federal correctional institution near the city of glenville construction and operation gilmer county wv</t>
  </si>
  <si>
    <t>Final(08/21/1998);Draft(04/24/1998)</t>
  </si>
  <si>
    <t>Department of Justice</t>
  </si>
  <si>
    <t>project701</t>
  </si>
  <si>
    <t>north bay water recycling program (nbwrp) (formerly north san pablo bay restoration and reuse project) proposed to promote the expanded beneficial use of recycled water north marin water district napa county ca</t>
  </si>
  <si>
    <t>Final(06/18/2010);Draft(06/05/2009)</t>
  </si>
  <si>
    <t>Final(06/18/2010)</t>
  </si>
  <si>
    <t>north bay water recycling program (nbwrp) (formerly north san pablo bay restoration and reuse project) proposed to promote the expanded beneficial use of recycled water norther marin water district napa county ca</t>
  </si>
  <si>
    <t>Draft(06/05/2009)</t>
  </si>
  <si>
    <t>north valley regional recycled water program</t>
  </si>
  <si>
    <t>Final(09/25/2015);Draft(01/16/2015)</t>
  </si>
  <si>
    <t>napa river salt marsh restoration project salinity reduction and habitat restoration for the napa river unit san pablo bay napa and solano counties ca</t>
  </si>
  <si>
    <t>project234</t>
  </si>
  <si>
    <t>deerfield wind project updated information application for a land use authorization to construct and operate a wind energy facility special use authorization permit green mountain national forest bennington county vt</t>
  </si>
  <si>
    <t>Final(01/06/2012);Draft(10/03/2008)</t>
  </si>
  <si>
    <t>Final(01/06/2012)</t>
  </si>
  <si>
    <t>deerfield wind project updated information application for a land use authorization to construct and operate a wind energy facility special use authorization permit towns of searsburg and readsboro manchester ranger district green mountain national forest bennington county vt</t>
  </si>
  <si>
    <t>Draft Supplement(12/23/2010)</t>
  </si>
  <si>
    <t>deerfield wind project application for a land use authorization to construct and operate a wind energy facility special use authorization permit towns of searsburg and readsboro manchester ranger district green mountain national forest bennington county vt</t>
  </si>
  <si>
    <t>project406</t>
  </si>
  <si>
    <t>gulf of mexico ocs central planning area lease sales 241 and 247, and eastern planning area lease sale 226</t>
  </si>
  <si>
    <t>Draft(01/30/2015);Final(09/04/2015)</t>
  </si>
  <si>
    <t>project980</t>
  </si>
  <si>
    <t>state route 76 south mission road to interstate 15 highway improvement project widening and realignment including interchange improvements usace section 404 permit san diego county ca</t>
  </si>
  <si>
    <t>Final(01/27/2012);Draft(09/03/2010)</t>
  </si>
  <si>
    <t>ca-76 south mission road to interstate 15 highway improvement project proposes to widen and realign/ a two lane highway san diego county ca</t>
  </si>
  <si>
    <t>Draft(09/03/2010)</t>
  </si>
  <si>
    <t>ca-76 corridor project transportation improvements from melrose drive to south mission road san diego county ca</t>
  </si>
  <si>
    <t>Final(12/12/2008);Draft(10/12/2007)</t>
  </si>
  <si>
    <t>project254</t>
  </si>
  <si>
    <t>downeast liquefied natural gas (lng) project</t>
  </si>
  <si>
    <t>Draft(05/22/2009);Final(05/23/2014)</t>
  </si>
  <si>
    <t>Final(05/23/2014)</t>
  </si>
  <si>
    <t>downeast liquefied natural gas (lng ) project new information</t>
  </si>
  <si>
    <t>Draft Supplement(04/05/2013)</t>
  </si>
  <si>
    <t>downeast liquefied natural gas (lng) project construction and operation proposed liquefied natural gas (lng) terminal natural gas pipeline and associated facilities washington county me</t>
  </si>
  <si>
    <t>Draft(05/22/2009)</t>
  </si>
  <si>
    <t>oregon liquefied natural gas (lng) and washington expansion projects</t>
  </si>
  <si>
    <t>project304</t>
  </si>
  <si>
    <t>federal coal lease modifications coc-1362 and coc-67232</t>
  </si>
  <si>
    <t>Final(08/10/2012);Draft(05/25/2012)</t>
  </si>
  <si>
    <t>federal coal lease modifications coc-1362 and coc 67232 adding 800 and 921 additional acres paonia ranger district grand mesa uncompahgre and gunnison national forests gunnison county co</t>
  </si>
  <si>
    <t>dry fork federal coal lease-by-application (coc-67232) leasing additional federal coal lands for underground coal resource special-use-permits and us army coe section 404 permit grand mesa uncompahgre and gunnison national forests gunnison county co</t>
  </si>
  <si>
    <t>Draft(04/01/2005);Final(03/24/2006)</t>
  </si>
  <si>
    <t>fence lake federal coal project lease approval catron and cibola counties nm</t>
  </si>
  <si>
    <t>Final(09/28/1990);Draft(05/11/1990)</t>
  </si>
  <si>
    <t>west mine area freedom mine federal coal lease application mercer county nd</t>
  </si>
  <si>
    <t>Final(08/26/2005);Draft(04/30/2004)</t>
  </si>
  <si>
    <t>west antelope coal lease application (federal coal lease application wyw163340) implementation converse and campbell counties wy</t>
  </si>
  <si>
    <t>Final(12/19/2008);Draft(02/08/2008)</t>
  </si>
  <si>
    <t>project733</t>
  </si>
  <si>
    <t>oregon dunes nra managment area 10 (c) designated routes project</t>
  </si>
  <si>
    <t>oregon dunes nra management area 10(c) designated routes project central coast ranger district oregon dunes national recreation area siuslaw national forest coos douglas and lane counties or</t>
  </si>
  <si>
    <t>designated routes and areas for motor vehicle use (dramvu)</t>
  </si>
  <si>
    <t>Final(04/14/2017)</t>
  </si>
  <si>
    <t>oregon dunes national recreation area amend to land and resource management plan suislaw national forest coos douglas and lane counties or</t>
  </si>
  <si>
    <t>Draft(04/16/1993);Final(07/29/1994)</t>
  </si>
  <si>
    <t>imperial sand dunes recreation area management plan implementation imperial county ca</t>
  </si>
  <si>
    <t>Draft(03/26/2010)</t>
  </si>
  <si>
    <t>nez perce national forest (npnf) proposed designated routes and areas for motor vehicle use (dramvu) implementation idaho county id</t>
  </si>
  <si>
    <t>project41</t>
  </si>
  <si>
    <t>anacostia park wetlands and resident canada goose management plan</t>
  </si>
  <si>
    <t>Draft(07/29/2011);Final(12/19/2014)</t>
  </si>
  <si>
    <t>anacostia park wetland and resident goose management plan to guide and direct the actions of national park service (nps) in the management of wetlands and resident (non-migratory) canada geese at anacostia park implementation washington dc</t>
  </si>
  <si>
    <t>resident canada goose management plan evaluate alternatives strategies to reduce manage and resident canada goose population implementation within the conteriminous us</t>
  </si>
  <si>
    <t>Final(11/18/2005)</t>
  </si>
  <si>
    <t>adoption - resident canada goose management plan evaluate alternatives strategies to reduce manage and resident canada goose population implementation within the conteriminous us</t>
  </si>
  <si>
    <t>Final(07/13/2007)</t>
  </si>
  <si>
    <t>goose project</t>
  </si>
  <si>
    <t>Final(08/14/2015);Draft(03/06/2015)</t>
  </si>
  <si>
    <t>project408</t>
  </si>
  <si>
    <t>gulf of mexico ocs oil and gas lease sale 248</t>
  </si>
  <si>
    <t>Final(02/19/2016);Draft(09/04/2015)</t>
  </si>
  <si>
    <t>project953</t>
  </si>
  <si>
    <t>south san francisco bay shoreline phase i</t>
  </si>
  <si>
    <t>Final(09/25/2015);Draft(11/19/2014)</t>
  </si>
  <si>
    <t>central subway/third street light rail phase 2 funding san francisco municipal transportation agency in the city and county san francisco ca</t>
  </si>
  <si>
    <t>Final Supplement(10/03/2008)</t>
  </si>
  <si>
    <t>presidio trust implementation plan (ptip) updated plan for area b of the presidio of san francisco implementation san francisco bay area marin county ca</t>
  </si>
  <si>
    <t>Final(05/24/2002);Draft(07/27/2001)</t>
  </si>
  <si>
    <t>The Presidio Trust</t>
  </si>
  <si>
    <t>project175</t>
  </si>
  <si>
    <t>city of tallahassee southwestern transmission line project proposes to construct operate and maintain a new overhead 230 - kilovolt (kv) electric transmission line special-use-permit (sup) apalachicola national forest (anf) leon county fl</t>
  </si>
  <si>
    <t>Draft(12/23/2011);Final(03/30/2012)</t>
  </si>
  <si>
    <t>matl 230-kv transmission line project to construct operate maintain and connects a 230-kv electric transmission line issuance of presidential permit for right-to-way grant cascade teton chouteau pondera toole and glacier counties mt</t>
  </si>
  <si>
    <t>antelope-pardee 500kv transmission project construct operate and maintain a new 25.6 mile 500kv transmission line right-of-way permit and special use authorization angeles national forest los angeles county ca</t>
  </si>
  <si>
    <t>Final(01/19/2007);Draft(08/04/2006)</t>
  </si>
  <si>
    <t>tehachapi renewable transmission project construct operate and maintain new and upgraded 500 kv and 220kv transmission lines and substations special use authorization angeles national forest los angeles county ca</t>
  </si>
  <si>
    <t>project11</t>
  </si>
  <si>
    <t>alameda-contra transit (ac transit) east bay bus rapid transit project implement high level bus rapid transit improvements connecting berkeley oakland and san leandro san francisco bay area funding alameda county ca</t>
  </si>
  <si>
    <t>Final(02/03/2012);Draft(05/04/2007)</t>
  </si>
  <si>
    <t>alameda-contra transit (ac transit) east bay bus rapid transit project improve transit serve in cities of berkeley oakland and san leandro san francisco bay area alameda county ca</t>
  </si>
  <si>
    <t>Draft(05/04/2007)</t>
  </si>
  <si>
    <t>san francisco international airport extension transportation improvements bay area rapid transit district (bart) funding san mateo county ca</t>
  </si>
  <si>
    <t>Final(06/14/1996);Draft(03/20/1992)</t>
  </si>
  <si>
    <t>warm springs extension proposing 5.4 mile extension of the bart system in the city of fremont funding san francisco bay area rapid transit district alameda county ca</t>
  </si>
  <si>
    <t>Final(07/14/2006);Draft(03/11/2005)</t>
  </si>
  <si>
    <t>van ness avenue bus rapid transit project to implement bus rapid transit (brt) improvement along a 2-mile stretch of van ness avenue city of county of san francisco ca</t>
  </si>
  <si>
    <t>project1131</t>
  </si>
  <si>
    <t>western oregon resource management plan</t>
  </si>
  <si>
    <t>Draft(04/24/2015);Final(04/15/2016)</t>
  </si>
  <si>
    <t>western oregon draft resource management plan</t>
  </si>
  <si>
    <t>oregon greater sage-grouse draft resource management plan amendment and environmental impact statement</t>
  </si>
  <si>
    <t>oregon sub-region greater sage-grouse draft resource management plan amendment</t>
  </si>
  <si>
    <t>oregon greater-sage grouse proposed resource management plan amendment and final environmental impact statement</t>
  </si>
  <si>
    <t>Final(12/07/2018)</t>
  </si>
  <si>
    <t>project337</t>
  </si>
  <si>
    <t>francis marion forest plan revision</t>
  </si>
  <si>
    <t>Draft(08/14/2015);Final(02/10/2017)</t>
  </si>
  <si>
    <t>Revised Final(02/10/2017);Revised Draft(08/14/2015)</t>
  </si>
  <si>
    <t>SC Multi</t>
  </si>
  <si>
    <t>project1001</t>
  </si>
  <si>
    <t>Draft(11/06/2015);Final(06/10/2016)</t>
  </si>
  <si>
    <t>santa fe national forest geothermal leasing final environmental impact statement</t>
  </si>
  <si>
    <t>project285</t>
  </si>
  <si>
    <t>Draft(02/21/2014);Final(01/13/2017)</t>
  </si>
  <si>
    <t>project216</t>
  </si>
  <si>
    <t>cottonwood cove and katherine landing final development concept plans</t>
  </si>
  <si>
    <t>Final(11/14/2014);Draft(02/15/2013)</t>
  </si>
  <si>
    <t>cottonwood cove and katherine landing draft development concept plans lake mead national recreation area</t>
  </si>
  <si>
    <t>Draft(02/15/2013)</t>
  </si>
  <si>
    <t>great basin national park general management and development concept plans implementation white pine county nv</t>
  </si>
  <si>
    <t>Final(01/08/1993);Draft(10/11/1991)</t>
  </si>
  <si>
    <t>fort clatsop national memorial general management and development concept plans implementation astoria clatsop county or</t>
  </si>
  <si>
    <t>Draft(11/05/1993);Final(08/18/1995)</t>
  </si>
  <si>
    <t>project350</t>
  </si>
  <si>
    <t>general acl/accountability measures (am) amendment to all gulf council fmps</t>
  </si>
  <si>
    <t>project813</t>
  </si>
  <si>
    <t>programmatic - mouse river enhanced flood protection project</t>
  </si>
  <si>
    <t>Final(07/14/2017);Draft(11/04/2016)</t>
  </si>
  <si>
    <t>mouse river enhanced flood protection project</t>
  </si>
  <si>
    <t>napa river and napa creek flood protection project new information city of napa napa county ca</t>
  </si>
  <si>
    <t>Second Draft Supplemental(12/24/1997);Second Final Supplemental(10/09/1998)</t>
  </si>
  <si>
    <t>blanchard river flood protection plan oh</t>
  </si>
  <si>
    <t>Draft(01/30/1987)</t>
  </si>
  <si>
    <t>alabama beach mouse project general conservation plan issuance of incidental take permit implementation fort morgan peninsula baldwin county al</t>
  </si>
  <si>
    <t>project664</t>
  </si>
  <si>
    <t>integrated research facility (irf) at fort detrick construction and operation adjacent to existing u.s. army medical research institute of infectious diseases facilities city of frederick frederick county md</t>
  </si>
  <si>
    <t>Final(12/05/2003);Draft(09/19/2003)</t>
  </si>
  <si>
    <t>Department of Health and Human Services</t>
  </si>
  <si>
    <t>u.s. army medical research institute of infectious diseases (usamriid) construction and operation of new usamriid facilities and decommissioning and demolition and/or re-use of existing usamriid facilities fort detrick md</t>
  </si>
  <si>
    <t>Final(12/29/2006);Draft(08/11/2006)</t>
  </si>
  <si>
    <t>project1114</t>
  </si>
  <si>
    <t>wallops flight facility shoreline restoration and infrastructure protection program implementation wallops island va</t>
  </si>
  <si>
    <t>Draft(02/26/2010);Final(10/29/2010)</t>
  </si>
  <si>
    <t>programmatic - sounding rocket program (srp) updated information concerning programmatic changes since the 1973 feis site-specific to wallops flight facility (wff) wallops island va; poker flat research range (pfrr) fairbanks ak and white sands</t>
  </si>
  <si>
    <t>programmatic - sounding rocket program (srp) updated information concerning programmatic changes since the 1973 feis site specific to wallops flight facility (wff) wallops island va; poker flat reserarch range (pfrr) fairbanks ak and white sands missile range (wsmr) white sands nm and on a global scale</t>
  </si>
  <si>
    <t>Final Supplement(02/18/2000)</t>
  </si>
  <si>
    <t>project24</t>
  </si>
  <si>
    <t>amending the atlantic large whale take reduction plan vertical line rule</t>
  </si>
  <si>
    <t>Final(05/16/2014);Draft(07/12/2013)</t>
  </si>
  <si>
    <t>Draft(07/12/2013);Final(05/16/2014)</t>
  </si>
  <si>
    <t>atlantic large whale take reduction plan proposed amendments to implement specific gear modifications for trap/pot and gillnet fishereries broad--based gear modifications exclusive economic zone (eez) me ct and ri</t>
  </si>
  <si>
    <t>Final(08/17/2007);Draft(02/25/2005)</t>
  </si>
  <si>
    <t>proposed rule to implement management measures for the reduction of sea turtle bycatch and bycatch mortality in the atlantic pelagic longline fishery</t>
  </si>
  <si>
    <t>Third Draft Supplemental(02/13/2004)</t>
  </si>
  <si>
    <t>final rule to implement management measures for the reduction of sea turtle bycatch and bycatch mortality in the atlantic pelagic longine fishery</t>
  </si>
  <si>
    <t>Third Final Supplemental(06/25/2004)</t>
  </si>
  <si>
    <t>project431</t>
  </si>
  <si>
    <t>Draft(06/15/2012);Final(10/12/2012)</t>
  </si>
  <si>
    <t>amendment 21 to the pacific coast groundfish fishery management plan (fmp) allocation of harvest opportunity between sectors implementation wa or and ca</t>
  </si>
  <si>
    <t>Draft(01/29/2010);Final(06/25/2010)</t>
  </si>
  <si>
    <t>project794</t>
  </si>
  <si>
    <t>programmatic - ballast water discharge standard rulemaking for standards for living organisms in ships u.s. waters</t>
  </si>
  <si>
    <t>Draft(09/04/2009);Final(03/16/2012)</t>
  </si>
  <si>
    <t>USCG</t>
  </si>
  <si>
    <t>programmatic - ballast water discharge standard project to implement a ballast water discharge standard to prevent or reduce the number of non-indigenous species introduced into the united states waters</t>
  </si>
  <si>
    <t>Draft(09/04/2009)</t>
  </si>
  <si>
    <t>UCG</t>
  </si>
  <si>
    <t>rulemaking for colorado roadless areas</t>
  </si>
  <si>
    <t>amendment 16 to the fishery management plan for the shrimp fishery of the gulf of mexico u.s. waters</t>
  </si>
  <si>
    <t>Final Supplement(01/16/2015)</t>
  </si>
  <si>
    <t>project352</t>
  </si>
  <si>
    <t>generic - license renewal of nuclear plants for the prairie island nuclear generating plant units 1 and 2 supplement 39 nureg-1437 implementation city of red wing dakota county mn</t>
  </si>
  <si>
    <t>Draft(11/27/2009);Final(05/20/2011)</t>
  </si>
  <si>
    <t>generic - license renewal of nuclear plants for the prairie island nuclear generating plant units 1 and 2 supplement 39 nureg-1437 implementation city of red wing dakota county . mn</t>
  </si>
  <si>
    <t>Draft(11/27/2009)</t>
  </si>
  <si>
    <t>generic - license renewal of nuclear plants for the st. lucie units 1 and 2 supplement 11 nureg-1437 implementation hutchinson island st. lucie county fl</t>
  </si>
  <si>
    <t>Draft(11/01/2002)</t>
  </si>
  <si>
    <t>generic eis - license renewal of nuclear plants for the st. lucie units 1 and 2 supplement 11 nureg-1437 implementation hutchinson island st. lucie county fl</t>
  </si>
  <si>
    <t>project780</t>
  </si>
  <si>
    <t>power fire reforestation</t>
  </si>
  <si>
    <t>Draft(04/21/2017);Final(09/01/2017)</t>
  </si>
  <si>
    <t>pacific southwest region vegetation management national forests reforestation plan implementation ca or and nv</t>
  </si>
  <si>
    <t>Final(03/10/1989)</t>
  </si>
  <si>
    <t>eyerly fire salvage project burned and damage trees salvage reforestation and fuels treatment implementation deschutes national forest sisters ranger district jefferson county or</t>
  </si>
  <si>
    <t>Draft(12/19/2003);Final(07/02/2004)</t>
  </si>
  <si>
    <t>project193</t>
  </si>
  <si>
    <t>colorado roadless areas rulemaking proposal to establish regulatory direction for managing approximately 4.2 million acres of roadless areas arapaho and roosevelt; grand mesa uncompahgre and gunnison; manti-la sal (portion in colorado); pike and san isabel; rio grande; routt; san juan; and white river national forests co</t>
  </si>
  <si>
    <t>Final(05/04/2012);Draft(08/01/2008)</t>
  </si>
  <si>
    <t>Revised Draft(04/29/2011);Final(05/04/2012)</t>
  </si>
  <si>
    <t>colorado roadless areas rulemaking proposes to promulgate a state-specific rule to manage roadless values and characteristics colorado forests with roadless areas include: arapaho and roosevelt: grand mesa uncompahgre and gunnison; manti-la sal (portion in colorado); pike and san isabel; rio grande; routt: san juan; and white river national forests co</t>
  </si>
  <si>
    <t>Draft(08/01/2008)</t>
  </si>
  <si>
    <t>southern rockies canada lynx amendment incorporating management direction for canada lynx habitat by amending land and resource management plans for arapaho-roosevelt pike-san isabel grand mesa-uncompahgre-gunnison san juan rio grande and medicine bow-routt national forests implementation co and wy</t>
  </si>
  <si>
    <t>Draft(01/30/2004)</t>
  </si>
  <si>
    <t>southern rockies canada lynx amendment updated information incorporating management direction for canada lynx habitat by amending land and resource management plans for arapaho-roosevelt pike-san isabel grand mesa-uncompahgre-gunnison san juan rio grande and medicine bow-routt national forests implementation co and wy</t>
  </si>
  <si>
    <t>Draft Supplement(11/24/2006)</t>
  </si>
  <si>
    <t>southern rockies canada lynx amendment preferred alternative is alternative f incorporating management direction for canada lynx habitat by amending land and resource management plans for arapaho-roosevelt pike-san isabel grand mesa-uncompahgre-gunnison san juan rio grande and medicine bow-routt national forests implementation co and wy</t>
  </si>
  <si>
    <t>Final(11/14/2008)</t>
  </si>
  <si>
    <t>project380</t>
  </si>
  <si>
    <t>goose creek watershed project timber harvesting and watershed improvement payette national forest new meadows ranger district adams county id</t>
  </si>
  <si>
    <t>goose creek watershed project harvesting timber and improve watershed payette national forest new meadows ranger district adams county id</t>
  </si>
  <si>
    <t>Draft(09/11/1998)</t>
  </si>
  <si>
    <t>light goose management plan reducing and stabilitizing specific populations 'light geese' in north america implementation</t>
  </si>
  <si>
    <t>Final(07/13/2007);Draft(09/28/2001)</t>
  </si>
  <si>
    <t>project303</t>
  </si>
  <si>
    <t>deer creek shaft and e seam methane drainage wells project construct operate and reclaim up to 137 methane drainage well federal coal lease paonia ranger district grand mesa uncompahgre and gunnison national forests delta and gunnison counties co</t>
  </si>
  <si>
    <t>Final(08/17/2007);Draft(03/23/2007)</t>
  </si>
  <si>
    <t>grand mesa uncompahgre and gunnison national forests land and resource management plan timber management amendment implementation several counties co</t>
  </si>
  <si>
    <t>Final Supplement(08/16/1991)</t>
  </si>
  <si>
    <t>telluride ski area expansion project implementation new and additional information special-use-permit and coe section 404 permit grand mesa uncompahgre and gunnison national forests norwood ranger district san miguel county co</t>
  </si>
  <si>
    <t>Second Final Supplemental(07/02/1999)</t>
  </si>
  <si>
    <t>project880</t>
  </si>
  <si>
    <t>rocky mountain arsenal national wildlife refuge</t>
  </si>
  <si>
    <t>Final(09/04/2015);Draft(05/15/2015)</t>
  </si>
  <si>
    <t>rocky mountain arsenal national wildlife refuge establishment and operation implementation adam county co</t>
  </si>
  <si>
    <t>Draft(06/30/1995);Final(03/08/1996)</t>
  </si>
  <si>
    <t>great swamp national wildlife refuge master</t>
  </si>
  <si>
    <t>project531</t>
  </si>
  <si>
    <t>kitty hawk administrative site master development plan implementation cedar city ranger district dixie national forest cedar city iron county ut</t>
  </si>
  <si>
    <t>Final(07/09/2010);Draft(04/26/2010)</t>
  </si>
  <si>
    <t>tippets valley timber harvest project timber sale and road construction implementation dixie national forest cedar city ranger district iron county ut</t>
  </si>
  <si>
    <t>Final(05/10/1991);Draft(01/04/1991)</t>
  </si>
  <si>
    <t>south spruce ecosystem rehabilitation project implementation dixie national forest cedar city ranger district iron and kane counties ut</t>
  </si>
  <si>
    <t>Draft(09/04/1998);Final(01/15/1999)</t>
  </si>
  <si>
    <t>project853</t>
  </si>
  <si>
    <t>Draft(08/15/2014);Final(02/17/2015)</t>
  </si>
  <si>
    <t>project295</t>
  </si>
  <si>
    <t>experimental removal of barred owls to benefit threatened northern spotted owls</t>
  </si>
  <si>
    <t>Final(07/26/2013);Draft(03/09/2012)</t>
  </si>
  <si>
    <t>experimental removal of barred owls to benefit threatened northern spotted owls issuance of permits impementation or wa and ca</t>
  </si>
  <si>
    <t>Draft(03/09/2012)</t>
  </si>
  <si>
    <t>northern spotted owl management plan in the national forests implementation ca or and wa</t>
  </si>
  <si>
    <t>Final(01/31/1992);Draft(09/27/1991)</t>
  </si>
  <si>
    <t>klamath facilities removal</t>
  </si>
  <si>
    <t>northern spotted owl management plan removal or the modification to the survey and manage mitigation measures standards and guidelines (to the northwest forest plan) in the final supplemental eis (1994) and final supplemental eis (2002) for amendments northwest forest plan or wa and ca</t>
  </si>
  <si>
    <t>FC(01/23/2004)</t>
  </si>
  <si>
    <t>project451</t>
  </si>
  <si>
    <t>Final(01/23/2015);Draft(03/08/2013)</t>
  </si>
  <si>
    <t>coyote springs cogeneration project general transmission agreement revision for construction and operations of the coyote springs interconnection implementation and coe permits morrow county or</t>
  </si>
  <si>
    <t>Draft(02/04/1994);Final(08/05/1994)</t>
  </si>
  <si>
    <t>project469</t>
  </si>
  <si>
    <t>south suburban airport proposed site approval and land acquisition for future air carrier airport will and kankakee counties il</t>
  </si>
  <si>
    <t>Final(05/24/2002);Draft(09/28/2001)</t>
  </si>
  <si>
    <t>lake county transportation improvement project to identify a system of strategic roadway rail and bus improvements transportation management strategies lake county il</t>
  </si>
  <si>
    <t>Draft(09/21/2001)</t>
  </si>
  <si>
    <t>project446</t>
  </si>
  <si>
    <t>hiline district resource management plan</t>
  </si>
  <si>
    <t>Final(05/29/2015);Draft(03/22/2013)</t>
  </si>
  <si>
    <t>hiline district draft resource management plan</t>
  </si>
  <si>
    <t>west hiline planning area resource management plan implementation several counties mt</t>
  </si>
  <si>
    <t>Final(07/01/1988);Draft(06/05/1987)</t>
  </si>
  <si>
    <t>sweet grass hills resource management plan amendment implementation west hiline resource management plan toole and liberty counties mt</t>
  </si>
  <si>
    <t>Final(05/31/1996);Draft(02/17/1995)</t>
  </si>
  <si>
    <t>winnemucca district proposed resource management plan</t>
  </si>
  <si>
    <t>project1035</t>
  </si>
  <si>
    <t>project274</t>
  </si>
  <si>
    <t>eastern interior resource management plan</t>
  </si>
  <si>
    <t>Final(07/29/2016);Draft(03/02/2012)</t>
  </si>
  <si>
    <t>eastern interior proposed resource management plan</t>
  </si>
  <si>
    <t>Final(07/29/2016)</t>
  </si>
  <si>
    <t>eastern interior resource management plan to provide comprehensive framework to guide management of public lands ak</t>
  </si>
  <si>
    <t>hardrock mineral leasing in the white mountains national recreation area supplement to the eastern interior draft resource management plan ak</t>
  </si>
  <si>
    <t>Draft Supplement(01/11/2013)</t>
  </si>
  <si>
    <t>eastern san diego county resource management plan implementation el centro field office san diego county ca</t>
  </si>
  <si>
    <t>Final(12/07/2007);Draft(03/02/2007)</t>
  </si>
  <si>
    <t>interior columbia basin ecosystem management project updated and new information on 3 management alternatives implementation wa id or mt</t>
  </si>
  <si>
    <t>Draft Supplement(04/07/2000)</t>
  </si>
  <si>
    <t>project200</t>
  </si>
  <si>
    <t>consideration of environmental impacts of temporary storage of spent fuel after cessation of reactor operation</t>
  </si>
  <si>
    <t>Draft(09/13/2013);Final(09/14/2014)</t>
  </si>
  <si>
    <t>generic - continued storage of spent nuclear fuel nureg-2157</t>
  </si>
  <si>
    <t>idaho spent fuel facility construction operation and decommissioning license application idaho national engineering and environmental laboratory butte county id</t>
  </si>
  <si>
    <t>Draft(07/03/2003);Final(03/05/2004)</t>
  </si>
  <si>
    <t>adoption - independent spent fuel storage installation construction and operation to store the three mile island unit 2 spent fuel at the idaho national engineering and environmental laboratory licensing</t>
  </si>
  <si>
    <t>Final(03/27/1998)</t>
  </si>
  <si>
    <t>nuclear weapons nonproliferation policy concerning foreign research reactor spent nuclear fuel implementation united states and abroad</t>
  </si>
  <si>
    <t>Final(02/23/1996);Draft(04/21/1995)</t>
  </si>
  <si>
    <t>project877</t>
  </si>
  <si>
    <t>river valley intermodal facilities</t>
  </si>
  <si>
    <t>Draft(03/17/2006);Final(03/29/2013)</t>
  </si>
  <si>
    <t>river valley intermodal facilities construction and operation of multi-modal transportation complex us army coe section 10 and 404 permits city of russellville pope county ar</t>
  </si>
  <si>
    <t>Draft(03/17/2006)</t>
  </si>
  <si>
    <t>river valley intermodal facilities new and updated information construction and operation of multi-modal transportation complex us army coe section 10 and 404 permits city of russellville pope county ar</t>
  </si>
  <si>
    <t>Draft Supplement(08/20/2010)</t>
  </si>
  <si>
    <t>navy base intermodal container transfer facility</t>
  </si>
  <si>
    <t>northwest arkansas regional airport intermodal access road benton county ar</t>
  </si>
  <si>
    <t>project796</t>
  </si>
  <si>
    <t>programmatic - conservation reserve program (crp) implement certain changes to the crp as enacted by congress in the 2008 farm bill in the united states</t>
  </si>
  <si>
    <t>Second Draft Supplemental(07/25/2014);Final Supplement(06/18/2010);Draft Supplement(02/19/2010)</t>
  </si>
  <si>
    <t>programmatic - conservation reserve program implementation and expansion farm security and rural investment act of 2002 (2002 farm bill) in the united states</t>
  </si>
  <si>
    <t>programmatic - conservation reserve program implementation and expansion farm security and rural investment act 2002 (2002 farm bill) in the united states</t>
  </si>
  <si>
    <t>Final(01/10/2003)</t>
  </si>
  <si>
    <t>project372</t>
  </si>
  <si>
    <t>Draft(01/07/2011);Final(06/13/2014)</t>
  </si>
  <si>
    <t>gila national forest travel management plan implementation silver city nm</t>
  </si>
  <si>
    <t>Draft(01/07/2011)</t>
  </si>
  <si>
    <t>project145</t>
  </si>
  <si>
    <t>project463</t>
  </si>
  <si>
    <t>Final(01/15/2016);Draft(11/14/2008)</t>
  </si>
  <si>
    <t>i-70 east from i-25 to tower road</t>
  </si>
  <si>
    <t>Draft Supplement(08/29/2014)</t>
  </si>
  <si>
    <t>route i-70 jackson county from west of the paseo interchange to east of the blue ridge cutoff interchange</t>
  </si>
  <si>
    <t>Second Draft(01/17/2014)</t>
  </si>
  <si>
    <t>project312</t>
  </si>
  <si>
    <t>assateague island national seashore general management plan</t>
  </si>
  <si>
    <t>project398</t>
  </si>
  <si>
    <t>greenhouse gas emissions standards and fuel efficiency standards for medium- and heavy-duty engines and vehicles</t>
  </si>
  <si>
    <t>phase 2 fuel efficiency standards for medium- and heavy-duty engines and vehicles</t>
  </si>
  <si>
    <t>REG</t>
  </si>
  <si>
    <t>coke by-product recovery plants revised proposed standards for benzene emissions implementation</t>
  </si>
  <si>
    <t>Final(11/03/1989);Draft(08/26/1988)</t>
  </si>
  <si>
    <t>new source performance standards and emission guidelines for controlling air emissions from municipal solid waste landfills</t>
  </si>
  <si>
    <t>Draft(06/14/1991)</t>
  </si>
  <si>
    <t>project706</t>
  </si>
  <si>
    <t>north fork rancheria of mono indians fee-to-trust and casino/hotel project 305-acres-fee-to-trust land acquisition in unincorporated madera county ca</t>
  </si>
  <si>
    <t>los coyotes band of cahuilla and cupeno indians fee-to-trust and casino-hotel project</t>
  </si>
  <si>
    <t>project243</t>
  </si>
  <si>
    <t>determinations of nonregulated status for dicamba-resistant soybean and cotton varieties monsanto petitions</t>
  </si>
  <si>
    <t>Draft(08/11/2014)</t>
  </si>
  <si>
    <t>project343</t>
  </si>
  <si>
    <t>galton vegetation management</t>
  </si>
  <si>
    <t>Draft(06/03/2016);Final(03/24/2017)</t>
  </si>
  <si>
    <t>project97</t>
  </si>
  <si>
    <t>bill williams mountain restoration project</t>
  </si>
  <si>
    <t>Final(08/28/2015);Draft(07/13/2012)</t>
  </si>
  <si>
    <t>Draft Supplement(11/08/2013)</t>
  </si>
  <si>
    <t>williams ski area expansion on bill williams mountain implementation special-use-permit kaibab national forest williams ranger district coconino county az</t>
  </si>
  <si>
    <t>alamo lake reoperation and ecosystem restoration feasibility study implementation reoperation of alma dam on the bill williams river la paz and mohave counties az</t>
  </si>
  <si>
    <t>Draft(12/18/1998);Final(10/01/1999)</t>
  </si>
  <si>
    <t>project592</t>
  </si>
  <si>
    <t>magnolia lng and lake charles expansion projects</t>
  </si>
  <si>
    <t>Draft(07/24/2015);Final(11/20/2015)</t>
  </si>
  <si>
    <t>Final(11/20/2015)</t>
  </si>
  <si>
    <t>adoption - magnolia lng and lake charles expansion projects</t>
  </si>
  <si>
    <t>Final(09/30/2016)</t>
  </si>
  <si>
    <t>project699</t>
  </si>
  <si>
    <t>north and west big hole allotment mangement plans</t>
  </si>
  <si>
    <t>Draft(03/28/2014);Final(02/05/2016)</t>
  </si>
  <si>
    <t>tricounty resource mangement plan</t>
  </si>
  <si>
    <t>Draft(04/12/2013)</t>
  </si>
  <si>
    <t>project713</t>
  </si>
  <si>
    <t>north sonoma county agricultural reuse project construct and operate a recycled water to agricultural lands sonoma county ca</t>
  </si>
  <si>
    <t>Draft(03/30/2007)</t>
  </si>
  <si>
    <t>pojoaque basin regional water system</t>
  </si>
  <si>
    <t>project772</t>
  </si>
  <si>
    <t>port delfin project deepwater port application</t>
  </si>
  <si>
    <t>Final(11/25/2016);Draft(07/15/2016)</t>
  </si>
  <si>
    <t>adoption - delfin lng deepwater port</t>
  </si>
  <si>
    <t>port ambrose project deepwater port application</t>
  </si>
  <si>
    <t>Draft(12/12/2014)</t>
  </si>
  <si>
    <t>port ambrose deepwater port application</t>
  </si>
  <si>
    <t>Final(10/16/2015)</t>
  </si>
  <si>
    <t>gulf landing deepwater port license application for construction of a deepwater port and associated anchorages in the gulf of mexico south of cameron la</t>
  </si>
  <si>
    <t>Final(12/03/2004);Draft(06/25/2004)</t>
  </si>
  <si>
    <t>beacon port deepwater port license application construction and operation deepwater port and offshore pipeline us coe section 404 and 10 permits gulf of mexico san patricio county tx</t>
  </si>
  <si>
    <t>Final(11/09/2006);Draft(03/03/2006)</t>
  </si>
  <si>
    <t>nan TX</t>
  </si>
  <si>
    <t>project280</t>
  </si>
  <si>
    <t>elk late-successional reserve enhancement project</t>
  </si>
  <si>
    <t>Draft(01/15/2016);Final(04/15/2016)</t>
  </si>
  <si>
    <t>Final(04/22/2016);Draft(01/15/2016)</t>
  </si>
  <si>
    <t>upper siuslaw late-successional reserve restoration plan late-successional and old growth forest ecosystems protection and enhancement eugene district resource management plan northwest forest plan coast range mountains lane and douglas counties or</t>
  </si>
  <si>
    <t>Final(04/09/2004);Draft(08/15/2003)</t>
  </si>
  <si>
    <t>project379</t>
  </si>
  <si>
    <t>golden pass lng export project</t>
  </si>
  <si>
    <t>Final(08/05/2016);Draft(04/01/2016)</t>
  </si>
  <si>
    <t>adoption - golden pass lng export project</t>
  </si>
  <si>
    <t>Final(01/27/2017)</t>
  </si>
  <si>
    <t>golden pass liquefied natural gas (lng) import terminal and natural gas pipeline facilities construction and operation jefferson orange newton counties tx and calcasieu parish la</t>
  </si>
  <si>
    <t>Draft(03/11/2005);Final(06/10/2005)</t>
  </si>
  <si>
    <t>project185</t>
  </si>
  <si>
    <t>cleveland opportunity corridor</t>
  </si>
  <si>
    <t>Final(05/09/2014);Draft(09/13/2013)</t>
  </si>
  <si>
    <t>cleveland opportunity corridor project</t>
  </si>
  <si>
    <t>dual hub corridor improvements downtown cleveland to university circle funding cuyahoga county oh</t>
  </si>
  <si>
    <t>Draft(03/26/1993)</t>
  </si>
  <si>
    <t>project36</t>
  </si>
  <si>
    <t>amendment 5 to the atlantic herring fmp</t>
  </si>
  <si>
    <t>Draft(04/20/2012);Final(04/26/2013)</t>
  </si>
  <si>
    <t>amendment 8 to the atlantic herring fishery management plan</t>
  </si>
  <si>
    <t>Draft(05/11/2018)</t>
  </si>
  <si>
    <t>amendment 5 to the atlantic herring fishery management plan</t>
  </si>
  <si>
    <t>amendment 5 to the atlantic herring fishery management plan implementation</t>
  </si>
  <si>
    <t>monkfish fishery management plan (fmp) amendment 2 implementation new england and mid-atlantic coast</t>
  </si>
  <si>
    <t>Draft Supplement(04/30/2004)</t>
  </si>
  <si>
    <t>project1062</t>
  </si>
  <si>
    <t>unev pipeline project construction of a 399-mile long main petroleum products pipeline salt lake tooele juab millard iron and washington counties ut and lincoln and clark counties nv</t>
  </si>
  <si>
    <t>Final(04/16/2010);Draft(12/19/2008)</t>
  </si>
  <si>
    <t>tooele army depot disposal and reuse of brac parcel implementation salt lake tooele and utah counties ut</t>
  </si>
  <si>
    <t>Draft(09/01/1995);Final(03/15/1996)</t>
  </si>
  <si>
    <t>project67</t>
  </si>
  <si>
    <t>authorization for incidental take and implementation of fruit growers supply multispecies habitat conservation plan siskiyou county ca</t>
  </si>
  <si>
    <t>Draft(11/13/2009);Final(06/22/2012)</t>
  </si>
  <si>
    <t>fruit growers supply company's multi-species habitat conservation plan implementation authorization for incidental take permit siskiyou county ca</t>
  </si>
  <si>
    <t>authorization for incidental take and implementation of the stanford university habitat conservation plan san mateo and santa clara counties ca</t>
  </si>
  <si>
    <t>Final(11/23/2012)</t>
  </si>
  <si>
    <t>stanford university habitat conservation plan authorization for incidental take and implementation san mateo and santa clara counties ca</t>
  </si>
  <si>
    <t>project9</t>
  </si>
  <si>
    <t>airspace training initiative at shaw afb, south carolina</t>
  </si>
  <si>
    <t>Final(06/25/2010);Draft(09/02/2005)</t>
  </si>
  <si>
    <t>shaw air base airspace training initiative (ati) 20th fighter wing proposal to modiiy the training airspace overlying parts south carolina and georgia</t>
  </si>
  <si>
    <t>Draft(09/02/2005)</t>
  </si>
  <si>
    <t>shaw air base airspace training initiative (ati)of bulldog military operating areas 20th fighter wing proposal to modify the training airspace overlying parts south carolina and georgia</t>
  </si>
  <si>
    <t>Final(06/25/2010)</t>
  </si>
  <si>
    <t>project656</t>
  </si>
  <si>
    <t>mukilteo multimodal project</t>
  </si>
  <si>
    <t>Draft(01/27/2012);Final(06/07/2013)</t>
  </si>
  <si>
    <t>mukilteo multimodal project to improve the operations safety and security of facilities serving the mukilteo-clinton ferry route funding usace section 10 and 404 permits snohomish county wa</t>
  </si>
  <si>
    <t>denver union station (dus) project transportation improvement multimodal transportation center for the metro denver region funding and npdes permit city and county denver co</t>
  </si>
  <si>
    <t>Final(08/15/2008);Draft(03/24/2006)</t>
  </si>
  <si>
    <t>everett-seattle commuter rail project construction and operation link cities of everett mukilteo edmonds shoreline and the seattle waterfront u.s. coast guard coe section 10 and 404 permits snohomish county wa</t>
  </si>
  <si>
    <t>project132</t>
  </si>
  <si>
    <t>Draft(12/12/2014);Final(05/08/2015)</t>
  </si>
  <si>
    <t>cal black memorial airport project new and updated information for the replacing of halls crossing airport within the boundary of glen canyon national recreation halls crossing san juan ut</t>
  </si>
  <si>
    <t>Draft Supplement(02/09/2001)</t>
  </si>
  <si>
    <t>sikorsky memorial airport proposed runway 6-24 improvements construction stratford ct</t>
  </si>
  <si>
    <t>Final(06/11/1999);Draft(05/29/1998)</t>
  </si>
  <si>
    <t>jefferson national expansion memorial general management plan implementation st. louis mo</t>
  </si>
  <si>
    <t>Final(10/23/2009);Draft(01/16/2009)</t>
  </si>
  <si>
    <t>project12</t>
  </si>
  <si>
    <t>alaskan way viaduct replacement project between s. royal brougham way and roy street to protect public safety and provide essential vehicle capacity to and through downtown seattle updated information to 2004 deis and 2006 dseis seattle wa</t>
  </si>
  <si>
    <t>Draft(04/09/2004);Final(07/15/2011)</t>
  </si>
  <si>
    <t>Second Draft Supplemental(10/29/2010);Final(07/15/2011)</t>
  </si>
  <si>
    <t>wa-99 alaskan way viaduct and seawall replacement project provide transportation facility and seawall with improved earthquake resistence us army coe section 10 and 404 permits seattle wa</t>
  </si>
  <si>
    <t>wa-99 alaskan way viaduct and seawall replacement project additional information and evaluation of construction plan provide transportation facility and seawall with improved earthquake resistence us army coe section 10 and 404 permits seattle wa</t>
  </si>
  <si>
    <t>Draft Supplement(07/28/2006)</t>
  </si>
  <si>
    <t>project83</t>
  </si>
  <si>
    <t>becker integrated resource project (formerly the becker vegetation management project)</t>
  </si>
  <si>
    <t>Final(04/01/2016);Draft(09/25/2015)</t>
  </si>
  <si>
    <t>Final(04/01/2016)</t>
  </si>
  <si>
    <t>becker integrated resource project</t>
  </si>
  <si>
    <t>Draft(09/25/2015)</t>
  </si>
  <si>
    <t>northern integrated supply project</t>
  </si>
  <si>
    <t>Final(07/20/2018)</t>
  </si>
  <si>
    <t>project162</t>
  </si>
  <si>
    <t>Final(04/17/2015);Draft(11/08/2013)</t>
  </si>
  <si>
    <t>gulf islands national seashore final general mangement plan</t>
  </si>
  <si>
    <t>Final(07/18/2014)</t>
  </si>
  <si>
    <t>project721</t>
  </si>
  <si>
    <t>Final(09/10/2010);Draft(12/29/2008)</t>
  </si>
  <si>
    <t>jacksonville range complex project to support and conduct current and emerging training and rdt&amp;e operations nc sc ga and fl</t>
  </si>
  <si>
    <t>Draft(06/27/2008);Final(03/20/2009)</t>
  </si>
  <si>
    <t>navy cherry point range complex proposed action is to support and conduct current and emerging training and research development testing and evaluation (rdt&amp;e) activities south atlantic bight cape hatteras nc</t>
  </si>
  <si>
    <t>Final(04/24/2009);Draft(09/12/2008)</t>
  </si>
  <si>
    <t>project852</t>
  </si>
  <si>
    <t>Final(12/14/2012);Draft(10/03/2008)</t>
  </si>
  <si>
    <t>red line corridor transit study alternatives analysis implementation of a new east-west transit alignment through baltimore baltimore county md</t>
  </si>
  <si>
    <t>baltimore northeast corridor extension transit improvements funding baltimore county md</t>
  </si>
  <si>
    <t>Final(10/23/1987)</t>
  </si>
  <si>
    <t>baltimore-washington international airport extension central light rail line (clrl) funding anne arundel balitmore and howard counties md</t>
  </si>
  <si>
    <t>Draft(06/07/1991);Final(10/22/1993)</t>
  </si>
  <si>
    <t>hunt valley light rail line extension timonium fairgrounds station to hunt valley funding baltimore central light rail line baltimore and anne arundel counties md</t>
  </si>
  <si>
    <t>Draft(09/21/1990);Final(10/22/1993)</t>
  </si>
  <si>
    <t>project898</t>
  </si>
  <si>
    <t>san clemente shoreline protection project to provide shore protection through nourishment of the beach at the san clemente pier san clemente ca</t>
  </si>
  <si>
    <t>Draft(08/06/2010);Final(09/02/2011)</t>
  </si>
  <si>
    <t>phipps ocean park beach restoration project to provide shore protection for the shoreline surrounding phipps ocean park within the town of palm beach regulatory authorization and us army coe section 10 and 404 permits issuance palm beach county fl</t>
  </si>
  <si>
    <t>Draft Supplement(08/23/2002);Final Supplement(04/16/2004)</t>
  </si>
  <si>
    <t>brevard county shore protection study implementation beach restoration project brevard county fl</t>
  </si>
  <si>
    <t>Final(10/18/1996);Draft(06/14/1996)</t>
  </si>
  <si>
    <t>project61</t>
  </si>
  <si>
    <t>atlanta-chattanooga high speed ground transportation project</t>
  </si>
  <si>
    <t>Draft(10/07/2016);Final(09/29/2017)</t>
  </si>
  <si>
    <t>atlanta to chattanooga high speed ground transportation project</t>
  </si>
  <si>
    <t>project944</t>
  </si>
  <si>
    <t>sonoran desert national monument target shooting resource management plan amendment</t>
  </si>
  <si>
    <t>Draft(12/16/2016);Final(10/20/2017)</t>
  </si>
  <si>
    <t>sonoran desert national monument target shooting draft resource management plan amendment</t>
  </si>
  <si>
    <t>withdrawn - sonoran desert national monument target shooting proposed resource management plan amendment</t>
  </si>
  <si>
    <t>Final(06/23/2017)</t>
  </si>
  <si>
    <t>organ pipe cactus national monument general management plan and development concept plan implementation portion of the sonoran desert pima county az</t>
  </si>
  <si>
    <t>Final(10/17/1997);Draft(04/28/1995)</t>
  </si>
  <si>
    <t>project248</t>
  </si>
  <si>
    <t>las vegas detention facility proposed contractor-owned/contractor-operated detention facility implementation nevada area</t>
  </si>
  <si>
    <t>Final(03/28/2008);Draft(12/21/2007)</t>
  </si>
  <si>
    <t>project0</t>
  </si>
  <si>
    <t>mcguire air force base (afb) realignment implementation burlington county nj</t>
  </si>
  <si>
    <t>Final(07/22/1994);Draft(03/25/1994)</t>
  </si>
  <si>
    <t>project346</t>
  </si>
  <si>
    <t>monroe connector/bypass project construction from near i-485 at us &amp;4 to us 74 between the tons of wingate and marshville funding and us coe 404 permit north carolina turnpike authority meckleburg and union counties nc</t>
  </si>
  <si>
    <t>Draft(05/01/2009);Final(06/11/2010)</t>
  </si>
  <si>
    <t>east charlotte outer loop construction us 74/ independence boulevard near nc-3180 to i-85 near the us 29 connector funding and 404 permit mecklenburg county nc</t>
  </si>
  <si>
    <t>Final(09/01/1989);Draft(10/30/1987)</t>
  </si>
  <si>
    <t>north charlotte outer loop construction nc-27/ mount holly road to i-85 near the us 29 connector funding and section 404 permit mecklenburg county nc</t>
  </si>
  <si>
    <t>Final(04/24/1992);Draft(08/03/1990)</t>
  </si>
  <si>
    <t>project373</t>
  </si>
  <si>
    <t>project1079</t>
  </si>
  <si>
    <t>us 30 from il 136 to il 40 whiteside county</t>
  </si>
  <si>
    <t>Draft(04/09/2011);Final(07/28/2017)</t>
  </si>
  <si>
    <t>us 30 from il 136 to il 40 whiteside co</t>
  </si>
  <si>
    <t>u.s. 30 transportation improvement project from illinois 136 to illinois 40. federal aid primary (fap) route 309 whiteside county il</t>
  </si>
  <si>
    <t>il-315 federal aid primary (fap) (illinois-336) transportation project construction from fap 315 il 336 (southeast of carthage) to us 136 (just west of macomb) funding coe 404 permit and npdes permit hancock and mcdonough counties il</t>
  </si>
  <si>
    <t>Draft(10/31/1997)</t>
  </si>
  <si>
    <t>fap 302 (formerly fap 407)/il-336 construction us 24 at quincy to us 136 at carthage funding and section 404 permit adams and hancock counties il</t>
  </si>
  <si>
    <t>Final(07/26/1991);Draft(11/23/1990)</t>
  </si>
  <si>
    <t>project663</t>
  </si>
  <si>
    <t>national historic preservation act section 106 consultation: reconfiguration of va black hills health care system</t>
  </si>
  <si>
    <t>Draft(11/06/2015);Final(11/10/2016)</t>
  </si>
  <si>
    <t>draft programmatic environmental impact statement and national historic preservation act section 106 consultation west los angeles medical center campus proposed master plan for improvements and reconfiguration</t>
  </si>
  <si>
    <t>chickamauga dam navigation project new and updated information concerning cumulative effects and compliance with section 106 of the historic preservation act us army coe section 404 and us coast guard permits issuance tennessee river hamilton county tn</t>
  </si>
  <si>
    <t>Final Supplement(03/22/2002)</t>
  </si>
  <si>
    <t>chickamauga dam navigation project new and updated information concerning cumulative effects and compliance with section 106 of the historic preservation act npdes us army coe section 404 and us coast guard permits issuance tennessee river hamilton county tn</t>
  </si>
  <si>
    <t>Draft Supplement(02/08/2002)</t>
  </si>
  <si>
    <t>black hills national forest land and resource management plan implementation wyoming and south dakota</t>
  </si>
  <si>
    <t>project196</t>
  </si>
  <si>
    <t>project677</t>
  </si>
  <si>
    <t>black-tailed prairie dog conservation and management on the nebraska national forest and associated units implementation dawes sioux blaine cherry thomas counties ne and custer fall river jackson pennington jones lyman stanley counties sd</t>
  </si>
  <si>
    <t>Draft(03/04/2005);Final(08/12/2005)</t>
  </si>
  <si>
    <t>nan NE</t>
  </si>
  <si>
    <t>adoption - black-trailed prairie dog conservation and management on the nebraska national forest and associated units implementation dawes sioux blaine cherry thomas counties ne and custer fall river jackson pennington jones lyman stanely counties sd</t>
  </si>
  <si>
    <t>Final(02/03/2006)</t>
  </si>
  <si>
    <t>black hills national forest travel management plan proposes to designate certain roads and trails open to motorized travel custer fall river lawrence meade pennington counties sd and crook and weston counties wy</t>
  </si>
  <si>
    <t>Draft(03/20/2009);Final(04/16/2010)</t>
  </si>
  <si>
    <t>project75</t>
  </si>
  <si>
    <t>barry m. goldwater ranger east range enhancements proposes to take ten different actions would enhance range operations and training yuma pima and maricopa counties az</t>
  </si>
  <si>
    <t>Final(11/26/2010);Draft(07/10/2009)</t>
  </si>
  <si>
    <t>barry m. goldwater ranger (bmgr) renewal of the military land withdrawal yuma pima and maricopa counties az</t>
  </si>
  <si>
    <t>LD(10/02/1998);LF(04/02/1999)</t>
  </si>
  <si>
    <t>barry m. goldwater range (bmgr) integrated natural resources management plan (inrmp) implementation yuma pima and maricopa counties az</t>
  </si>
  <si>
    <t>Final(05/26/2006);Draft(03/07/2003)</t>
  </si>
  <si>
    <t>yuma training range complex management operation and development marine corps air station yuma goldwater range yuma and la paz cos. az and chocolate mountain range imperial and riverside counties ca</t>
  </si>
  <si>
    <t>Final(05/09/1997);Draft(01/26/1996)</t>
  </si>
  <si>
    <t>project349</t>
  </si>
  <si>
    <t>Final(02/28/2012);Draft(06/25/2010)</t>
  </si>
  <si>
    <t>american centrifuge plant gas centrifuge uranium enrichment facility construction operation and decommission license issuance piketon oh</t>
  </si>
  <si>
    <t>Final(05/19/2006);Draft(09/09/2005)</t>
  </si>
  <si>
    <t>adoption - american centrifuge plant gas centrifuge uranium enrichment facility construction operation and decommission license issuance piketon oh</t>
  </si>
  <si>
    <t>project734</t>
  </si>
  <si>
    <t>Draft(11/22/2013);Final(05/29/2015)</t>
  </si>
  <si>
    <t>project90</t>
  </si>
  <si>
    <t xml:space="preserve">big eddy-knight transmission project </t>
  </si>
  <si>
    <t>Final(07/15/2011);Draft(12/10/2010)</t>
  </si>
  <si>
    <t>big eddy-knight transmission project proposal to construct operate and maintain a 27-28 mile long 500-kilovolt transmission line using a combination of existing bpa and new 150-foot wide right -of-way wasco county or and klickitat county wa</t>
  </si>
  <si>
    <t>carlsbad caverns national park general management plan implementation eddy county nm</t>
  </si>
  <si>
    <t>Final(09/20/1996);Draft(11/09/1995)</t>
  </si>
  <si>
    <t>waste isolation pilot plant construction updated geological and hydrological information eddy county nm</t>
  </si>
  <si>
    <t>Final Supplement(02/02/1990)</t>
  </si>
  <si>
    <t>project452</t>
  </si>
  <si>
    <t>ten cent community wildfire protection project</t>
  </si>
  <si>
    <t>project652</t>
  </si>
  <si>
    <t>mt. bachelor ski area improvements project</t>
  </si>
  <si>
    <t>Final(02/15/2013);Draft(06/01/2012)</t>
  </si>
  <si>
    <t>mt. ashland ski area development plan improvements rogue river nat'l forest or</t>
  </si>
  <si>
    <t>Draft(05/15/1987)</t>
  </si>
  <si>
    <t>mt. shasta ski area development special use permit shasta-trinity national forests mt. shasta ranger district siskiyou county ca</t>
  </si>
  <si>
    <t>Draft(03/11/1988);Final(10/14/1988)</t>
  </si>
  <si>
    <t>project667</t>
  </si>
  <si>
    <t>national wildlife refuge system revision of regulations governing non-federal oil and gas rights</t>
  </si>
  <si>
    <t>Final(08/22/2016);Draft(12/11/2015)</t>
  </si>
  <si>
    <t>national wildlife refuge system revision of regulations governing non-federal oil and gas activities</t>
  </si>
  <si>
    <t>revision of 9b regulations governing non-federal oil and gas activities</t>
  </si>
  <si>
    <t>regulations governing independent power producers (rm88-4-000) and regulations governing bidding programs (rm88-5-000) implementation</t>
  </si>
  <si>
    <t>Draft(06/24/1988);Final(11/25/1988)</t>
  </si>
  <si>
    <t>project1004</t>
  </si>
  <si>
    <t>Final(12/09/2011);Draft(06/11/2010)</t>
  </si>
  <si>
    <t>taos field office riparian and aquatic habitat msanagement restoration and protection management plan implementation colfax harding los alamos mora rio arriba san miquel santa fe taos and unison counties nm</t>
  </si>
  <si>
    <t>santa fe national forest land and resource management plan implementation mora san miguel santa fe los alamos and rio arriba counties nm</t>
  </si>
  <si>
    <t>Second Final(09/04/1987)</t>
  </si>
  <si>
    <t>project263</t>
  </si>
  <si>
    <t>east bay hills final hazardous fire risk reduction</t>
  </si>
  <si>
    <t>Draft(05/03/2013);Final(12/05/2014)</t>
  </si>
  <si>
    <t>east bay hills hazardous fire risk reduction</t>
  </si>
  <si>
    <t>project351</t>
  </si>
  <si>
    <t>generic - license renewal of nuclear plants for kewaunee power station supplement 40 to nureg-1437 kewaunee county wi</t>
  </si>
  <si>
    <t>Draft(02/05/2010);Final(09/03/2010)</t>
  </si>
  <si>
    <t>generic -license renewal of nuclear plants for the millstone power station units 2 and 3 supplement 22 to nureg-1437 implementation new london county ct</t>
  </si>
  <si>
    <t>Draft(12/10/2004)</t>
  </si>
  <si>
    <t>generic-license renewal of nuclear plants for the millstone power station units 2 and 3 supplement 22 to nureg-1437 implementation new london county ct</t>
  </si>
  <si>
    <t>Final(07/29/2005)</t>
  </si>
  <si>
    <t>generic - surry power station unit 1 and 2 supplement 6 to nureg-1437 license renewal of nuclear plants coe section 404 permit and npdes permit james river va</t>
  </si>
  <si>
    <t>Draft(04/26/2002);Final(12/13/2002)</t>
  </si>
  <si>
    <t>project969</t>
  </si>
  <si>
    <t>spacex texas launch site</t>
  </si>
  <si>
    <t>Draft(04/19/2013);Final(06/06/2014)</t>
  </si>
  <si>
    <t>programmatic - commercial launch vehicles implementation launch license issuance</t>
  </si>
  <si>
    <t>Draft(09/17/1999)</t>
  </si>
  <si>
    <t>spaceport america commercial launch site proposal to develop and operate issuance of license sierra county nm</t>
  </si>
  <si>
    <t>Draft(07/03/2008);Final(11/14/2008)</t>
  </si>
  <si>
    <t>programmatic - licensing launch vehicles implementation issuing a launch license</t>
  </si>
  <si>
    <t>Final(06/01/2001)</t>
  </si>
  <si>
    <t>project245</t>
  </si>
  <si>
    <t>disposal and reuse of surplus property at naval station newport, rhode island</t>
  </si>
  <si>
    <t>Draft(03/18/2016);Final(06/23/2017)</t>
  </si>
  <si>
    <t>naval station treasure island disposal and reuse property implementation local redevelopment authority (ira) city of san francisco san francisco county ca</t>
  </si>
  <si>
    <t>Final(06/27/2003)</t>
  </si>
  <si>
    <t>naval station treasure island disposal and reuse property implementation local redevelopment authority (lra) city of san francisco san francisco county ca</t>
  </si>
  <si>
    <t>Draft(05/10/2002)</t>
  </si>
  <si>
    <t>project671</t>
  </si>
  <si>
    <t>project1057</t>
  </si>
  <si>
    <t>u.s. penitentiary and federal prison camp, lechter county</t>
  </si>
  <si>
    <t>Final(07/31/2015);Draft(02/13/2015)</t>
  </si>
  <si>
    <t>u.s. penitentiary and federal prison camp letcher county</t>
  </si>
  <si>
    <t>Final(04/01/2016);Draft(02/13/2015)</t>
  </si>
  <si>
    <t>proposed u.s. penitentiary and federal prison camp, letcher county, ky</t>
  </si>
  <si>
    <t>Final Supplement(09/29/2017)</t>
  </si>
  <si>
    <t>leavenworth federal correctional institution and federal prison camp</t>
  </si>
  <si>
    <t>leavenworth federal correctional institution and federal prison camp construction and operation ks</t>
  </si>
  <si>
    <t>pollock us penitentiary and federal prison camp (fpc) construction and operation and site selection of a former world war ii military installation grant parish la</t>
  </si>
  <si>
    <t>Final(10/13/1995);Draft(05/05/1995)</t>
  </si>
  <si>
    <t>project118</t>
  </si>
  <si>
    <t>Draft(06/10/2011);Final(08/24/2012)</t>
  </si>
  <si>
    <t>ski resort peak 6 project to better accommodate existing daily visitation levels dillon ranger district white river national forest summit county co</t>
  </si>
  <si>
    <t>Draft(06/10/2011)</t>
  </si>
  <si>
    <t>project1149</t>
  </si>
  <si>
    <t>wisconsin highway project mobility motorized and nonmotorized travel enhancements updated information on new alternatives and evaluates a staged improvement us18/151 (verona road) and the us 12/14 (beltine) corridors dane county wi</t>
  </si>
  <si>
    <t>Final(07/08/2011);Draft(04/02/2004)</t>
  </si>
  <si>
    <t>Draft Supplement(09/03/2010);Final(07/08/2011)</t>
  </si>
  <si>
    <t>wisconsin highway project mobility motorized and nonmotorized travel enhancements us18/151 (verona road) and the us 12/14 (beltine) corridors dane county wi</t>
  </si>
  <si>
    <t>DF(04/02/2004)</t>
  </si>
  <si>
    <t>us 12 highway improvement updated information sauk city to middleton funding and coe section 4o4 permits issuance sauk and dane counties wi</t>
  </si>
  <si>
    <t>Draft Supplement(11/08/1996)</t>
  </si>
  <si>
    <t>project907</t>
  </si>
  <si>
    <t>santa margarita river conjunctive use project</t>
  </si>
  <si>
    <t>Final(10/14/2016);Draft(05/09/2014)</t>
  </si>
  <si>
    <t>Draft(05/09/2014);Final(10/14/2016)</t>
  </si>
  <si>
    <t>santa margarita river flood control project (milcon p-010) and basilone road bridge replacement project (milcon p-030) construction and operation coe section 404 permit camp pendleton ca</t>
  </si>
  <si>
    <t>Draft(07/18/1997);Final(12/19/1997)</t>
  </si>
  <si>
    <t>sewage effluent compliance project updated and additional information implementation lower santa margarita basin marine corps base camp pendleton san diego county ca</t>
  </si>
  <si>
    <t>Final Supplement(12/24/1998);Draft Supplement(09/11/1998)</t>
  </si>
  <si>
    <t>santa ana river wash land use plan amendment and land exchange project proposes to exchange land located within upper santa ana river wash for district-owned lands in san bernardino county ca</t>
  </si>
  <si>
    <t>Draft(07/24/2009)</t>
  </si>
  <si>
    <t>project588</t>
  </si>
  <si>
    <t>luce bayou interbasin transfer project</t>
  </si>
  <si>
    <t>Final(10/04/2013);Draft(10/26/2012)</t>
  </si>
  <si>
    <t>luce bayou interbasin transfer project harris and liberty counties tx</t>
  </si>
  <si>
    <t>the great lakes and mississippi river interbasin study - brandon road</t>
  </si>
  <si>
    <t>Draft(08/18/2017)</t>
  </si>
  <si>
    <t>the great lakes and mississippi river interbasin study - brandon road integrated feasiblity study and environmental impact statement - will county, illinois</t>
  </si>
  <si>
    <t>Final(11/23/2018)</t>
  </si>
  <si>
    <t>project72</t>
  </si>
  <si>
    <t>baltimore and potomac tunnel</t>
  </si>
  <si>
    <t>Final(11/25/2016);Draft(12/18/2015)</t>
  </si>
  <si>
    <t>virginia avenue tunnel reconstruction</t>
  </si>
  <si>
    <t>Final(06/13/2014);Draft(07/12/2013)</t>
  </si>
  <si>
    <t>project615</t>
  </si>
  <si>
    <t xml:space="preserve">mid-columbia coho restoration program </t>
  </si>
  <si>
    <t>Final(03/09/2012);Draft(06/24/2011)</t>
  </si>
  <si>
    <t>mid-columbia coho restoration program proposal to fund the construction operation and maintenance of the program to help mitigate for anadromous fish okanogan county wa</t>
  </si>
  <si>
    <t>mid-columbia coho restoration program. proposes to fund the construction operationand maintenance of the program to help mitigate for anadromous fish okanogan counties wa</t>
  </si>
  <si>
    <t>Draft(06/24/2011)</t>
  </si>
  <si>
    <t>project723</t>
  </si>
  <si>
    <t>ochoco summit trail system</t>
  </si>
  <si>
    <t>Final(03/28/2014);Draft(02/08/2013)</t>
  </si>
  <si>
    <t>Final(03/28/2014);Final Supplement(04/28/2017)</t>
  </si>
  <si>
    <t>ochoco summit trail system project ochoco national forest wheeler and crook counties or</t>
  </si>
  <si>
    <t>trail system and off-highway vehicle management and development implementation ochoco national forest and crooked river national grassland crook grant jefferson harney and wheeler counties or</t>
  </si>
  <si>
    <t>Draft(09/01/1995);Final(08/16/1996)</t>
  </si>
  <si>
    <t>sequoia national forest trail system plan implementation amendment to the sequoia national forest land and resource management plan fresno kern and tulare counties ca</t>
  </si>
  <si>
    <t>Final(01/08/1999);Draft(10/06/1995)</t>
  </si>
  <si>
    <t>project464</t>
  </si>
  <si>
    <t>i-94 east-west corridor (70th st - 16th st) milwaukee county wi (project id 1060-27-00)</t>
  </si>
  <si>
    <t>Final(02/12/2016);Draft(11/14/2014)</t>
  </si>
  <si>
    <t>zoo interchange corridor study interstate i-94 i-894 and u.s. highway 45 (zoo interchange) 124th street to 70th street lincoln avenue to burleigh street milwaukee county wi</t>
  </si>
  <si>
    <t>Final(10/14/2011)</t>
  </si>
  <si>
    <t>zoo interchange corridor study new and updated information interstate i-94 i-894 and u.s. highway 45 from 124th street to 70th street lincoln avenue to burleigh street milwaukee county wi</t>
  </si>
  <si>
    <t>Draft Supplement(02/18/2011)</t>
  </si>
  <si>
    <t>zoo interchange corridor study reconstruction to i0-94 from 70th street to 124 street and on us 45 from burleigh street to i-894/us 45 and lincoln avenue in milwaukee county wi</t>
  </si>
  <si>
    <t>milwaukee east-west corridor transportation improvements major investment study ih-43 and hampton avenue to downtown milwaukee and along ih-94 to wi-16 funding us coast guard and coe section 404 p)ermits milwaukee and waukesha counties wi</t>
  </si>
  <si>
    <t>Draft(11/08/1996)</t>
  </si>
  <si>
    <t>project1080</t>
  </si>
  <si>
    <t>us 301 (sr 200) from cr 227 to cr 233</t>
  </si>
  <si>
    <t>Draft(12/07/2012);Final(09/27/2013)</t>
  </si>
  <si>
    <t>u.s. 301 (state road 200) cr 227 to cr 233 improvements bradford county fl</t>
  </si>
  <si>
    <t>us 231 new construction project cr-200 n to cr 1150 s funding right-of-way permit and coe section 404 permit spencer and dubois counties in</t>
  </si>
  <si>
    <t>Final(12/17/1999)</t>
  </si>
  <si>
    <t>us 301 project development transportation improvements from md state line to de-1 south of the chesapeake and delaware canal new castle county de</t>
  </si>
  <si>
    <t>Draft(11/17/2006);Final(12/14/2007)</t>
  </si>
  <si>
    <t>DE nan</t>
  </si>
  <si>
    <t>project301</t>
  </si>
  <si>
    <t>Draft(10/21/2011);Final(06/22/2012)</t>
  </si>
  <si>
    <t>fagatele bay national marine sanctuary management plan implementation along the southwestern coast of tutuila island as</t>
  </si>
  <si>
    <t>project199</t>
  </si>
  <si>
    <t>slapjack project protect rural communities from fire hazards by constructing defensible fuel profile zones (dfpzs) feather river ranger district plumas national forest butte and yuba counties ca</t>
  </si>
  <si>
    <t>Draft(02/24/2006);Final(09/29/2006)</t>
  </si>
  <si>
    <t>mineral forest recovery project proposes to construct defensible fuel profile zones (dfpzs) lassen national forest almanor ranger district tehama county ca</t>
  </si>
  <si>
    <t>Draft(08/03/2001)</t>
  </si>
  <si>
    <t>sugarberry project proposes to protect rural communities from fire hazards by constructing fuel breaks known as defensible fuel profile zones (dfpzs) feather river ranger district plumas national forest plumas sierra yuba counties ca</t>
  </si>
  <si>
    <t>Draft(06/15/2007);Final(11/07/2008)</t>
  </si>
  <si>
    <t>creeks forest health recovery project to develop a network of defensible fuel profile zones (dfpzs) group-selection timber harvest individual tree selection lassen national forest almanor ranger district plumas county ca</t>
  </si>
  <si>
    <t>Draft(05/27/2005)</t>
  </si>
  <si>
    <t>project929</t>
  </si>
  <si>
    <t>sierra vista specific plan (spk-2006-01050)</t>
  </si>
  <si>
    <t>Draft(07/20/2012);Final(06/07/2013)</t>
  </si>
  <si>
    <t>vista grande drainage basin improvement project</t>
  </si>
  <si>
    <t>Draft(04/29/2016)</t>
  </si>
  <si>
    <t>project809</t>
  </si>
  <si>
    <t>programmatic - louisiana coastal area (lca) beneficial use of dredged material (budmat) program study to establish the structure and management architecture of the budmat program implementation ms tx and la</t>
  </si>
  <si>
    <t>Final(01/22/2010);Draft(11/20/2009)</t>
  </si>
  <si>
    <t>USA USACE</t>
  </si>
  <si>
    <t>programmatic - louisiana coastal area (lca) ecosystem restoration study implementation tentatively selected plan mississippi river la</t>
  </si>
  <si>
    <t>Final(11/05/2004)</t>
  </si>
  <si>
    <t>programmatic - louisiana coastal area (lca) ecosystem restoration study implementation tentatively selected plan (tsp) la</t>
  </si>
  <si>
    <t>Draft(07/09/2004)</t>
  </si>
  <si>
    <t>louisiana coastal area (lca) - louisiana terrebonne basin barrier shoreline restoration feasibility study implementation. terrebonne parish la</t>
  </si>
  <si>
    <t>Draft Supplement(06/11/2010);Final(10/08/2010)</t>
  </si>
  <si>
    <t>project554</t>
  </si>
  <si>
    <t>lewistown greater sage-grouse land use plan amendment</t>
  </si>
  <si>
    <t>Final(05/29/2015);Draft(11/08/2013)</t>
  </si>
  <si>
    <t>lewistown greater sage-grouse proposed land use plan amendment and final environmental impact statement</t>
  </si>
  <si>
    <t>lewistown field office greater sage-grouse draft resource management plan amendment</t>
  </si>
  <si>
    <t>project833</t>
  </si>
  <si>
    <t>proposed new bridge across the manatee river mile 15.0 at parrish</t>
  </si>
  <si>
    <t>wa-34 columbia river crossing building a new bridge across the columbia river between hood river hood river or and white salmon wa</t>
  </si>
  <si>
    <t>Draft(01/02/2004)</t>
  </si>
  <si>
    <t>putnam street bridge replacement across the muskingum river construction and funding marietta washington county oh</t>
  </si>
  <si>
    <t>Final(09/20/1996);Draft(02/16/1996)</t>
  </si>
  <si>
    <t>manatee county hore protection project beach protection extension and groins construction manatee county fl</t>
  </si>
  <si>
    <t>Second Draft Supplemental(08/10/1990)</t>
  </si>
  <si>
    <t>project1069</t>
  </si>
  <si>
    <t>upper beaver creek vegetation management project proposes to implement multiple resource management actions pauline ranger district ochoco national forest crook county or</t>
  </si>
  <si>
    <t>Draft(09/04/2009);Final(03/12/2010)</t>
  </si>
  <si>
    <t>dean project area proposes to implement multiple resource management actions black hills national forest bearlodge ranger district sundance crook county wy</t>
  </si>
  <si>
    <t>Final(06/03/2005)</t>
  </si>
  <si>
    <t>dean project area proposes to implement multiple resource management actions black hills national forest bearlead ranger district sundance crook county wa</t>
  </si>
  <si>
    <t>Draft(03/11/2005)</t>
  </si>
  <si>
    <t>project530</t>
  </si>
  <si>
    <t>kirkwood meadows power line reliability project proposal to construct and operate 34.5 kilovolt (kv) power line eldorado national forest amador eldorado and alpine counties ca</t>
  </si>
  <si>
    <t>Draft(04/01/2011);Final(04/20/2012)</t>
  </si>
  <si>
    <t>kirkwood mountain resort proposed 2003 mountain master development plan implementation eldorado national forest amador alpine and el dorado counties ca</t>
  </si>
  <si>
    <t>Final(11/16/2007);Draft(01/20/2006)</t>
  </si>
  <si>
    <t>eldorado national forest land and resource management plan amador alpine eldorado and placer counties ca</t>
  </si>
  <si>
    <t>Final(01/19/1989)</t>
  </si>
  <si>
    <t>withdrawn - eldorado national forest highway 88 future recreation use plan alpine amador and eldorado counties ca</t>
  </si>
  <si>
    <t>Draft(04/24/1987)</t>
  </si>
  <si>
    <t>1992 cleveland watershed/fire recovery project eldorado national forest south fork american river eldorado alpine and amador counties ca</t>
  </si>
  <si>
    <t>Final(06/18/1993);Draft(02/05/1993)</t>
  </si>
  <si>
    <t>project48</t>
  </si>
  <si>
    <t>ap loblolly pine removal and restoration project</t>
  </si>
  <si>
    <t>Final(05/31/2013);Draft(12/31/2012)</t>
  </si>
  <si>
    <t>ap loblolly pine removal and restoration project andrew pickens ranger district sumter national forest oconee county sc</t>
  </si>
  <si>
    <t>forest health and restoration project proposal to determine the desired future conditions of all existing loblolly pine stands national forests in alabama bankhead national forest winston lawrence and franklin counties al</t>
  </si>
  <si>
    <t>Final(10/31/2003)</t>
  </si>
  <si>
    <t>removal and disposal of sediment and restoration of water storage at john redmond reservoir</t>
  </si>
  <si>
    <t>project284</t>
  </si>
  <si>
    <t>energia sierra juarez u.s. transmission line project</t>
  </si>
  <si>
    <t>Final(06/08/2012);Draft(09/17/2010)</t>
  </si>
  <si>
    <t>energia sierra juarez u.s. transmission line project construction operation maintenance and connection of either 230-kilovolt or a 500-kilovolt electric transmission line crossing u.s.- mexico border presidential permit approval san diego county ca</t>
  </si>
  <si>
    <t>Draft(09/17/2010);Final(06/08/2012)</t>
  </si>
  <si>
    <t>east county substation/tule wind/energia sierra juarez gen-tie projects construction and operation right-of-way grants san diego county ca</t>
  </si>
  <si>
    <t>Final(10/14/2011);Draft(12/23/2010)</t>
  </si>
  <si>
    <t>project941</t>
  </si>
  <si>
    <t>snowmass multi-season recreation projects</t>
  </si>
  <si>
    <t>Draft(11/25/2016);Final(03/24/2017)</t>
  </si>
  <si>
    <t>snowmass ski area upgrading and expansion development plan special use permit and coe section 404 permit white river national forest aspen ranger district pitkin county co</t>
  </si>
  <si>
    <t>Final(03/18/1994);Draft(05/14/1993)</t>
  </si>
  <si>
    <t>conundrum marble quarry reopening implementation maroon bells-snowmass wilderness area section 404 permit pitkin county co</t>
  </si>
  <si>
    <t>Draft(04/05/1991)</t>
  </si>
  <si>
    <t>project665</t>
  </si>
  <si>
    <t>national mall plan to prepare a long-term plan that will restore national mall implementation washington dc</t>
  </si>
  <si>
    <t>Final(07/16/2010);Draft(12/18/2009)</t>
  </si>
  <si>
    <t>logan northern canal reconstruction project to construct a system that will safely restore delivery of water city of logon cache county ut</t>
  </si>
  <si>
    <t>Draft(03/18/2011);Final(09/02/2011)</t>
  </si>
  <si>
    <t>project535</t>
  </si>
  <si>
    <t>kremmling resource management plan</t>
  </si>
  <si>
    <t>Final(03/21/2014);Draft(09/16/2011)</t>
  </si>
  <si>
    <t>kremmling proposed resource management plan</t>
  </si>
  <si>
    <t>kremmling resource management plan to provide a framework of multiple-use and sustained yield management in north-central co</t>
  </si>
  <si>
    <t>colorado oil and gas leasing and development plan glenwood springs kremmling and little snake resource areas and northeast and san juan/san miguel planning areas resource management plans amendment approval co</t>
  </si>
  <si>
    <t>Draft(05/18/1990);Final(02/08/1991)</t>
  </si>
  <si>
    <t>rock creek reservoir routt national forest or muddy creek reservoir kremmling resource area construction special use and 404 permits routt and grand counties co the department of agriculture/forest service and the department of the interior/bureau o</t>
  </si>
  <si>
    <t>Draft Supplement(08/19/1988);Draft(09/04/1987);Final(03/02/1990)</t>
  </si>
  <si>
    <t>project1072</t>
  </si>
  <si>
    <t>Final(05/12/2017);Draft(11/04/2016)</t>
  </si>
  <si>
    <t>east deer lodge valley landscape restoration management</t>
  </si>
  <si>
    <t>Final(02/27/2015)</t>
  </si>
  <si>
    <t>project1063</t>
  </si>
  <si>
    <t>united states air force f-35a operational basing</t>
  </si>
  <si>
    <t>Draft(04/13/2012);Final(10/04/2013)</t>
  </si>
  <si>
    <t>united states air force f-35a operational beddown - pacific</t>
  </si>
  <si>
    <t>f-35a operational basing beddown and operation of f-35a aircraft for the combat air forces at one or more locations throughout the contiguous u.s. from 2015 through 2020</t>
  </si>
  <si>
    <t>project540</t>
  </si>
  <si>
    <t>Draft(03/29/2013);Final(10/03/2014)</t>
  </si>
  <si>
    <t>lake meredith national recreation area and alibates flint quarries national monument draft general management plan</t>
  </si>
  <si>
    <t>lake meredith national recreation area and alibates flint quarries national monument oil and gas management plan hutchinson moore and potter counties tx</t>
  </si>
  <si>
    <t>Draft(06/15/2001);Final(08/09/2002)</t>
  </si>
  <si>
    <t>project655</t>
  </si>
  <si>
    <t>trapper bunk house land stewardship project reduce risk from stand-replacing and uncontrollable fires improve resiliency and provide forest products fuel reduction research and watershed improvement bitterroot national forest darby ranger district ravalli county mt</t>
  </si>
  <si>
    <t>Draft(04/20/2007);Final(04/25/2008)</t>
  </si>
  <si>
    <t>project444</t>
  </si>
  <si>
    <t>herring river restoration project</t>
  </si>
  <si>
    <t>Final(07/15/2016);Draft(10/12/2012)</t>
  </si>
  <si>
    <t>herring river restoration project in and adjacent to cape cod national seashore towns of wellfleet and truro ma</t>
  </si>
  <si>
    <t>project804</t>
  </si>
  <si>
    <t>programmatic - growth realignment and stationing of army aviation assets evaluates environmental impacts of stationing army combat aviation brigade at fort carson co and joint base lewis-mcchord wa</t>
  </si>
  <si>
    <t>Draft(11/05/2010);Final(02/04/2011)</t>
  </si>
  <si>
    <t>CO nan</t>
  </si>
  <si>
    <t>fort lewis army growth and force structures realignment implementation fort lewis and yakima training center kittitas pierce thurston and yakima counties wa</t>
  </si>
  <si>
    <t>Final(08/27/2010);Draft(09/11/2009)</t>
  </si>
  <si>
    <t>fort lewis and yakima training center stationing of mechanized or armored combat forces coe section 10 and 404 permits pierce thurston yakima and kittitas counties wa</t>
  </si>
  <si>
    <t>Final(02/18/1994);Draft(11/05/1993)</t>
  </si>
  <si>
    <t>fort carson transformation program implementation base realignment and closure activities fort carson el paso pueblo and fremont counties co</t>
  </si>
  <si>
    <t>project616</t>
  </si>
  <si>
    <t>middle bald mountain area communication site</t>
  </si>
  <si>
    <t>Draft(07/11/2014);Final(03/06/2015)</t>
  </si>
  <si>
    <t>crystal mountain or sumner mountain communication site designation/nondesignation new and additional information tongass national forest stikine area ak</t>
  </si>
  <si>
    <t>Final(08/16/1991)</t>
  </si>
  <si>
    <t>project967</t>
  </si>
  <si>
    <t>southwest jemez mountains landscape restoration project</t>
  </si>
  <si>
    <t>Final(08/28/2015);Draft(02/28/2014)</t>
  </si>
  <si>
    <t>project442</t>
  </si>
  <si>
    <t>hercules intermodal transit center construction to improve access to public transit funding usace section 404 permit contra costa county ca</t>
  </si>
  <si>
    <t>Final(04/27/2012);Draft(09/17/2010)</t>
  </si>
  <si>
    <t>hercules intermodal transit center construction to improve access to public transit funding contra costa county ca</t>
  </si>
  <si>
    <t>Draft(09/17/2010)</t>
  </si>
  <si>
    <t>ca-4 'gap' closure project improvements between i-80 and cunninings skyway funding npdes permit and coe section 404 permit city of hercules contra costa county ca</t>
  </si>
  <si>
    <t>Final(10/16/1998);Draft(06/20/1997)</t>
  </si>
  <si>
    <t>contra loma reservoir project future use and operation of contra costa water district coe section 404 permit contra costa county ca</t>
  </si>
  <si>
    <t>Draft(01/29/1999);Final(10/01/1999)</t>
  </si>
  <si>
    <t>64 - acre tract intermodal transit center construction and operation lake tahoe basin management unit tahoe city placer county ca</t>
  </si>
  <si>
    <t>Final(10/20/2000);Draft(05/26/2000)</t>
  </si>
  <si>
    <t>project560</t>
  </si>
  <si>
    <t>littlerock reservoir sediment removal project</t>
  </si>
  <si>
    <t>Draft(05/06/2016);Final(05/19/2017)</t>
  </si>
  <si>
    <t>littlerock dam and reservoir restoration project implementation and special use permit section 404 permit los angeles national forest valyermo ranger los angeles county ca</t>
  </si>
  <si>
    <t>Final(12/24/1992);Draft(07/05/1991)</t>
  </si>
  <si>
    <t>project769</t>
  </si>
  <si>
    <t>pocatello resource management plan to provide direction for managing public lands in the idaho falls districts pocatello field office (pfo) implementation several counties id</t>
  </si>
  <si>
    <t>Final(05/07/2010);Draft(01/05/2007)</t>
  </si>
  <si>
    <t>`</t>
  </si>
  <si>
    <t>dillon resource management plan provide direction for managing public lands within the dillion field office implementation beaverheard and madison counties mt</t>
  </si>
  <si>
    <t>Final(04/29/2005)</t>
  </si>
  <si>
    <t>project110</t>
  </si>
  <si>
    <t>boardman to hemingway transmission line project</t>
  </si>
  <si>
    <t>Final(11/25/2016);Draft(12/19/2014)</t>
  </si>
  <si>
    <t>land use plan amendments for the boardman to hemingway transmission line project</t>
  </si>
  <si>
    <t>adoption - proposed land use plan amendment for the boardman to hemingway transmission line project</t>
  </si>
  <si>
    <t>project137</t>
  </si>
  <si>
    <t>california high-speed rail system, merced to fresno section</t>
  </si>
  <si>
    <t>Draft(08/12/2011);Final(04/27/2012)</t>
  </si>
  <si>
    <t>california high-speed train (hst): merced to fresno section high-speed train propose to construct operate and maintain an electric-powered high-speed train (hst) merced madera and fresno counties ca</t>
  </si>
  <si>
    <t>project37</t>
  </si>
  <si>
    <t>Draft(12/07/2012);Final(04/26/2013)</t>
  </si>
  <si>
    <t>project70</t>
  </si>
  <si>
    <t>Draft(08/14/2015);Final(06/24/2016)</t>
  </si>
  <si>
    <t>bald mountain mine north operations area project proposes to expand current mining operations at several existing pits rock disposal areas heap leach pads processing facilities and interpit area combining the bald mountain mine plan of operations boundary and the mooney basin operation area boundary white pine county nv</t>
  </si>
  <si>
    <t>Final(11/13/2009);Draft(12/19/2008)</t>
  </si>
  <si>
    <t>bald mountain gold mine expansion project within the horseshoe/galaxy mine plan of operation approval and coe section 404 permit white pine and elko counties nv</t>
  </si>
  <si>
    <t>Draft(04/28/1995);Final(09/29/1995)</t>
  </si>
  <si>
    <t>project69</t>
  </si>
  <si>
    <t>bakersfield resource management plan madera san luis obispo santa barbara ventura kings tulare fresno and kern counties ca</t>
  </si>
  <si>
    <t>Final(08/31/2012);Draft(09/09/2011)</t>
  </si>
  <si>
    <t>bakersfield proposed resource management plan madera san luis obispo santa barbara ventura kings tulare fresno and kern counties ca</t>
  </si>
  <si>
    <t>bakersfield resource management plan to analyze alternatives for the planning and management of public lands and resources administered by the blm madera san luis obispo santa barbara ventura kings tulare eastern fresno and western kern counties ca</t>
  </si>
  <si>
    <t>caliente land and resource management plan implementation kern tulare king san luis obispo santa barbara and ventura counties ca</t>
  </si>
  <si>
    <t>Final(03/21/1997);Draft(07/01/1994)</t>
  </si>
  <si>
    <t>los padres national forest oil and gas leasing management implementation kern los angeles monterey santa barbara and san luis obispo counties ca</t>
  </si>
  <si>
    <t>Draft(12/31/2001);Final(09/23/2005)</t>
  </si>
  <si>
    <t>project821</t>
  </si>
  <si>
    <t>programmatic - ohio river mainstem system study system investment plan (sip) for maintaining safe environmentally sustainable and reliable navigation on the ohio river il in oh ky pa and wv</t>
  </si>
  <si>
    <t>Draft(05/26/2006);Final(02/25/2011)</t>
  </si>
  <si>
    <t>programmatic - ohio river mainstem system study system investment plan (sip) for maintaining safe environmentally sustainable and reliable navigation in ohio river il in oh ky pa and wv</t>
  </si>
  <si>
    <t>Draft(05/19/2006)</t>
  </si>
  <si>
    <t>COE</t>
  </si>
  <si>
    <t>john t. myers and greenup locks improvements to alleviate commerical navigation traffic congestion ohio river mainstem system study (ormss) interim feasibility report in ky and oh</t>
  </si>
  <si>
    <t>Draft(01/14/2000)</t>
  </si>
  <si>
    <t>project106</t>
  </si>
  <si>
    <t>blackfoot bridge mine project developing three mine pits haul roads water management structures and overburden disposal areas implementation caribou county id</t>
  </si>
  <si>
    <t>Draft(08/17/2009);Final(03/11/2011)</t>
  </si>
  <si>
    <t>WA ID</t>
  </si>
  <si>
    <t>indian creek mine expansion proposed mine expansion would include quarry areas mine facilities ore storage sites soil salvage stockpiles haul roads and overburden disposal areas issuing operating permit #00105 and plan of operation #mtm78300 broadwater county mt</t>
  </si>
  <si>
    <t>Final(05/28/2010);Draft(01/02/2009)</t>
  </si>
  <si>
    <t>olinghouse mine project construction of two open pits waste dump haul road and cyanide heap leach pads plan-of-operation approval carson city washoe county nv</t>
  </si>
  <si>
    <t>Draft(09/12/1997);Final(02/20/1998)</t>
  </si>
  <si>
    <t>swan flat timber sale proposal to cut and haul sawtimber caribou national forest land resource management plan (lrmp) montipelier ranger district bear lake county id</t>
  </si>
  <si>
    <t>project43</t>
  </si>
  <si>
    <t>analyze impacts of noaa's national marine fisheries service proposed 4(d) determination under limit 6 for five early winter steelhead hatchery programs in puget sound</t>
  </si>
  <si>
    <t>Draft(11/13/2015);Final(03/11/2016)</t>
  </si>
  <si>
    <t>puget sound nearshore ecosystem restoration</t>
  </si>
  <si>
    <t>project180</t>
  </si>
  <si>
    <t>Draft(04/19/2013);Final(09/25/2015)</t>
  </si>
  <si>
    <t>middle creek flood damage reduction and ecosystem restoration project implementation clear lake lake county ca</t>
  </si>
  <si>
    <t>Draft(04/05/2002)</t>
  </si>
  <si>
    <t>project170</t>
  </si>
  <si>
    <t>chicken creek gypsum mine proposed plan of operations to conduct mining operations san pitch mountains sanpete ranger district manti-la sal national forest juab county ut</t>
  </si>
  <si>
    <t>Final(11/09/2012);Draft(12/30/2011)</t>
  </si>
  <si>
    <t>narrows multi-purpose water development project construction and operation funding gooseberry creek manti-la sal national forest sanpete county ut</t>
  </si>
  <si>
    <t>Final(02/03/1995);Draft(02/25/1994)</t>
  </si>
  <si>
    <t>manti-la sal national forest oil and gas leasing implementation sanpete utah juab sevier emery carbon grand and san juan counties ut and montrose and mesa counties co published fr 01-22-93 - title correction.</t>
  </si>
  <si>
    <t>Second Final(01/22/1993)</t>
  </si>
  <si>
    <t>monticello and blanding municipal watershed improvement projects implementation manti-la sal national forest monticello ranger district san juan county ut</t>
  </si>
  <si>
    <t>Final(06/17/2005);Draft(03/28/2003)</t>
  </si>
  <si>
    <t>project919</t>
  </si>
  <si>
    <t>shadura natural gas development project within kenai national wildlife refuge</t>
  </si>
  <si>
    <t>Draft(12/21/2012);Final(05/24/2013)</t>
  </si>
  <si>
    <t>Final(05/24/2013)</t>
  </si>
  <si>
    <t>shadura national gas development project kenai national wildlife refuge and kenai peninsula borough ak</t>
  </si>
  <si>
    <t>wolf lake area natural gas project construction approval for right-of-way grant kenai national wildlife refuge soldotna ak</t>
  </si>
  <si>
    <t>Final(04/21/2000)</t>
  </si>
  <si>
    <t>project892</t>
  </si>
  <si>
    <t>russell street/south 3rd street reconstruction project to address current and projected safety and operational needs funding and us army coe section 404 permit city of missoula missoula county mt</t>
  </si>
  <si>
    <t>Final(08/19/2011);Draft(08/29/2008)</t>
  </si>
  <si>
    <t>md-3 transportation corridor study address existing and projected operational and safety issues along md-3 from north of us-50 to south of md-32 funding npdes permit and us army coe section 404 permit anne arundel and prince george counties</t>
  </si>
  <si>
    <t>Final(04/22/2011);Draft(04/23/2004)</t>
  </si>
  <si>
    <t>bangerter 600 west project proposed improvements to address projected transportation demand and safety salt lake county ut</t>
  </si>
  <si>
    <t>Final(11/18/2011)</t>
  </si>
  <si>
    <t>bangerter 600 west project proposes improvements to address projected transportation demand and safety salt lake county ut</t>
  </si>
  <si>
    <t>jackson county lake project implementation to provide adequate water supplies for the projected residential commercial and industrial needs funding and possible coe section 404 and 10 permits jackson county ky</t>
  </si>
  <si>
    <t>Final(06/08/2001)</t>
  </si>
  <si>
    <t>project1054</t>
  </si>
  <si>
    <t>twin ghost project, vegetation and transportation management activities, chequamegon-nicolet national forest</t>
  </si>
  <si>
    <t>Draft(11/27/2009);Final(11/12/2010)</t>
  </si>
  <si>
    <t>twin ghost project proposes to implement vegetation and transportation management activities great divide ranger district chequamegon-nicolet national forest ashland bayfield sawyer counties wi</t>
  </si>
  <si>
    <t>long rail vegetation and transportation management project implementation eagle river-florence ranger district chequamegon-nicolet national forest florence and forest counties wi</t>
  </si>
  <si>
    <t>Draft(05/19/2006);Final(12/29/2006)</t>
  </si>
  <si>
    <t>park falls hardwoods vegetation and transportation management activities implementation chequamegon-nicolet national forest medford-park falls ranger district price county wi</t>
  </si>
  <si>
    <t>Final(09/28/2012);Draft(03/23/2012)</t>
  </si>
  <si>
    <t>fishel vegetation and transportation management project to implement land management activities eagle river-florence ranger district chequamegon-nicolet national forest forest and vilas counties wi</t>
  </si>
  <si>
    <t>medford aspen project to implement a number of vegetation and transportation management activities medford-park falls ranger district chequamegon-nicolet national forest taylor county wi</t>
  </si>
  <si>
    <t>project27</t>
  </si>
  <si>
    <t>amendment 14 to the atlantic mackerel, squid, and butterfish plan</t>
  </si>
  <si>
    <t>Draft(04/20/2012);Final(08/16/2013)</t>
  </si>
  <si>
    <t>amendment 10 atlantic mackerel squid butterfish fishery management plan development of a rebuilding program that allows butterfish stock to rebuild in the shortest time possible exclusive economic zone (eez) off the u.s. atlantic coast (</t>
  </si>
  <si>
    <t>Second Final Supplemental(07/02/2009)</t>
  </si>
  <si>
    <t>project235</t>
  </si>
  <si>
    <t>Final(06/29/2012);Draft(07/29/2011)</t>
  </si>
  <si>
    <t>denali national park and preserve mining operations management plan implementation ak</t>
  </si>
  <si>
    <t>project549</t>
  </si>
  <si>
    <t>leach xpress and rayne xpress expansion projects</t>
  </si>
  <si>
    <t>Draft(04/29/2016);Final(09/09/2016)</t>
  </si>
  <si>
    <t>cyprus miami mining leach facility expansion project construction and operation plan of operations approval and coe section 404 permit gila county az</t>
  </si>
  <si>
    <t>Final(06/26/1998)</t>
  </si>
  <si>
    <t>project680</t>
  </si>
  <si>
    <t>new england clean power link project</t>
  </si>
  <si>
    <t>Final(11/06/2015);Draft(06/12/2015)</t>
  </si>
  <si>
    <t>gilberton coal-to-clean fuels and power project construction and operation a new demonstration plant preferred alternative selected schuylkill county pa</t>
  </si>
  <si>
    <t>Final(11/02/2007)</t>
  </si>
  <si>
    <t>project392</t>
  </si>
  <si>
    <t>greater natural buttes area gas development project development of additional well pads and associated infrastructure application approvals uintah county ut</t>
  </si>
  <si>
    <t>Final(04/06/2012);Draft(07/16/2010)</t>
  </si>
  <si>
    <t>greater natural buttes area gas development project proposes to develop oil and gas resources within the 162-911-acre uintah county ut</t>
  </si>
  <si>
    <t>greater natural buttes area gas development project new information on national ambient air quality standards and new monitoring data proposes to develop oil and gas resources within the 162-911-acre uintah county ut</t>
  </si>
  <si>
    <t>Draft Supplement(06/10/2011)</t>
  </si>
  <si>
    <t>greater wamsutter area ii natural gas development project approvals and permits issuance carbon and sweetwater counties wy</t>
  </si>
  <si>
    <t>Final(08/04/1995);Draft(01/27/1995)</t>
  </si>
  <si>
    <t>chapita wells-stagecoach area natural gas development drilling and production operations of natural gas wells and associated access road and pipelines uintah county ut</t>
  </si>
  <si>
    <t>Final(01/04/2008);Draft(01/20/2006)</t>
  </si>
  <si>
    <t>project268</t>
  </si>
  <si>
    <t>Final(12/04/2015);Draft(01/17/2014)</t>
  </si>
  <si>
    <t>project612</t>
  </si>
  <si>
    <t>menominee casino-hotel 223-acre fee-to-trust transfer and casino project implementation npdes permit kenosha county wi</t>
  </si>
  <si>
    <t>Final(06/29/2012);Draft(09/23/2005)</t>
  </si>
  <si>
    <t>menominee casino-hotel 223-acre fee-to-trust transfer and casino project implementation federal trust menominee indian tribe of wisconsin (tribe) in city of kenosha and county of kenosha wi</t>
  </si>
  <si>
    <t>Draft(09/23/2005)</t>
  </si>
  <si>
    <t>jamul indian village (tribe ) 101 acre fee-to-trust transfer and casino project implementation san diego county ca</t>
  </si>
  <si>
    <t>Draft(01/17/2003)</t>
  </si>
  <si>
    <t>project1011</t>
  </si>
  <si>
    <t>Draft(10/21/2016);Final(06/23/2017)</t>
  </si>
  <si>
    <t>programmatic - navajo ten-year forest management plan alternatives implementation and funding az and nm</t>
  </si>
  <si>
    <t>Draft(08/20/1999)</t>
  </si>
  <si>
    <t>programmatic - navajo ten year forest management plan alternatives implementation and funding az and nm</t>
  </si>
  <si>
    <t>Final(04/14/2000)</t>
  </si>
  <si>
    <t>project886</t>
  </si>
  <si>
    <t>programmatic - mars exploration rover-2003 (mer-2003) project continuation of the long-term exploration of mars implementation</t>
  </si>
  <si>
    <t>programmatic - mars exploration rover-2003 (mer-2003) project continuing the long-term exploration of mars implementation</t>
  </si>
  <si>
    <t>Final(12/13/2002)</t>
  </si>
  <si>
    <t>idaho panhandle national forests noxious weed management projects implementation bonners ferry ranger district boundary county id</t>
  </si>
  <si>
    <t>Draft(06/30/1995);Final(11/24/1995)</t>
  </si>
  <si>
    <t>project1024</t>
  </si>
  <si>
    <t>timber mountain recreation management plan managing off-highway vehicle (ohv) medford district office jackson county or</t>
  </si>
  <si>
    <t>project807</t>
  </si>
  <si>
    <t>programmatic - i-70 mountain corridor tier 1 project from glenwood springs and c-470 proposes to increase capacity improve accessibility and mobility and decrease congestion colorado garfield eagle summit clear creek and jefferson counties co</t>
  </si>
  <si>
    <t>Final(03/11/2011);Draft(12/10/2004)</t>
  </si>
  <si>
    <t>Final(03/11/2011);Revised Draft(09/10/2010);Draft(12/10/2004)</t>
  </si>
  <si>
    <t>glenwood springs resource area resource management plan and wilderness recommendations implementation and recommendations garfield mesa routt eagle and pitkin counties co</t>
  </si>
  <si>
    <t>Final Supplement(02/05/1999)</t>
  </si>
  <si>
    <t>glenwood springs resource area wilderness recommendations designation or nondesignation eagle mountain hack lake bull gulch and castle peak wsa's garfield eagle and pitkin counties co</t>
  </si>
  <si>
    <t>Second Final(11/27/1987)</t>
  </si>
  <si>
    <t>first tier - future i-70 kansas city metro project proposing to improve i-70 corridor from east of the missouri and kansas state line to east of i-470 interchange downtown central business freeway loop kansas city jackson county mo</t>
  </si>
  <si>
    <t>Draft(03/19/2010);Final(01/14/2011)</t>
  </si>
  <si>
    <t>project788</t>
  </si>
  <si>
    <t>Final(04/16/2010);Draft(05/15/2009)</t>
  </si>
  <si>
    <t>santa cruz island primary restoration plan implementation channel islands national park santa cruz island santa barbara county ca</t>
  </si>
  <si>
    <t>Draft(01/09/2001)</t>
  </si>
  <si>
    <t>santa cruz island primary restoration plan implementation channel island national park santa cruz island santa barbara county ca</t>
  </si>
  <si>
    <t>big lagoon wetland and creek restoration project to restore a functional self-sustaining ecosystem including wetland riparian and aquatic components golden gate national area muir beach marin county ca</t>
  </si>
  <si>
    <t>Draft(12/22/2006);Final(12/21/2007)</t>
  </si>
  <si>
    <t>santa rosa island development concept plan implementation and funding channel islands national park santa barbara county ca</t>
  </si>
  <si>
    <t>Draft(03/18/1994);Final(10/20/1995)</t>
  </si>
  <si>
    <t>project1107</t>
  </si>
  <si>
    <t>Final(06/06/2014);Draft(07/12/2013)</t>
  </si>
  <si>
    <t>central artery/i-93 and third harbor tunnel/i-90 south boston haul road construction dorchester avenue to congress street funding 404 permit and npdes permit city of boston suffolk county ma</t>
  </si>
  <si>
    <t>Second Draft Supplemental(06/16/1989)</t>
  </si>
  <si>
    <t>us 58 and midtown tunnel construction brambleton avenue and hampton boulevard in norfolk to us 58 and va-164/western freeway in portsmouth funding coe section 404 permit and cgd bridge permit elizabeth river va</t>
  </si>
  <si>
    <t>Draft(02/09/1990);Final(12/20/1996)</t>
  </si>
  <si>
    <t>project814</t>
  </si>
  <si>
    <t>programmatic - national flood insurance program</t>
  </si>
  <si>
    <t>Final(11/03/2017);Draft(04/07/2017)</t>
  </si>
  <si>
    <t>harris branch development project mortgage insurance section 404 permit city of austin travis county tx</t>
  </si>
  <si>
    <t>programmatic - mars exploration program implementation</t>
  </si>
  <si>
    <t>Draft(04/23/2004)</t>
  </si>
  <si>
    <t>project1138</t>
  </si>
  <si>
    <t>Final(12/19/2014);Draft(08/31/2012)</t>
  </si>
  <si>
    <t>project25</t>
  </si>
  <si>
    <t>amendment 11 to the fishery management plan for spiny lobster establish trap line marking requirements and closed areas to protect coral species gulf of mexico and south atlantic regions</t>
  </si>
  <si>
    <t>Final Supplement(05/04/2012);Draft Supplement(02/03/2012)</t>
  </si>
  <si>
    <t>project314</t>
  </si>
  <si>
    <t>fisheries of the caribbean, gulf of mexico, and south atlantic; amendment 40 to the fishery management plan for the reef fish resources of the gulf of mexico</t>
  </si>
  <si>
    <t>Final(01/16/2015);Draft(09/05/2014)</t>
  </si>
  <si>
    <t>amendment 29 reef fish fishery management plan effort management in the commercial grouper and tilefish fisheries reducing overcapacity gulf of mexico</t>
  </si>
  <si>
    <t>Draft(07/03/2008);Final(05/08/2009)</t>
  </si>
  <si>
    <t>project1036</t>
  </si>
  <si>
    <t>tooele county midvalley highway project to address traffic congestion on ut-36 and at the i-80/lake point interchange through the year 2030 funding tooele county ut</t>
  </si>
  <si>
    <t>Draft(09/04/2009);Final(01/14/2011)</t>
  </si>
  <si>
    <t>layton interchange project improvements on i-15 (exit-330) to provide unrestricted access across the unicon pacific railroad and to address traffic congestion on gentile st. in west layton layton city ut</t>
  </si>
  <si>
    <t>Draft(04/11/2008);Final(10/10/2008)</t>
  </si>
  <si>
    <t>mountain view corridor (mvc) project proposed transportation improvement 2030 travel demand in western salt lake county south of i-80 and west of bangerter highway and in northwestern utah county of i-15 south of the salt lake county line and north of utah lake salt lake and utah county ut</t>
  </si>
  <si>
    <t>Final(09/26/2008);Draft(10/26/2007)</t>
  </si>
  <si>
    <t>us 275 highway reconstruction on new alignment west of the existing us 275/n-36 intersection to west of the existing us 275/n-64 (west maple road) interchange near waterloo funding douglas county nb</t>
  </si>
  <si>
    <t>Draft Supplement(01/26/1996);Final Supplement(04/04/1997)</t>
  </si>
  <si>
    <t>project920</t>
  </si>
  <si>
    <t>project275</t>
  </si>
  <si>
    <t>northern spotted owl management plan updated information for amendment to the survey and manage protection buffer and other mitigating measures standards and guidelines (to the northwest forest plan) late-successional and old growth forest related species within the range of the northern spotted owl or wa and ca</t>
  </si>
  <si>
    <t>Second Final Supplemental(11/24/2000);Second Draft Supplemental(12/03/1999)</t>
  </si>
  <si>
    <t>project1022</t>
  </si>
  <si>
    <t>Final(03/27/2015);Draft(03/21/2014)</t>
  </si>
  <si>
    <t>project339</t>
  </si>
  <si>
    <t>freeport lng liquefaction project and phase ii modification project</t>
  </si>
  <si>
    <t>Final(06/27/2014);Draft(03/21/2014)</t>
  </si>
  <si>
    <t>Draft(03/21/2014);Final(06/27/2014)</t>
  </si>
  <si>
    <t>adoption - freeport lng liquefaction project and phase ii modification project</t>
  </si>
  <si>
    <t>project342</t>
  </si>
  <si>
    <t>galena project</t>
  </si>
  <si>
    <t>Draft(03/25/2011);Final(09/20/2013)</t>
  </si>
  <si>
    <t>galena resort construction and operation section 404 permit and special use permit toiyabe</t>
  </si>
  <si>
    <t>Draft(03/18/1988);Final(01/26/1990)</t>
  </si>
  <si>
    <t>galena project to implement several resource management activities blue mountain ranger district malheur national forest town of john day grant county or</t>
  </si>
  <si>
    <t>Draft(03/25/2011)</t>
  </si>
  <si>
    <t>koyukuk and the northern unit of innoko national wildlife refuges comprehensive conservation plan wilderness review and wild river plan implementation galena mcgrath ak</t>
  </si>
  <si>
    <t>Final(10/30/1987)</t>
  </si>
  <si>
    <t>us route 20 (fap 301) project construction from il route 84 north of galena to bolton road northwest of freeport funding npdes permit and us army coe section 404 permit issuance jo davies and stephenson counties il</t>
  </si>
  <si>
    <t>us route 20 (fap 301) project construction from illinois route 84 north of galena to bolton road northwest of freeport npdes permit and us army coe section 404 permit jo davies and stephenson counties il</t>
  </si>
  <si>
    <t>Draft(06/06/2003)</t>
  </si>
  <si>
    <t>project658</t>
  </si>
  <si>
    <t>Draft(12/02/2016);Final(07/21/2017)</t>
  </si>
  <si>
    <t>revision of the inyo, sequoia and sierra national forests land management plans</t>
  </si>
  <si>
    <t>Draft(05/27/2016)</t>
  </si>
  <si>
    <t>project473</t>
  </si>
  <si>
    <t>imperial sand dunes recreation area management plan amendment to the california desert conservation area plan imperial county ca</t>
  </si>
  <si>
    <t>Draft(03/26/2010);Final(09/14/2012)</t>
  </si>
  <si>
    <t>project1073</t>
  </si>
  <si>
    <t>project325</t>
  </si>
  <si>
    <t>fort lewis military installation fort lewis and yakima firing center high-technology motorized division conversion 9th infantry division updated information pierce thurston kittitas and yakima counties wa</t>
  </si>
  <si>
    <t>Draft Supplement(08/07/1987)</t>
  </si>
  <si>
    <t>yakima firing center expansion of military training center land acquistion 9th infantry division fort lewis military installation yakima and kittitas counties wa</t>
  </si>
  <si>
    <t>Final(02/01/1991);Draft(06/12/1987)</t>
  </si>
  <si>
    <t>project866</t>
  </si>
  <si>
    <t>Final(09/02/2016);Draft(10/30/2015)</t>
  </si>
  <si>
    <t>effects of oil and gas activities in the arctic ocean</t>
  </si>
  <si>
    <t>Draft Supplement(03/29/2013)</t>
  </si>
  <si>
    <t>project638</t>
  </si>
  <si>
    <t>Draft(08/11/2014);Final(12/12/2014)</t>
  </si>
  <si>
    <t>project1126</t>
  </si>
  <si>
    <t>Draft(08/23/2013);Final(01/02/2015)</t>
  </si>
  <si>
    <t>south river raritan river basin hurricane and storm damage reduction and ecosystem restoration implementation middlesex county nj</t>
  </si>
  <si>
    <t>project490</t>
  </si>
  <si>
    <t>interstate 69 segment of independent utility 15 us 171 to i-20</t>
  </si>
  <si>
    <t>Final(08/23/2013);Draft(06/17/2005)</t>
  </si>
  <si>
    <t>interstate 69 segment of independent utility (siu) #8 new information for a new crossover alternative from tn-385 in millington tn to i-155/us 51 in dyersburg tn funding shelby tipton lauderdale and dyer counties tn</t>
  </si>
  <si>
    <t>Draft Supplement(05/23/2008)</t>
  </si>
  <si>
    <t>interstate 69 segment of independent utility #8 construction from tn-385 (paul barrett parkway) in millington tn to i-155/us51 in dyersburg tn funding shelby tipton lauderdale and dyer counties tn</t>
  </si>
  <si>
    <t>i-69 corridor - section of independent utility (siu) no. 14 construction from junction 1-20 near haughton la to us 82 near el dorado ar bossier claiborne and webster parishes la and columbia and union counties ar</t>
  </si>
  <si>
    <t>Draft(04/08/2005);Final(09/30/2011)</t>
  </si>
  <si>
    <t>LA AR</t>
  </si>
  <si>
    <t>project461</t>
  </si>
  <si>
    <t>i-69 evansville to indianapolis tier 2 section 4 project from us 231 (crane nswc) to in-37 south of bloomington in section 4 greene and monroe counties in</t>
  </si>
  <si>
    <t>i-69 evansville to indianapolis project i-69 tier 2 section 1: evansville to oakland city from 1-64 to in-64 gibson and warrick counties in</t>
  </si>
  <si>
    <t>Draft(12/22/2006)</t>
  </si>
  <si>
    <t>i-69 evansville to indianapolis project i-69 tier 2 section 1: evansville to oakland city from 1-64 to in-64 preferred alternative is 4 gibson and warrick counties in</t>
  </si>
  <si>
    <t>Final(10/26/2007)</t>
  </si>
  <si>
    <t>project840</t>
  </si>
  <si>
    <t>provo westside connector project improvements to interstate 15/university avenue/ 1860 south interchange to 3110 west street in provo ut</t>
  </si>
  <si>
    <t>Draft(06/11/2010);Final(10/28/2011)</t>
  </si>
  <si>
    <t>Final(10/28/2011)</t>
  </si>
  <si>
    <t>provo westside connector project improvements to interstate 15/university avence/ 1860 south interchange to 3110 west street in provo ut</t>
  </si>
  <si>
    <t>i-15 corridor highway improvements 10800 south street to 500 north street funding salt lake county ut</t>
  </si>
  <si>
    <t>Final(06/28/1996)</t>
  </si>
  <si>
    <t>project250</t>
  </si>
  <si>
    <t>Final(08/21/2015);Draft(03/14/2014)</t>
  </si>
  <si>
    <t>sequoia national forest motorized travel management project prohibit cross-country travel for managing motorized travel kern river western divide ranger districts sequoia national forest tulare county ca</t>
  </si>
  <si>
    <t>Final(10/09/2009);Draft(01/30/2009)</t>
  </si>
  <si>
    <t>project849</t>
  </si>
  <si>
    <t>rattlesnake forest management project proposes to implement multiple resource management action bearlodge ranger district black hills national forest crook county wy</t>
  </si>
  <si>
    <t>Draft(10/09/2009);Final(05/14/2010)</t>
  </si>
  <si>
    <t>dean project area proposes to implement multiple resource management actions new information to disclose direct indirect and cumulative environmental impacts black hills national forest bearlodge ranger district sundance crook county wy</t>
  </si>
  <si>
    <t>Final Supplement(05/12/2006);Draft Supplement(02/24/2006)</t>
  </si>
  <si>
    <t>norwood project proposes to implement multiple resource management actions black hills national forest hell canyon ranger district pennington county sd and weston and crook counties wy</t>
  </si>
  <si>
    <t>Draft(03/30/2007);Final(06/01/2007)</t>
  </si>
  <si>
    <t>nan SD</t>
  </si>
  <si>
    <t>project1046</t>
  </si>
  <si>
    <t>troy mine revised reclamation plan approval of a reclamation plan and permits kootenai national forest lincoln county mt</t>
  </si>
  <si>
    <t>Final(06/29/2012);Draft(05/20/2011)</t>
  </si>
  <si>
    <t>troy mine revised reclamation plan proposed revision is to return lands disturbed by mining to a condition appropriate for subsequent use of the area kootenai national forest mt</t>
  </si>
  <si>
    <t>Draft(05/20/2011)</t>
  </si>
  <si>
    <t>west troy project proposes timber harvesting natural fuels reduction treatments pre-commercial thining and watershed rehabilitation (decommissioning) work kootenai national forest three river ranger district lincoln county mt</t>
  </si>
  <si>
    <t>Final(06/25/2004);Draft(02/27/2004)</t>
  </si>
  <si>
    <t>project259</t>
  </si>
  <si>
    <t>eagle mountain pumped storage hydroelectric project licensing application for eagle mountain mine near the town of desert center riverside county ca</t>
  </si>
  <si>
    <t>Draft(12/30/2010);Final(02/10/2012)</t>
  </si>
  <si>
    <t>lake elsinore advanced pumped storage (leaps) project construction and operation application for hydroelectric license special-use-permit ferc no.11858 city of lake elsinore riverside county ca</t>
  </si>
  <si>
    <t>Draft(02/24/2006);Final(02/09/2007)</t>
  </si>
  <si>
    <t>summit pumped storage hydroelectric project construction operation and maintenance license summit county oh</t>
  </si>
  <si>
    <t>Draft(06/01/1990);Final(01/25/1991)</t>
  </si>
  <si>
    <t>swan lake north pumped storage project</t>
  </si>
  <si>
    <t>river mountain pumped storage hydroelectric project ferc no. 10455 construction operation and maintenance license logan county ar</t>
  </si>
  <si>
    <t>Final(07/22/1994);Draft(07/02/1993)</t>
  </si>
  <si>
    <t>project1053</t>
  </si>
  <si>
    <t>tuskegee airmen national historic site general management plan implementation tuskegee al</t>
  </si>
  <si>
    <t>project1085</t>
  </si>
  <si>
    <t>Final(08/08/2014);Draft(07/29/2011)</t>
  </si>
  <si>
    <t>us-97 bend north corridor project propose to improve a segment of us-97 in deschutes county oregon between the deschutes market road/tumalo junction interchange and the empire avenue interchange deschutes county or</t>
  </si>
  <si>
    <t>project889</t>
  </si>
  <si>
    <t>north alabama natural gas pipeline facilities construction and operation coe section 10 and 404 permits right-of-way and npdes permits al</t>
  </si>
  <si>
    <t>Final(05/30/1997);Draft(03/14/1997)</t>
  </si>
  <si>
    <t>bison pipeline project (docket no. cp09-161-000) construction operation and maintenance of interstate natural gas pipeline facilities application for right-of-way grant and temporary use permit npdes permit and us coe 404 permit wy mt and nd</t>
  </si>
  <si>
    <t>Draft(08/28/2009);Final(12/31/2009)</t>
  </si>
  <si>
    <t>project962</t>
  </si>
  <si>
    <t>southern california edison's eldorado-ivanpah transmission line project construction and operation right-of-way application clark county nv and san bernardino county ca</t>
  </si>
  <si>
    <t>Final(12/17/2010);Draft(05/07/2010)</t>
  </si>
  <si>
    <t>Final(12/17/2010);Final(11/19/2010);Draft(05/07/2010)</t>
  </si>
  <si>
    <t>southern nevada water authority treatment and transmission facility construction and operation issuance of permits right-of-way grants and modification of existing water delivery/service contracts clark county nv</t>
  </si>
  <si>
    <t>Final(10/04/1996);Draft(11/09/1995)</t>
  </si>
  <si>
    <t>project479</t>
  </si>
  <si>
    <t>hermosa west wind energy project to approve or deny an interconnection request albany county wy</t>
  </si>
  <si>
    <t>project1040</t>
  </si>
  <si>
    <t>Final(05/01/2015);Draft(06/28/2013)</t>
  </si>
  <si>
    <t>project1049</t>
  </si>
  <si>
    <t>trunk highway 41 minnesota river crossing tier i</t>
  </si>
  <si>
    <t>Draft(06/22/2007);Final(12/12/2014)</t>
  </si>
  <si>
    <t>tier 1 deis - trunk highway (th) 41 minnesota river crossing construction of a new minnesota river crossing connecting us highway 169 to new us highway 212 us army coe section 10 and 404 permits scott and carver counties mn</t>
  </si>
  <si>
    <t>tier 1 feis - minnesota trunk highway-371 (mn-th-371) relocation across the mississippi river mn-th-371 in barrows to mn-th-210 in baxter funding and coe section 404 permit crow wing county mn</t>
  </si>
  <si>
    <t>Final(11/04/1994)</t>
  </si>
  <si>
    <t>minnesota trunk highway 371 brainerd bypass relocation from th-371 in barrows to th-210 in baxter funding and section 404 permit crow wing county mn</t>
  </si>
  <si>
    <t>Draft(11/13/1992)</t>
  </si>
  <si>
    <t>project16</t>
  </si>
  <si>
    <t>fox river and chain o'lakes area recreational boating project special area management plan implementation section 10 and 404 permits algonquin dam lake and mchenry counties il and wi</t>
  </si>
  <si>
    <t>Final(05/20/1994);Draft(10/15/1993)</t>
  </si>
  <si>
    <t>phase iii/hubline project construction and operation a natural gas pipeline maritimes and northeast pipeline (docket no. cp01-4-000) algonquin gas transmission (docket no. cp01-5-000) and texas eastern transmission (docket no. cp01-8-000) ma and ct</t>
  </si>
  <si>
    <t>Final(11/23/2001)</t>
  </si>
  <si>
    <t>project187</t>
  </si>
  <si>
    <t>Final(04/18/2014);Draft(08/06/2010)</t>
  </si>
  <si>
    <t>cloverdale rancheria of pomo indians (tribe) fee-to-trust and resort casino project taking six parcels into federal trust implementation sonoma county ca</t>
  </si>
  <si>
    <t>project246</t>
  </si>
  <si>
    <t>disposal and reuse of the former naval air station joint reserve base (nas jrb) willow grove</t>
  </si>
  <si>
    <t>Draft(12/27/2013);Final(03/20/2015)</t>
  </si>
  <si>
    <t>project269</t>
  </si>
  <si>
    <t>east lake sammamish master plan trail design and construct an alternative non-motorized transportation and multi-use recreational trail funding and us army coe section 404 permit king county wa</t>
  </si>
  <si>
    <t>Final(05/28/2010);Draft(10/20/2006)</t>
  </si>
  <si>
    <t>interstate 90 (i-90) south sammamish plateau access road and sunset interchange modifications construction coe section 404 permit coastal zone management and npdes permits king county wa</t>
  </si>
  <si>
    <t>Draft(04/17/1998)</t>
  </si>
  <si>
    <t>wa-520 corridor improvements construction and reconstruction between 104th avenue n.e. and west lake sammamish parkway (formerly wa-901) funding and coe section 404 permit the cities of bellevue and redmond king county wa</t>
  </si>
  <si>
    <t>Final(09/08/1995);Draft(07/02/1993)</t>
  </si>
  <si>
    <t>i-405 corridor transportation improvements i-5 in the city of tukwila to i-5 in snohomish county funding and possible us army coe section 404 permits issuance king and snohomish counties wa</t>
  </si>
  <si>
    <t>Draft(08/24/2001);Final(06/28/2002)</t>
  </si>
  <si>
    <t>seattle - tacoma (sea-tac) international airport master plan update for development actions funding airport layout plan approval and coe section 404 permit king county wa</t>
  </si>
  <si>
    <t>Final(02/16/1996);Draft(05/05/1995)</t>
  </si>
  <si>
    <t>project365</t>
  </si>
  <si>
    <t>generic - license renewal of nuclear plants supplement 56 regarding fermi 2 nuclear power plant, nureg-1437</t>
  </si>
  <si>
    <t>Draft(11/13/2015);Final(09/30/2016)</t>
  </si>
  <si>
    <t>project466</t>
  </si>
  <si>
    <t>idaho 16 i-84 to idaho 44 environmental study proposed action is to increase the transportation capacity funding ada and canyon counties id</t>
  </si>
  <si>
    <t>Final(02/18/2011);Draft(06/19/2009)</t>
  </si>
  <si>
    <t>orchard training area facilites development project construction and improvements implementation ada county id</t>
  </si>
  <si>
    <t>Draft(03/04/1988);Final(08/19/1988)</t>
  </si>
  <si>
    <t>pacific northwest/pacific southwest intertie capacity increase and long term intertie access policy development plan implementation wa or id mt wy ca nv ut nm and az</t>
  </si>
  <si>
    <t>project784</t>
  </si>
  <si>
    <t>presidio flood control project flood control improvements and partial levee relocation presidio tx</t>
  </si>
  <si>
    <t>Draft(11/27/2009);Final(02/26/2010)</t>
  </si>
  <si>
    <t>IBWC</t>
  </si>
  <si>
    <t>Final(02/26/2010)</t>
  </si>
  <si>
    <t>presidio flood control project flood control improvements and part ial levee relocation presidio tx</t>
  </si>
  <si>
    <t>magpie creek channel section 205 flood control investigation project improvements implementation national economic development plan and levee plan npdes permit issuance mccellan air force base city of sacramento sacramento county ca</t>
  </si>
  <si>
    <t>Draft(09/08/1995);Final(08/22/1997)</t>
  </si>
  <si>
    <t>project793</t>
  </si>
  <si>
    <t>programmatic - asian longhorned beetle eradication program</t>
  </si>
  <si>
    <t>Draft(03/13/2015);Final(09/11/2015)</t>
  </si>
  <si>
    <t>Final(09/11/2015)</t>
  </si>
  <si>
    <t>programmatic - fruit fly cooperative control program eradication program implementation</t>
  </si>
  <si>
    <t>Draft(07/30/1999)</t>
  </si>
  <si>
    <t>project959</t>
  </si>
  <si>
    <t>Final(09/18/2015);Draft(06/04/2010)</t>
  </si>
  <si>
    <t>southeast high speed rail richmond-raleigh project addresse the 162 mile segment between richmond va to raleight nc</t>
  </si>
  <si>
    <t>project990</t>
  </si>
  <si>
    <t>Final(06/27/2014);Draft(07/26/2013)</t>
  </si>
  <si>
    <t>tollgate fuels reduction</t>
  </si>
  <si>
    <t>project1</t>
  </si>
  <si>
    <t>Draft(10/24/2014);Final(01/15/2016)</t>
  </si>
  <si>
    <t>sr 710 north study feir/feis</t>
  </si>
  <si>
    <t>sr 710 north study frdeir/sdeis_05-09-18</t>
  </si>
  <si>
    <t>Draft Supplement(05/21/2018)</t>
  </si>
  <si>
    <t>project1008</t>
  </si>
  <si>
    <t>tehachapi renewable transmission project new information on changed conditions caused by the station fire construct operate and maintain new and upgraded 500 kv and 220kv transmission lines and substations special use authorization angeles national forest los angeles county ca</t>
  </si>
  <si>
    <t>Draft(02/20/2009);Final(09/24/2010)</t>
  </si>
  <si>
    <t>Draft Supplement(04/30/2010);Final(09/24/2010)</t>
  </si>
  <si>
    <t>tehachapi renewable transmission project</t>
  </si>
  <si>
    <t>Second Draft Supplemental(04/19/2013);Final Supplement(10/25/2013)</t>
  </si>
  <si>
    <t>project1009</t>
  </si>
  <si>
    <t>tehachapi uplands multiple species habitat conservation plan (tumshcp) propose issuance of a 50-year incidental take permit for 27 federal- and state-listed and unlisted species new information and a revised range of alternatives kern county ca</t>
  </si>
  <si>
    <t>Draft(01/23/2009);Final(10/26/2012)</t>
  </si>
  <si>
    <t>Draft Supplement(02/03/2012);Final(10/26/2012)</t>
  </si>
  <si>
    <t>tehachapi uplands multiple species habitat conservation plan (tumshcp) propose issuance of a 50-year incidental take permit for 27 federal- and state-listed and unlisted species kern county ca</t>
  </si>
  <si>
    <t>washington state forest habitat conservation plan propose issuance of multiple species incidental take permit of 4(d) rules npdes permit us army coe section 10 and 404 permits wa</t>
  </si>
  <si>
    <t>Final(01/27/2006)</t>
  </si>
  <si>
    <t>washington state forest habitat conservation plan propose issuance of multiple species incidental take permit or 4(d)rules npdes permit us army coe setion 10 and 404 permits wa</t>
  </si>
  <si>
    <t>clark county multiple species habitat conservation plan issuance of a permit to allow incidental take of 79 species clark county nv</t>
  </si>
  <si>
    <t>Final(09/29/2000)</t>
  </si>
  <si>
    <t>project1019</t>
  </si>
  <si>
    <t>Draft(03/20/2015);Final(07/22/2016)</t>
  </si>
  <si>
    <t>little river band of ottawa indians trust acquisition and casino project</t>
  </si>
  <si>
    <t>project1021</t>
  </si>
  <si>
    <t>theodore roosevelt national park elk management plan implementation billing and mckenzie counties nd</t>
  </si>
  <si>
    <t>Final(04/09/2010);Draft(12/19/2008)</t>
  </si>
  <si>
    <t>project1026</t>
  </si>
  <si>
    <t>tier 1 - atlanta beltline city of atlanta proposed fixed guideway transit and multi-use trails system right-of-way preservation fulton county ga</t>
  </si>
  <si>
    <t>Draft(07/29/2011);Final(05/25/2012)</t>
  </si>
  <si>
    <t>fort mcpherson project disposal and reuse implementation in city limits of atlanta fulton county ga</t>
  </si>
  <si>
    <t>Final(12/23/2010);Draft(10/10/2008)</t>
  </si>
  <si>
    <t>project1028</t>
  </si>
  <si>
    <t>tier 1 - feis trans-texas corridor - 35 (ttc-35) system improvement to international interstate and intrastate movement of goods and people oklahoma-mexico/gulf coast element</t>
  </si>
  <si>
    <t>Final(04/26/2010);Draft(05/05/2006)</t>
  </si>
  <si>
    <t>tier 1 - deis trans-texas corridor - 35 (ttc-35) system improvement to international interstate and intrastate movement of goods and people oklahoma-mexico/gulf coast element</t>
  </si>
  <si>
    <t>Draft(05/05/2006)</t>
  </si>
  <si>
    <t>tier 1 deis - i-69/trans-texas corridor study improvement to international interstate and instrastate movement of good and people louisiana-mexico/northeast texas to mexico</t>
  </si>
  <si>
    <t>regulation of the importation, interstate movement, and intrastate movement of plant pests</t>
  </si>
  <si>
    <t>Draft(01/23/2017)</t>
  </si>
  <si>
    <t>project1032</t>
  </si>
  <si>
    <t>Final(12/13/2013);Draft(12/31/2012)</t>
  </si>
  <si>
    <t>tollgate fuels reduction project umatilla national forest walla walla ranger district umatilla and union counties or</t>
  </si>
  <si>
    <t>project1037</t>
  </si>
  <si>
    <t>town of ocean isle beach shoreline management project</t>
  </si>
  <si>
    <t>Draft(01/30/2015);Final(04/29/2016)</t>
  </si>
  <si>
    <t>Draft(01/30/2015)</t>
  </si>
  <si>
    <t>project104</t>
  </si>
  <si>
    <t>black hills national forest revision to land and resource management plan implementation custer fall river lawrence and meade cos sd and crook and weston cos. wy</t>
  </si>
  <si>
    <t>Revised Draft(06/24/1994)</t>
  </si>
  <si>
    <t>black hills national forest land and resource management plan phase ii amendment proposal to amend the 1997 land and resource management plan custer fall river lawrence meade and pennington counties sd; and crook and weston counties wy</t>
  </si>
  <si>
    <t>Draft(09/17/2004)</t>
  </si>
  <si>
    <t>black hills national forest land and resource management plan phase ii amendment proposal to amend the 1997 land and resource management plan custer fall river lawrence meade and pennington counties sd and crook and weston counties wy</t>
  </si>
  <si>
    <t>Final(01/13/2006)</t>
  </si>
  <si>
    <t>project1042</t>
  </si>
  <si>
    <t>trident support facilities explosives handling wharf (ehw-2) new information construction and operating naval base kitsap bangor silverdale wa</t>
  </si>
  <si>
    <t>Draft(03/18/2011);Final(03/30/2012)</t>
  </si>
  <si>
    <t>Draft Supplement(10/07/2011);Final(03/30/2012)</t>
  </si>
  <si>
    <t>~ voided ~ swimmer interdiction security system (siss) project construction and operation naval bas kitsap - bangor silverdale kitsap county wa</t>
  </si>
  <si>
    <t>project1051</t>
  </si>
  <si>
    <t>Final(03/14/2014);Draft(01/18/2013)</t>
  </si>
  <si>
    <t>tuolumne wild and scenic river comprehensive management plan yosemite national park ca</t>
  </si>
  <si>
    <t>project1058</t>
  </si>
  <si>
    <t>u.s. steel keetac taconite mine expansion project propose to restart an idled production line and expand contiguous sections of the open pit iron ore mine located near keewatin itasca and st. louis counties mn</t>
  </si>
  <si>
    <t>Draft(12/11/2009);Final(11/19/2010)</t>
  </si>
  <si>
    <t>MN NM</t>
  </si>
  <si>
    <t>minnesota steel project construction and operation of an open pit taconite mine facilities concentrator pellet plant direct reduced iron plant and steel mill project located west of nashwauk itasca county mn</t>
  </si>
  <si>
    <t>Final(06/22/2007);Draft(02/16/2007)</t>
  </si>
  <si>
    <t>east reserve project construct and operate an open pit taconite mine between the towns of biwabik and mckinley st. louis county mn</t>
  </si>
  <si>
    <t>Draft(09/15/2006);Final(12/22/2006)</t>
  </si>
  <si>
    <t>northmet project proposes to construct and operate an open pit mine and processing facility located in hoyt lakes - babbitt area of st. louis county mn</t>
  </si>
  <si>
    <t>mesaba energy project proposes to design construct and operate a coal-based integrated gasification cycle(igcc) electric power generating facility located in the taconite tax relief area (ttra) itasca and st. louis counties mn</t>
  </si>
  <si>
    <t>Draft(11/09/2007);Final(11/20/2009)</t>
  </si>
  <si>
    <t>project1059</t>
  </si>
  <si>
    <t>greater deadman bench oil and gas producing region proposes to develop oil and gas resources right-of-way grants and applications for permit to drill vernal uintah county ut</t>
  </si>
  <si>
    <t>Draft(02/10/2006);Final(01/04/2008)</t>
  </si>
  <si>
    <t>monument butte area oil and gas development project, duchesne and uintah county, utahimpact statement for newfield exploration corporation monument butte oil and gas development project in uintah and duchesne counties</t>
  </si>
  <si>
    <t>monument butte area oil and gas development project</t>
  </si>
  <si>
    <t>Draft(12/20/2013)</t>
  </si>
  <si>
    <t>uinta basin natural gas project proposal to produce and transport natural gas in the atchee wash oil and gas production region resource development group right-of-way grant us coe section 404 permit and endangered species act permit uintah county ut</t>
  </si>
  <si>
    <t>Final(06/23/2006);Draft(08/08/2003)</t>
  </si>
  <si>
    <t>project1064</t>
  </si>
  <si>
    <t>Final(03/04/2016);Draft(09/04/2015)</t>
  </si>
  <si>
    <t>project1065</t>
  </si>
  <si>
    <t>project1068</t>
  </si>
  <si>
    <t>Final(12/16/2016);Draft(10/02/2015)</t>
  </si>
  <si>
    <t>missouri river master water control manual review and update mainstem reservoir system new and updated information missouri river basin sd nb ia and mo</t>
  </si>
  <si>
    <t>Final(03/05/2004)</t>
  </si>
  <si>
    <t>apalachicola-chattahochee-flint (afc) river basin water allocation allocation formula approval al fl and ga</t>
  </si>
  <si>
    <t>project1071</t>
  </si>
  <si>
    <t>Draft(10/07/2016);Final(10/27/2017)</t>
  </si>
  <si>
    <t>upper green river area rangeland project site specific grazing management practices bridger-teton forest sublette teton and fremont counties wy</t>
  </si>
  <si>
    <t>upper green river area rangeland project propose site specific grazing management practices bridger-teton forest sublette teton and fremont counties wy</t>
  </si>
  <si>
    <t>upper green river area rangeland project updated information to the analyze the effects of domestic livestock grazing in the upper green river area bridger-teton forest sublette teton and fremont counties wy</t>
  </si>
  <si>
    <t>Draft Supplement(06/18/2010)</t>
  </si>
  <si>
    <t>project1082</t>
  </si>
  <si>
    <t>us 50 crossing study transportation improvement from md-611 to md 378; and 3rd street to somerset street funding usace section 10 and 404 permits worcester county md</t>
  </si>
  <si>
    <t>Final(06/08/2012);Draft(04/25/2008)</t>
  </si>
  <si>
    <t>us 50 crossing study transportation improvement from md-611 to md 378; and 3rd street to somerset street funding us coast guard us army coe section 10 and 404 permits worcester county md</t>
  </si>
  <si>
    <t>us 219 transportation project improvement from i-68 to somerset and us 219 to meyersdale funding somerset county pa</t>
  </si>
  <si>
    <t>Final(06/16/1995);Draft(09/23/1994)</t>
  </si>
  <si>
    <t>outer connector study transportation improvement from i-95 us 17 and va-3 funding coe section 10 and 404 permits stafford and spotsylvania counties va</t>
  </si>
  <si>
    <t>Draft(10/10/1997)</t>
  </si>
  <si>
    <t>project1087</t>
  </si>
  <si>
    <t>us navy f-35c west coast homebasing</t>
  </si>
  <si>
    <t>Draft(02/15/2013);Final(05/16/2014)</t>
  </si>
  <si>
    <t>u.s. navy f-35c west coast homebasing</t>
  </si>
  <si>
    <t>project1090</t>
  </si>
  <si>
    <t>us-31 holland to grand haven project transportation improvement to reduce traffic congestation and delay ottawa county mi</t>
  </si>
  <si>
    <t>Draft(11/20/1998);Final(02/19/2010)</t>
  </si>
  <si>
    <t>us 31 from i-196 in allegan county north to i-96 in muskegon county improvements npdes permit and coe section 404 permit allegan muskegon and ottawa counties mi</t>
  </si>
  <si>
    <t>Draft(11/20/1998)</t>
  </si>
  <si>
    <t>us-31 petoskey area transportation improvement project construction funding right-of-way and coe section 10 and 404 permits city of petoskey emmet county mi</t>
  </si>
  <si>
    <t>Draft(08/12/1994)</t>
  </si>
  <si>
    <t>grand rapids south beltline construction i-196 in ottawa county to i-96 in kent county funding section 404 permit ottawa and kent counties mi</t>
  </si>
  <si>
    <t>Final(08/13/1993);Draft(03/22/1991)</t>
  </si>
  <si>
    <t>baltimore vegetative management project implementation ottawa national forest ontonagon ranger district ontonagon county mi</t>
  </si>
  <si>
    <t>Final(03/26/2004);Draft(09/19/2003)</t>
  </si>
  <si>
    <t>project1094</t>
  </si>
  <si>
    <t>project1095</t>
  </si>
  <si>
    <t>uwharrie national forest proposed land and resource management resource plan implementation montgomery randolph and davidson counties nc</t>
  </si>
  <si>
    <t>Draft(06/24/2011);Final(05/18/2012)</t>
  </si>
  <si>
    <t>us 220 construction steed to ulah connection funding randolph and montgomery counties nc</t>
  </si>
  <si>
    <t>Final(03/24/1989);Draft(11/06/1987)</t>
  </si>
  <si>
    <t>coconino national forest land and resource management plan</t>
  </si>
  <si>
    <t>wayne national forest proposed revised land and resource management plan implementation several counties oh</t>
  </si>
  <si>
    <t>Final(02/03/2006);Draft(04/01/2005)</t>
  </si>
  <si>
    <t>lassen national forest land and resource management plan implementation several counties ca</t>
  </si>
  <si>
    <t>Final(08/28/1992)</t>
  </si>
  <si>
    <t>project1099</t>
  </si>
  <si>
    <t>van ness bus rapid transit project</t>
  </si>
  <si>
    <t>Draft(11/04/2011);Final(07/12/2013)</t>
  </si>
  <si>
    <t>geary corridor bus rapid transit project</t>
  </si>
  <si>
    <t>Draft(10/02/2015);Final(06/15/2018)</t>
  </si>
  <si>
    <t>mid-city/westside transit corridor improvements wilshire bus rapid transit and exposition transitway construction and operation funding section 404 permit los angeles county ca</t>
  </si>
  <si>
    <t>Draft(04/13/2001);Final(10/14/2005)</t>
  </si>
  <si>
    <t>project1102</t>
  </si>
  <si>
    <t>project1110</t>
  </si>
  <si>
    <t>w.a. parish post-combustion co2 capture and sequestration project</t>
  </si>
  <si>
    <t>Draft(09/21/2012);Final(03/08/2013)</t>
  </si>
  <si>
    <t>w.a. parish post-combustion co2 capture and sequestration project funding fort bend wharton and jackson counties tx</t>
  </si>
  <si>
    <t>Draft(09/21/2012)</t>
  </si>
  <si>
    <t>lake charles carbon capture and sequestration project</t>
  </si>
  <si>
    <t>Final(11/22/2013);Draft(05/10/2013)</t>
  </si>
  <si>
    <t>project1111</t>
  </si>
  <si>
    <t>wa-502 corridor widening project proposes improvements to five miles of wa-502 (ne-219th street) between ne 15th avenue and ne 102nd avenue funding clark county wa</t>
  </si>
  <si>
    <t>Final(04/02/2010);Draft(06/05/2009)</t>
  </si>
  <si>
    <t>i-5 widening main street interchange to i-205 funding and 404 permit clark county wa</t>
  </si>
  <si>
    <t>Final(04/28/1989);Draft(04/29/1988)</t>
  </si>
  <si>
    <t>river street widening in santa cruz improvements from water street to highway 1 funding and right-of-way grant santa cruz county ca</t>
  </si>
  <si>
    <t>Final(08/02/1996);Draft(07/22/1994)</t>
  </si>
  <si>
    <t>laguardia airport east end roadway improvements project four new ramps at the 102nd street bridge construction airport layout plan approval and funding queens county ny</t>
  </si>
  <si>
    <t>Draft(12/15/1995);Final(10/08/1999)</t>
  </si>
  <si>
    <t>washington street corridor improvements century avenue to bismarck avenue funding bismarck burleigh county nd</t>
  </si>
  <si>
    <t>Final(04/19/1991)</t>
  </si>
  <si>
    <t>project1118</t>
  </si>
  <si>
    <t>wells hydroelectric project application to relicense public utility district no. 1 columbia river near pateros and brewster in douglas okanogan and chelan counties wa</t>
  </si>
  <si>
    <t>Final(11/04/2011);Draft(04/15/2011)</t>
  </si>
  <si>
    <t>rocky reach hydroelectric project (ferc/deis-0184f) application for a new license for the existing 865.76 megawatt facility public utility district no. 1 (pud) columbia river chelan county wa</t>
  </si>
  <si>
    <t>Final(08/11/2006)</t>
  </si>
  <si>
    <t>rocky reach hydroelectric project (ferc/deis-0184d) application for a new license for the existing 865.76 megawatt facility public utility district no. 1 (pud) columbia river chelan county wa</t>
  </si>
  <si>
    <t>Draft(09/09/2005)</t>
  </si>
  <si>
    <t>rock island hydroelectric project no. 943 operating license renewal columbia river chelan county wa</t>
  </si>
  <si>
    <t>Final(07/29/1988);Draft(10/09/1987)</t>
  </si>
  <si>
    <t>project1125</t>
  </si>
  <si>
    <t>Draft(07/18/2014);Final(01/22/2016)</t>
  </si>
  <si>
    <t>southport sacramento river early implementation project</t>
  </si>
  <si>
    <t>Final(05/29/2015);Draft(11/15/2013)</t>
  </si>
  <si>
    <t>project1128</t>
  </si>
  <si>
    <t>west valley demonstration project and western new york nuclear service center decommissioning and /or long-term stewardship (doe/eis-0226-d revised) city of buffalo eric and cattaraugus counties ny</t>
  </si>
  <si>
    <t>Draft(12/05/2008);Final(01/29/2010)</t>
  </si>
  <si>
    <t>Revised Draft(12/05/2008);Final(01/29/2010)</t>
  </si>
  <si>
    <t>west valley demonstration project for completion and western new york nuclear service center closure or long-term management appalachian plateau city of buffalo ny</t>
  </si>
  <si>
    <t>Draft(03/22/1996)</t>
  </si>
  <si>
    <t>west valley demonstration project waste management onsite management and offsite transportation of radioactive waste west valley cattaraugus county ny</t>
  </si>
  <si>
    <t>Draft(05/16/2003);Final(01/16/2004)</t>
  </si>
  <si>
    <t>buffalo inner harbor development project funding and coe section 10 and 404 permits downtown waterfront redevelopment project eric county ny</t>
  </si>
  <si>
    <t>Final(02/26/1999);Draft(10/23/1998)</t>
  </si>
  <si>
    <t>generic - decommissioning of nuclear facilities implementation</t>
  </si>
  <si>
    <t>project113</t>
  </si>
  <si>
    <t>bottineau light rail transit metro blue line extension feis</t>
  </si>
  <si>
    <t>Final(07/15/2016);Draft(04/11/2014)</t>
  </si>
  <si>
    <t>project1132</t>
  </si>
  <si>
    <t>western snowy plover habitat conservation plan issuance of an incidental take permit oregon parks and recreation department oregon coast or ca wa</t>
  </si>
  <si>
    <t>Draft(04/17/2009);Final(09/24/2010)</t>
  </si>
  <si>
    <t>western snowy plover habitat conservation plan proposed issuance of an incidental take permit oregon parks and recreation department oregon coast or ca wa</t>
  </si>
  <si>
    <t>montana department of natural resources and conservation forested trust lands habitat conservation plan issuance of incidental take permit implementation mt</t>
  </si>
  <si>
    <t>project1133</t>
  </si>
  <si>
    <t>westside fire recovery project</t>
  </si>
  <si>
    <t>Draft(03/13/2015);Final(08/07/2015)</t>
  </si>
  <si>
    <t>project1135</t>
  </si>
  <si>
    <t>westside subway extension transit corridor project extension of the existing metro purple line and metro red line heavy rail subway los angeles county metropolitan transportation authority los angeles county ca (seis: westside purple line extension)</t>
  </si>
  <si>
    <t>los angeles metro rail rapid transit project updated information and impacts of the new locally preferred alternative funding los angeles county ca</t>
  </si>
  <si>
    <t>Final Supplement(08/04/1989)</t>
  </si>
  <si>
    <t>project1136</t>
  </si>
  <si>
    <t>blacksmith ecological restoration project</t>
  </si>
  <si>
    <t>project1139</t>
  </si>
  <si>
    <t>white river national forest travel management plan updated information for the preferred alternative to accommodate and balance transportation needs implementation eagle garfield gunnison mesa moffat pitkin rio blanco routt and summit counties co</t>
  </si>
  <si>
    <t>Final(05/06/2011);Draft(07/28/2006)</t>
  </si>
  <si>
    <t>Final(05/06/2011);Draft Supplement(11/07/2008)</t>
  </si>
  <si>
    <t>white river national forest travel management plan to accommodate and balance transportation needs implementation eagle garfield gunnison mesa moffat pitkin rio blanco routt and summit counties co</t>
  </si>
  <si>
    <t>Draft(07/28/2006)</t>
  </si>
  <si>
    <t>white river national forest oil and gas leasing eagle garfield gunnison mesa moffat pitkin rio blanco routt and summit counties co</t>
  </si>
  <si>
    <t>white river national forest revised land and resource management plan implementation eagle garfield gunnison mesa moffat and pitkin counties co</t>
  </si>
  <si>
    <t>project1148</t>
  </si>
  <si>
    <t>Final(09/06/2013);Draft(06/25/2010)</t>
  </si>
  <si>
    <t>project115</t>
  </si>
  <si>
    <t>bozeman municipal watershed project additional information to implement fuel reduction activities bozeman ranger district gallatin national forest city of bozeman municipal watershed gallatin county mt</t>
  </si>
  <si>
    <t>Final Supplement(02/18/2011)</t>
  </si>
  <si>
    <t>bozeman municipal watershed project newl information to address new additions to the sensitive species list to implement fuel reduction activities bozeman ranger district gallatin national forest city of bozeman municipal watershed gallatin county mt</t>
  </si>
  <si>
    <t>Second Final Supplemental(06/03/2011)</t>
  </si>
  <si>
    <t>bozeman municipal watershed project minor changes to fseis of may 2011 to address new additions to the sensitive species list to implement fuel reduction activities bozeman ranger district gallatin national forest city of bozeman municipal watershed gallatin county mt</t>
  </si>
  <si>
    <t>Third Final Supplemental(12/02/2011)</t>
  </si>
  <si>
    <t>little bear-wilson timber sale and road decommission project implementation gallatin range gallatin national forest bozeman ranger district gallatin county mt</t>
  </si>
  <si>
    <t>Draft(05/18/2001)</t>
  </si>
  <si>
    <t>project1151</t>
  </si>
  <si>
    <t>woodward avenue light rail transit project construction and operation funding city of detroit wayne county mi</t>
  </si>
  <si>
    <t>Final(07/01/2011);Draft(01/28/2011)</t>
  </si>
  <si>
    <t>Final(07/01/2011)</t>
  </si>
  <si>
    <t>woodward avenue light rail transit project construction and operation city of detroit wayne county mi</t>
  </si>
  <si>
    <t>detroit metropolitan wayne county airport construction and extension airport layout plan approval and funding wayne county mi</t>
  </si>
  <si>
    <t>Final(01/19/1990);Draft(10/13/1989)</t>
  </si>
  <si>
    <t>i-94/rehabilitation project transportation improvements to a 6.7 miles portion of i-94 from east i-96 west end to conner avenue on the east end funding and npdes permit city of detroit wayne county mi</t>
  </si>
  <si>
    <t>Draft(02/16/2001)</t>
  </si>
  <si>
    <t>i-94/rehabilitation project tranportation improvements to a 6.7 mile portion of i-94 from east i-96 west and to conner avenue on the east end funding and npdes permit city of detroit wayne county mi</t>
  </si>
  <si>
    <t>Final(02/25/2005)</t>
  </si>
  <si>
    <t>project1155</t>
  </si>
  <si>
    <t>y-12 national security complex project to support the stockpile stewardship program and to meet the mission assigned to y-12 oak ridge tn</t>
  </si>
  <si>
    <t>Draft(10/30/2009);Final(03/04/2011)</t>
  </si>
  <si>
    <t>programmatic - oak ridge y-12 plant mission processing and storage highly enriched uranium u. s. nuclear weapons stockpile anderson county tn</t>
  </si>
  <si>
    <t>Final(11/02/2001)</t>
  </si>
  <si>
    <t>programmatic - oak ridge y-12 plant mission processing and storage highly enriched uranium u.s. nuclear weapons stockpile anderson county tn</t>
  </si>
  <si>
    <t>Draft(12/22/2000)</t>
  </si>
  <si>
    <t>programmatic - stockpile stewardship and management project reduced nuclear weapons stockpile in the absence of undergound testing eight sites: oak ridge reservation (orr) savannah river site (srs) kansas city plant (kcp) pantex plant los alamos</t>
  </si>
  <si>
    <t>Draft(03/08/1996);Final(11/15/1996)</t>
  </si>
  <si>
    <t>programmatic - eis - complex transformation to make the us nuclear weapon complex smaller and more responsive efficient and secure in order to meet national security requirements ca nv nm sc tn and tx</t>
  </si>
  <si>
    <t>Final(10/24/2008);Draft(01/11/2008)</t>
  </si>
  <si>
    <t>project1158</t>
  </si>
  <si>
    <t>yosemite national park project construction of yosemite institute environment education campus implementation mariposa county ca</t>
  </si>
  <si>
    <t>Final(02/26/2010);Draft(05/08/2009)</t>
  </si>
  <si>
    <t>yosemite valley comprehensive implementation plan general management plan yosemite national park mariposa madera and tuolumne counties ca</t>
  </si>
  <si>
    <t>DD(11/14/1997)</t>
  </si>
  <si>
    <t>yosemite national park general management plan implementation and updated information concession services plan tuolumne mariposa and madera counties ca</t>
  </si>
  <si>
    <t>Final Supplement(09/11/1992)</t>
  </si>
  <si>
    <t>yosemite valley plan resource preservation and restoration visitor enjoyment transportation and employee housing implementation yosemite national park mariposa county ca</t>
  </si>
  <si>
    <t>Third Final Supplemental(11/24/2000)</t>
  </si>
  <si>
    <t>project1160</t>
  </si>
  <si>
    <t>zoo interchange corridor study interstate i-94 i-894 and us highway 45 (zoo interchange) 124th street to 70th street lincoln avenue to burleigh street milwaukee county wi</t>
  </si>
  <si>
    <t>Draft(05/29/2009);Final(10/14/2011)</t>
  </si>
  <si>
    <t>interstate i-94 i-43 i-894 and wi-119 (airport spur) i-94/ush 41 interchange to howard avenue to address freeway system's deteriorated conditions funding and us army coe section 404 permit kenosha racine and milwaukee counties wi and lake county il</t>
  </si>
  <si>
    <t>Final(04/04/2008);Draft(11/16/2007)</t>
  </si>
  <si>
    <t>project123</t>
  </si>
  <si>
    <t>buckhorn project</t>
  </si>
  <si>
    <t>Draft(02/07/2014);Final(05/02/2014)</t>
  </si>
  <si>
    <t>buckhorn access project to utilize the marias creek route to construct and reconstruct roads funding npdes permit and us army coe section 404 permit okanogan and wenatchee national forests tonasket ranger district okanogan county wa</t>
  </si>
  <si>
    <t>Draft(08/25/2006);Final(02/02/2007)</t>
  </si>
  <si>
    <t>buckhorn reservoir expansion construction of a dam to impound water on the contentnea creek coe section 404 permit city of wilson wilson county nc this eis was inadvertantly omitted from the 8-23-96 register. the official 30 nepa review period is ca</t>
  </si>
  <si>
    <t>Draft(02/24/1995);Final(08/30/1996)</t>
  </si>
  <si>
    <t>project126</t>
  </si>
  <si>
    <t>bull mountain unit master development plan</t>
  </si>
  <si>
    <t>Final(07/08/2016);Draft(01/16/2015)</t>
  </si>
  <si>
    <t>south unit oil and gas development project master development plan implementation duchesne/roosevelt ranger district ashley national forest duchesne county ut</t>
  </si>
  <si>
    <t>Draft(02/26/2010);Final(02/24/2012)</t>
  </si>
  <si>
    <t>bull mountain natural gas pipeline construct operate and maintain natural gas pipeline issuance of right-of-way grant and temporary use area permits gunnison delta mesa garfield counties co</t>
  </si>
  <si>
    <t>Final(11/16/2007);Draft(09/15/2006)</t>
  </si>
  <si>
    <t>49 degrees north mountain resort revised master development plan implementation colville national forest newport ranger district stevens county wa</t>
  </si>
  <si>
    <t>Draft(05/16/2003);Final(05/28/2004)</t>
  </si>
  <si>
    <t>project127</t>
  </si>
  <si>
    <t>Draft(05/26/2016);Final(01/23/2017)</t>
  </si>
  <si>
    <t>project128</t>
  </si>
  <si>
    <t>bunker hill groundwater basin riverside corona feeder project</t>
  </si>
  <si>
    <t>Final(06/21/2013);Draft(01/28/2011)</t>
  </si>
  <si>
    <t>bunker hill groundwater basin riverside-corona feeder projects to increase firm water supplies improve water quality and to reduce water costs san bernardino and riverside counties ca</t>
  </si>
  <si>
    <t>riverside county integrated project hemet to corona/lake elsinore corridor a new multi-modal transportation facility route location and right-of-way preservation county of riverside ca</t>
  </si>
  <si>
    <t>milltown hill project dam and reservoir construction and operation funding and implementation elk creek subbasin umpqua river basin douglas county or</t>
  </si>
  <si>
    <t>Final(08/21/1992);Draft(12/20/1991)</t>
  </si>
  <si>
    <t>project139</t>
  </si>
  <si>
    <t>Final(09/07/2012);Draft(06/15/2012)</t>
  </si>
  <si>
    <t>calumet project area multiple resource management actions implementation pennington county sd</t>
  </si>
  <si>
    <t>project142</t>
  </si>
  <si>
    <t>Draft(08/19/2011);Final(07/11/2014)</t>
  </si>
  <si>
    <t>canaveral national seashore project general management plan implementation brevard and volusia counties fl</t>
  </si>
  <si>
    <t>project148</t>
  </si>
  <si>
    <t>casa diablo iv geothermal development project</t>
  </si>
  <si>
    <t>Final(07/05/2013);Draft(11/16/2012)</t>
  </si>
  <si>
    <t>casa diablo iv geothermal development project mono county ca</t>
  </si>
  <si>
    <t>Draft(11/16/2012)</t>
  </si>
  <si>
    <t>southern diablo mountain range and central coast of california resource management plan several counties ca</t>
  </si>
  <si>
    <t>project15</t>
  </si>
  <si>
    <t>algoma vegetation management project proposing to protect and promote conditions of late-successional forest ecosystem on 4 666 acres shasta-trinity national forest siskiyou county ca</t>
  </si>
  <si>
    <t>Final(05/04/2012);Draft(08/05/2011)</t>
  </si>
  <si>
    <t>algoma vegetation management project proposing to protect and promote conditions of late-successional forest ecosystem on 5 6000 acres within the 14 780 acre unit of the algoma late-successional reserve (lsr) shasta-trinity national forest siskiyou county ca</t>
  </si>
  <si>
    <t>Draft(08/05/2011)</t>
  </si>
  <si>
    <t>project153</t>
  </si>
  <si>
    <t>centers for disease control and prevention roybal campus 2025 master plan</t>
  </si>
  <si>
    <t>Final(09/05/2014);Draft(01/24/2014)</t>
  </si>
  <si>
    <t>CDC</t>
  </si>
  <si>
    <t>centers for disease control and prevention roybal campus 2015-2025 master plan</t>
  </si>
  <si>
    <t>Draft(01/24/2014)</t>
  </si>
  <si>
    <t>clifton road campus of the centers for disease control and prevention acquisition of additional property dekalb county ga</t>
  </si>
  <si>
    <t>Draft(08/23/1996);Final(12/06/1996)</t>
  </si>
  <si>
    <t>chamblee campus centers for disease control and prevention (cdc) expansion atlanta metro area city of chamblee dekalb county ca</t>
  </si>
  <si>
    <t>Draft(04/12/2002);Final(07/05/2002)</t>
  </si>
  <si>
    <t>project155</t>
  </si>
  <si>
    <t>central and southern florida project comprehensive everglades restoration plan biscayne bay coastal wetlands phase i project to restore the natural hydrology and ecosystem in an area degraded by drainage systems and land development miami-dade county fl</t>
  </si>
  <si>
    <t>Draft(03/19/2010);Final(01/06/2012)</t>
  </si>
  <si>
    <t>c-111 spreader canal western project to restore ecosystem function in taylor slough and florida bay areas central and southern florida project comprehensive everglades restoration plan (cerp) everglades national park miami-dade county fl</t>
  </si>
  <si>
    <t>Revised Final(02/04/2011);Draft(04/24/2009);Final(07/17/2009)</t>
  </si>
  <si>
    <t>central and southern florida project comprehensive everglades restoration plan implementation everglades agricultural area storage reservoirs palm beach county fl</t>
  </si>
  <si>
    <t>Draft(10/14/2005)</t>
  </si>
  <si>
    <t>project159</t>
  </si>
  <si>
    <t>central kupreanof timber harvest project proposes to harvest up to 70.2 million board feet of timber kupreanof island petersburg ranger district tongass national forest ak</t>
  </si>
  <si>
    <t>Final(03/11/2011);Draft(12/19/2008)</t>
  </si>
  <si>
    <t>scratchings timber sale project timber harvest up to approximately 42 million board feet suemez island craig ranger district tongass national forest ak</t>
  </si>
  <si>
    <t>Final(03/30/2007);Draft(08/04/2006)</t>
  </si>
  <si>
    <t>kuiu timber sale area proposes to harvest timber and build associated temporary roads us. army coe section 10 and 404 permits north kuiu island petersburg ranger district tongass national forest ak</t>
  </si>
  <si>
    <t>Final(09/07/2007);Draft(02/03/2006)</t>
  </si>
  <si>
    <t>project161</t>
  </si>
  <si>
    <t>Final(08/15/2014);Draft(11/01/2013)</t>
  </si>
  <si>
    <t>champlain hudson power express transmission line project (doe/eis-0447)</t>
  </si>
  <si>
    <t>project168</t>
  </si>
  <si>
    <t>Draft(11/09/2012);Final(06/07/2013)</t>
  </si>
  <si>
    <t>chicago to council bluffs - omaha regional passenger rail system planning study tier 1 service level from chicago illinois through iowa and omaha ne</t>
  </si>
  <si>
    <t>council bluffs interstate system improvements project transportation improvements missouri river on i-80 to east of i-480 interchange tier 1 pottawattamie county ia and douglas county ne</t>
  </si>
  <si>
    <t>Final(09/09/2005)</t>
  </si>
  <si>
    <t>council bluffs interstate system improvements project transportation improvements from missouri river on i-80 to east of the i-480 interchange tier 1 pottawattamie county ia and douglas county ne</t>
  </si>
  <si>
    <t>Draft(12/23/2004)</t>
  </si>
  <si>
    <t>project17</t>
  </si>
  <si>
    <t>alice griffith redevelopment project redevelopment of the #4-arce 'project site' for 1 200 new dwelling units retail development open space and associated infrastructure city and county of san francisco ca</t>
  </si>
  <si>
    <t>Final(09/21/2012);Draft(12/30/2011)</t>
  </si>
  <si>
    <t>Draft(12/30/2011);Final(09/21/2012)</t>
  </si>
  <si>
    <t>new san francisco federal building office building construction implementation city and county of san francisco ca</t>
  </si>
  <si>
    <t>Draft(04/19/1996);Final(03/28/1997)</t>
  </si>
  <si>
    <t>san joaquin county multi-species habitat conservation and open space plan issuance of incidental take permit san joaquin county ca</t>
  </si>
  <si>
    <t>Final(12/01/2000);Draft(10/01/1999)</t>
  </si>
  <si>
    <t>project173</t>
  </si>
  <si>
    <t>chokecherry and sierra madre wind energy project proposes to construct and operate a wind energy project south of rawlins carbon county wy</t>
  </si>
  <si>
    <t>eagle take permits for the chokecherry and sierra madre phase i wind energy project</t>
  </si>
  <si>
    <t>project186</t>
  </si>
  <si>
    <t>clinker mining addition project medicine bow-routt national forests and thunder basin national grassland</t>
  </si>
  <si>
    <t>Draft(05/17/2013);Final(09/27/2013)</t>
  </si>
  <si>
    <t>lost cabin mine project improvement of historic mining road (way 4170h) to allow motorized access to the lost mine for mineral exploration) plan-of-operation medicine-bow routt national forests and thunder basin national grassland carbon county wy</t>
  </si>
  <si>
    <t>Final(03/19/2004);Draft(10/31/2003)</t>
  </si>
  <si>
    <t>project189</t>
  </si>
  <si>
    <t>Draft(04/30/2010);Final(10/22/2010)</t>
  </si>
  <si>
    <t>orleans community fuels reduction and forest health project to manage forest stands to reduce hazardous fuel conditions orleans ranger district six rivers national forest humboldt county ca</t>
  </si>
  <si>
    <t>Final(06/13/2008);Draft(03/28/2008)</t>
  </si>
  <si>
    <t>project195</t>
  </si>
  <si>
    <t>comal county regional habitat conservation plan</t>
  </si>
  <si>
    <t>Draft(06/04/2010);Final(01/17/2014)</t>
  </si>
  <si>
    <t>butte regional conservation plan</t>
  </si>
  <si>
    <t>hays county regional habitat conservation plan application for an incidental take permit hays county tx</t>
  </si>
  <si>
    <t>Draft(10/30/2009);Final(05/20/2011)</t>
  </si>
  <si>
    <t>project198</t>
  </si>
  <si>
    <t>comprehensive annual catch limit (acl) amendment for the south atlantic regions: amendment 2 to the fishery management plan for the dolphin wahoo fishery; amendment 2 to the fishery management plan for pelagic sargassum habitat; amendment 5 to the fishery management plan for the golden crab fishery and amendment 25 to the fishery management plan for the snapper grouper fishery south atlantic region</t>
  </si>
  <si>
    <t>Final(11/25/2011);Draft(06/17/2011)</t>
  </si>
  <si>
    <t>Final(11/25/2011)</t>
  </si>
  <si>
    <t>comprehensive annual catch limit (acl) amendment for the south atlantic regions: amendment 2 to the fishery management plan for the dolpin wahoo fishery; amendment 2 to the fiishery management plan for pelagic sargassum habitat; amendment 5 to the fishery management plan for the golden crab fishery and amendment 25 to the fishery management plan for the snapper grouper fishery south atlantic region</t>
  </si>
  <si>
    <t>regulatory feis - pelagic sargassum habitat fishery management plan implementation south atlantic region</t>
  </si>
  <si>
    <t>project203</t>
  </si>
  <si>
    <t>construction permit for the northwest medical isotopes radioisotope production facility</t>
  </si>
  <si>
    <t>Draft(11/10/2016);Final(05/26/2017)</t>
  </si>
  <si>
    <t>medical isotopes production project (mipp) establish andd produce a continous supply of molybdenum-99 and related isotopes bernalillo county nm</t>
  </si>
  <si>
    <t>Draft(12/22/1995);Final(05/03/1996)</t>
  </si>
  <si>
    <t>proposed consolidation of nuclear operations related to production of radioisotope power systems located or planned sites: oak ridge national laboratory (ornl) tennessee; los alamos national laboratory (lanl) new mexico; and the idaho national laboratory (inl) idaho tn nm id</t>
  </si>
  <si>
    <t>Draft(07/01/2005)</t>
  </si>
  <si>
    <t>project207</t>
  </si>
  <si>
    <t>Draft(05/09/2014);Final(09/26/2014)</t>
  </si>
  <si>
    <t>project218</t>
  </si>
  <si>
    <t>creeks ii forest restoration project proposal to protect rural communities from hazards by constructing fuel breaks known as defensible fuel profile zones (dfpzs) lassen national forest almanor ranger district plumas county ca</t>
  </si>
  <si>
    <t>Draft(12/02/2011);Final(07/13/2012)</t>
  </si>
  <si>
    <t>creeks ii forest restoration project proposal to protect rural communities from fire hazards by constructing fuel breaks known as defensible fuel profile zones (dfpzs ) lassen national forest almanor ranger district plumas county ca</t>
  </si>
  <si>
    <t>project224</t>
  </si>
  <si>
    <t>cumberland gap national historical park general management plan implementation middlesboro ky</t>
  </si>
  <si>
    <t>Final(08/20/2010);Draft(11/06/2009)</t>
  </si>
  <si>
    <t>kalaupapa national historical park draft general management plan</t>
  </si>
  <si>
    <t>project228</t>
  </si>
  <si>
    <t>dallas floodway project</t>
  </si>
  <si>
    <t>Draft(04/18/2014);Final(12/19/2014)</t>
  </si>
  <si>
    <t>dallas floodway extension implementation trinity river basin flood damage reduction and environmental restoration dallas county tx</t>
  </si>
  <si>
    <t>Draft(05/15/1998);Final(03/19/1999)</t>
  </si>
  <si>
    <t>dallas floodway extension project additional information trinity river basin flood damage reduction and environmental restoration dallas county tx</t>
  </si>
  <si>
    <t>Draft Supplement(12/06/2002)</t>
  </si>
  <si>
    <t>dallas floodway extension flood damage reduction and environmental restoration new information concerning additional formulation trinity river basin dallas county tx</t>
  </si>
  <si>
    <t>Final Supplement(05/09/2003)</t>
  </si>
  <si>
    <t>project236</t>
  </si>
  <si>
    <t>department of homeland security headquarters consolidation at st. elizabeths master plan amendment - east campus north parcel st. elizabeths campus in southeast washington dc</t>
  </si>
  <si>
    <t>Draft(12/17/2010);Final(03/02/2012)</t>
  </si>
  <si>
    <t>adoption - department of homeland security headquarters consolidation at st. elizabeths master plan amendment - east campus north parcel st. elizabeths campus in southeast washington dc</t>
  </si>
  <si>
    <t>department of homeland security headquarters at the st. elizabeths west campus to consolidate federal office space on a secure site washington dc</t>
  </si>
  <si>
    <t>Draft(09/28/2007);Final(11/07/2008)</t>
  </si>
  <si>
    <t>adoption - department of homeland security headquarters at the st. elizabeths west campus to consolidate federal office space on a secure site washington dc</t>
  </si>
  <si>
    <t>Final(12/24/2009)</t>
  </si>
  <si>
    <t>adoption - department of homeland security headquarters at the st. elizabeths west campus to consolidate federal office space on a secure site</t>
  </si>
  <si>
    <t>project237</t>
  </si>
  <si>
    <t>deschutes and ochoco national forest and the crooked river national grassland travel management project implementation deschutes jefferson crook klamath lake grant and wheeler county or</t>
  </si>
  <si>
    <t>Draft(10/09/2009);Final(09/02/2011)</t>
  </si>
  <si>
    <t>ochoco national forest and crooked river national grassland land and resource management plan implementation crook grant harney jefferson and wheeler counties or</t>
  </si>
  <si>
    <t>Final(09/15/1989)</t>
  </si>
  <si>
    <t>ochoco national forest and crooked river national grassland land and resource management plan additional alternative and management requirements analysis crook grant jefferson harney and wheeler counties or</t>
  </si>
  <si>
    <t>Draft Supplement(10/07/1988)</t>
  </si>
  <si>
    <t>ochoco national forest and crooked river national grassland revised land and resource management plan for standards and guidelines regarding oil and gas leasing implementation grant crook wheeler jefferson and harney counties or</t>
  </si>
  <si>
    <t>Draft(06/04/1993);Final(04/15/1994)</t>
  </si>
  <si>
    <t>project242</t>
  </si>
  <si>
    <t>designation of the atchafalaya river bar channel ocean dredged material disposal site</t>
  </si>
  <si>
    <t>Final(09/27/2013);Draft(06/28/2013)</t>
  </si>
  <si>
    <t>atchafalaya river bar channel ocean dredged material disposal site designation updated information la</t>
  </si>
  <si>
    <t>Draft Supplement(12/28/1990)</t>
  </si>
  <si>
    <t>atchafalaya river bar channel ocean dredged material disposal site designation updated information st. mary parish la</t>
  </si>
  <si>
    <t>Final Supplement(12/11/1998)</t>
  </si>
  <si>
    <t>designation of the atchafalaya river bar channel ocean dredged material disposal site west pursuant to section 102(c) of the marine protection research and sanctuaries act of 1972</t>
  </si>
  <si>
    <t>rogue ocean dredged material disposal site (odmds) designation rogue river or</t>
  </si>
  <si>
    <t>Draft(09/27/1991)</t>
  </si>
  <si>
    <t>project249</t>
  </si>
  <si>
    <t>divert activities and exercises, commonwealth of the northern mariana islands</t>
  </si>
  <si>
    <t>Draft(06/08/2012);Final(09/26/2016)</t>
  </si>
  <si>
    <t>Revised Draft(10/16/2015)</t>
  </si>
  <si>
    <t>divert activities and exercises guam commonwealth of the northern mariana islands (cnmi) to improve an existing airport(s) and associated infrastructure in the mariana islands and to achieve divert capabilities in western pacific mariana islands region</t>
  </si>
  <si>
    <t>garapan flood control study saipan commonwealth of the northern mariana islands</t>
  </si>
  <si>
    <t>Final(05/01/1987)</t>
  </si>
  <si>
    <t>TT</t>
  </si>
  <si>
    <t>project253</t>
  </si>
  <si>
    <t>douglas and nolichucky tributary reservoirs land management plan implementation cocke greene hamblen jefferson and sevier counties tn</t>
  </si>
  <si>
    <t>nolichucky reservoir flood remediation project to identify and evaluate ways to address flooding effects of nolichucky dam and the accumulated sediment in nolichucky reservoir on land and property not owned by the federal government npdes permit and us coe section 404 permit cocke greene hamblen jefferson unicoi washington counties tn and avery mitchell yancey counties nc</t>
  </si>
  <si>
    <t>Draft(02/08/2002);Final(11/03/2006)</t>
  </si>
  <si>
    <t>tellico reservoir comprehensive land management plan implementation seven mainstream and two tributary reservoirs blount lincoln and monroe counties tn</t>
  </si>
  <si>
    <t>tellico reservoir comprehensive land management plan implementation severn mainstream and two tributary reservoirs blount lincoln and monroe counties tn</t>
  </si>
  <si>
    <t>Final(07/07/2000)</t>
  </si>
  <si>
    <t>project255</t>
  </si>
  <si>
    <t>berkeley/albany ferry terminal study proposing to implement new ferry service between berkeley/albany and the san francisco ferry building funding san francisco water transit authority (weta) berkeley/albany ca</t>
  </si>
  <si>
    <t>Draft(11/07/2008)</t>
  </si>
  <si>
    <t>adoption - march 2004 transbay terminal/caltrain downtown extension/redevelopment program (transbay program) phase 1 san francisco san mateo and santa clara ca</t>
  </si>
  <si>
    <t>Final(05/28/2010)</t>
  </si>
  <si>
    <t>transbay terminal/caltrain downtown extension/redevelopment project new multi-modal terminal construction peninsula corridor service extension (caltrain) and establishment of a redevelopment plan funding san francisco san mateo and santa clara counties ca</t>
  </si>
  <si>
    <t>Final(04/02/2004);Draft(10/11/2002)</t>
  </si>
  <si>
    <t>caltrain san francisco downtown extension project fourth and townsend streets in san francisco to a proposed terminal at a site of the present transbay terminal in downtown san francisco funding approvals and permits san francisco san mateo and sant</t>
  </si>
  <si>
    <t>Draft(03/21/1997)</t>
  </si>
  <si>
    <t>project261</t>
  </si>
  <si>
    <t>Draft(04/29/2016);Final(12/09/2016)</t>
  </si>
  <si>
    <t>project262</t>
  </si>
  <si>
    <t>early site permit at pseg site</t>
  </si>
  <si>
    <t>Final(11/20/2015);Draft(08/22/2014)</t>
  </si>
  <si>
    <t>pseg site early site permit nureg-2168</t>
  </si>
  <si>
    <t>Draft(08/22/2014)</t>
  </si>
  <si>
    <t>environmental impact statement for an early site permit (esp) at the clinch river nuclear site: draft report for comment</t>
  </si>
  <si>
    <t>Draft(04/27/2018)</t>
  </si>
  <si>
    <t>early site permit (esp at the north anna power station esp site (tac no. mc1128) construction and operation nureg-1811 louisa county va</t>
  </si>
  <si>
    <t>Draft(12/17/2004)</t>
  </si>
  <si>
    <t>project266</t>
  </si>
  <si>
    <t>hidden valley resources residuals repository construction and operation right-of-way grants and conditional use permit san bernardino county ca</t>
  </si>
  <si>
    <t>Draft(01/22/1993)</t>
  </si>
  <si>
    <t>ward valley low-level radioactive waste disposal facility site selection construction and operation funding and right-of-way grants san bernardino county ca</t>
  </si>
  <si>
    <t>Draft(06/15/1990);Final(05/03/1991);Final Supplement(09/24/1993)</t>
  </si>
  <si>
    <t>fort cady minerals solution mining project construction and operation associated right-of-way grants and mineral material sales permits san bernardino county ca</t>
  </si>
  <si>
    <t>Final(01/07/1994);Draft(06/04/1993)</t>
  </si>
  <si>
    <t>project267</t>
  </si>
  <si>
    <t>east deer lodge valley landscape restoration management project</t>
  </si>
  <si>
    <t>Draft(03/05/2010);Final(02/27/2015)</t>
  </si>
  <si>
    <t>east deer lodge valley landscape restoration management project to conduct landscapge restoration management activities pintler ranger district beaverhead deerlodge national forest powell and deerlodge counties mt</t>
  </si>
  <si>
    <t>Draft(03/05/2010)</t>
  </si>
  <si>
    <t>east deer lodge valley landscape restoration management project to conduct landscape restoration management activities additional information including the addition of alternative 3 pintler ranger district beaverhead deerlodge national forest powell and deerlodge counties mt</t>
  </si>
  <si>
    <t>Revised Draft(01/27/2012)</t>
  </si>
  <si>
    <t>project271</t>
  </si>
  <si>
    <t>east lynn lake coal lease project to offer federal coal in the coalburg/winifrede seam for competitive leasing wayne county wv</t>
  </si>
  <si>
    <t>Draft(06/27/2008);Final(06/08/2012)</t>
  </si>
  <si>
    <t>east lynn lake coal lease project proposal to lease federal coal that lies under nine tracts of land for mining wayne county wv</t>
  </si>
  <si>
    <t>Draft(06/27/2008)</t>
  </si>
  <si>
    <t>leasing and underground mining of the greens hollow federal coal lease tract utu-102</t>
  </si>
  <si>
    <t>Final Supplement(02/27/2015);Draft Supplement(03/14/2014)</t>
  </si>
  <si>
    <t>project272</t>
  </si>
  <si>
    <t>project277</t>
  </si>
  <si>
    <t>edwards aquifer recovery implementation program habitat conservation plan</t>
  </si>
  <si>
    <t>Final(02/15/2013);Draft(07/13/2012)</t>
  </si>
  <si>
    <t>edwards aquifer recovery implementation program habitat conservation plan application for an incidental take permit of 11 federally listed or petitioned species several counties texas</t>
  </si>
  <si>
    <t>environmental impact statement (eis) for the barton springs/edwards aquifer conservation district habitat conservation plan</t>
  </si>
  <si>
    <t>Final(07/13/2018)</t>
  </si>
  <si>
    <t>southern edwards plateau habitat conservation plan</t>
  </si>
  <si>
    <t>Final(12/18/2015);Draft(12/19/2014)</t>
  </si>
  <si>
    <t>project279</t>
  </si>
  <si>
    <t>Draft(02/28/2014);Final(03/27/2015)</t>
  </si>
  <si>
    <t>bear mountain ski resort expansion (formerly known as goldmine) san bernandino national forest special use permit and possible 404 permit san bernandino county ca</t>
  </si>
  <si>
    <t>Final(07/13/1990);Draft(03/02/1990)</t>
  </si>
  <si>
    <t>project282</t>
  </si>
  <si>
    <t>emigrant mine project open pit gold mine plan-of-operation south of carlin in elko county nv</t>
  </si>
  <si>
    <t>Final(12/17/2010);Draft(03/25/2005)</t>
  </si>
  <si>
    <t>emigrant mine project develop and operate an open pit mine construct a waste rock disposal facility south of carlin in elko county nv</t>
  </si>
  <si>
    <t>Draft(03/25/2005)</t>
  </si>
  <si>
    <t>bootstrap/capstone and tara open-pit gold mine project construction and operation plan of operataion elko and eureka counties nv</t>
  </si>
  <si>
    <t>Final(06/07/1996);Draft(03/15/1996)</t>
  </si>
  <si>
    <t>project283</t>
  </si>
  <si>
    <t>encinitas-solana beach coastal storm damage reduction project</t>
  </si>
  <si>
    <t>Final(05/22/2015);Draft(12/31/2012)</t>
  </si>
  <si>
    <t>encinitas/solana beach shoreline protection project to protect public safety and reduce storm-related damages to coastal structures cities of encinitas and solana beach san diego county ca</t>
  </si>
  <si>
    <t>Draft(08/26/2005)</t>
  </si>
  <si>
    <t>atlantic coast of long island jones inlet to east rockaway inlet storm damage reduction project construction long beach island nassau county ny</t>
  </si>
  <si>
    <t>Final(05/22/1998);Draft(12/30/1994)</t>
  </si>
  <si>
    <t>project287</t>
  </si>
  <si>
    <t>enrico fermi unit 3 combined license (col) application construction and operation of a power reactor u.s. corps of engineer 10 and 404 permits nureg-2105 monroe county mi</t>
  </si>
  <si>
    <t>Final(01/16/2013);Draft(10/28/2011)</t>
  </si>
  <si>
    <t>enrico fermi unit 3 combined license (col) application construction and operation of a power reactor u.s. corp of engineer 10 and 404 permits nureg-2105 monroe county mi</t>
  </si>
  <si>
    <t>Draft(10/28/2011);Final(01/18/2013)</t>
  </si>
  <si>
    <t>north anna power station unit 3 combined license (col) application for construction and operation a based-load nuclear power plant (nureg-1917) in the town of mineral louisa county va</t>
  </si>
  <si>
    <t>Final(03/26/2010);Second Draft Supplemental(01/02/2009)</t>
  </si>
  <si>
    <t>combined license (col) for the bell bend nuclear power plant</t>
  </si>
  <si>
    <t>generic - license renewal of nuclear plants arkansas nuclear one unit 1 coe section 10 and 404 permits pope county ar (nureg-1437)</t>
  </si>
  <si>
    <t>Second Draft Supplemental(10/20/2000);Second Final Supplemental(05/04/2001)</t>
  </si>
  <si>
    <t>project288</t>
  </si>
  <si>
    <t>enterprise rancheria gaming facility and hotel fee-to-trust acquisition project implementation federal trust estom yumeka maida tribe yuba county ca</t>
  </si>
  <si>
    <t>Final(08/06/2010);Draft(03/21/2008)</t>
  </si>
  <si>
    <t>project290</t>
  </si>
  <si>
    <t>eureka arcata route 101 corridor improvement project</t>
  </si>
  <si>
    <t>Final(12/30/2016);Draft(06/20/2007)</t>
  </si>
  <si>
    <t>eureka-arcata route 101 corridor improvement project proposed roadway improvements on route 101 between the eureka slough bridge and 11th st. overcrossing in arcata humbolt county ca</t>
  </si>
  <si>
    <t>new hampshire route 101/51 corridor improvement eppington to hampton funding coe section 10 and 404 permits and us coast guard permit rockingham county nh</t>
  </si>
  <si>
    <t>Draft(06/21/1991);Final(05/22/1992)</t>
  </si>
  <si>
    <t>arcata planning area land and resource management plan implementation humboldt mendocino trinity and sonoma counties ca</t>
  </si>
  <si>
    <t>Draft(03/18/1988);Final(11/09/1989)</t>
  </si>
  <si>
    <t>south fork eel wild and scenic river management plan implementation arcata resource area ukiah district mendocino county ca</t>
  </si>
  <si>
    <t>Draft(09/21/1990)</t>
  </si>
  <si>
    <t>project296</t>
  </si>
  <si>
    <t>extension of f-line streetcar service to fort mason center project to provide high-quality rail transit that improves transportation access and mobility golden gate national recreation area san francisco maritime national historical park ca</t>
  </si>
  <si>
    <t>Final(02/24/2012);Draft(03/18/2011)</t>
  </si>
  <si>
    <t>Final(02/24/2012)</t>
  </si>
  <si>
    <t>extension of f-line streetcar service to fort mason center project to provide park visitors and transit dependent residents with high-quality rail transit that improves transportation access and mobility golden gate national recreation area san francisco maritime national historical park ca</t>
  </si>
  <si>
    <t>golden gate national recreation area project proposed dog management plan implementation san francisco ca</t>
  </si>
  <si>
    <t>project298</t>
  </si>
  <si>
    <t>f-35 beddown at eglin air force base, florida</t>
  </si>
  <si>
    <t>Draft(09/24/2010);Final(02/28/2014)</t>
  </si>
  <si>
    <t>project307</t>
  </si>
  <si>
    <t>feral swine damage management - a national approach</t>
  </si>
  <si>
    <t>Final(06/12/2015);Draft(12/19/2014)</t>
  </si>
  <si>
    <t>feral swine damage management: a national approach</t>
  </si>
  <si>
    <t>nationwide cooperative animal damage control program integrated pest management approach implementation</t>
  </si>
  <si>
    <t>Final(05/06/1994);Draft(06/22/1990)</t>
  </si>
  <si>
    <t>nationwide cooperative animal damage control program additional information integrated pest management approach implementation published fr 01-22-93 - review period extended.</t>
  </si>
  <si>
    <t>Draft Supplement(01/22/1993)</t>
  </si>
  <si>
    <t>gypsy moth management in the united states: a cooperative approach implementation us</t>
  </si>
  <si>
    <t>Final(12/01/1995);Draft(05/12/1995)</t>
  </si>
  <si>
    <t>project309</t>
  </si>
  <si>
    <t>fernow experimental forest project to continue long-term research studies involving removal of trees prescribed burning fertilization and use of herbicides and other management activities to control invasive plant species tucker county wv</t>
  </si>
  <si>
    <t>Draft(04/09/2010);Final(10/15/2010)</t>
  </si>
  <si>
    <t>fernow experimental forest to continue long-term research and initiate new research involving removal of trees prescribed burning stem injection of selected trees control invasive plant species northeastern research station parson tucker county wv</t>
  </si>
  <si>
    <t>Draft(02/04/2005)</t>
  </si>
  <si>
    <t>fernow experimental forest to continue long-term research and initiate new research involving removal of trees prescribed burning stem injection of selected of trees control invasive plant species northeastern research station parson tucker county wv</t>
  </si>
  <si>
    <t>2016-2020 fernow experimental forest</t>
  </si>
  <si>
    <t>Final(01/22/2016)</t>
  </si>
  <si>
    <t>project31</t>
  </si>
  <si>
    <t>project310</t>
  </si>
  <si>
    <t>Final(02/24/2017);Draft(10/21/2016)</t>
  </si>
  <si>
    <t>project313</t>
  </si>
  <si>
    <t>first solar desert sunlight solar farm (dssf) project proposing to develop a 550-megawatt photovoltaic solar project also proposes to facilitate the construction and operation of the red bluff substation california desert conservation area (cdca) plan riverside county ca</t>
  </si>
  <si>
    <t>Final(04/15/2011);Draft(08/27/2010)</t>
  </si>
  <si>
    <t>first solar desert sunlight solar farm (dssf) project proposing to develop a 550-megawatt photovoltaic solar project also proposes to facilitate the construction and operation of the red bluff substation california desert conservation area (cdca plan riverside county ca</t>
  </si>
  <si>
    <t>cadiz groundwaer storage and dry-year supply program construction and operation amendment of the california desert conservation area (cdca) plan issuance of right-of-way grants and permits san bernardino county ca</t>
  </si>
  <si>
    <t>Draft(11/26/1999)</t>
  </si>
  <si>
    <t>project317</t>
  </si>
  <si>
    <t>flint foothills vegetation management project</t>
  </si>
  <si>
    <t>Draft(10/19/2012);Final(06/24/2016)</t>
  </si>
  <si>
    <t>flint foothills vegetation management project beaverhead-deerlodge national forest pintler ranger district granite and powell counties mt</t>
  </si>
  <si>
    <t>project318</t>
  </si>
  <si>
    <t>fluorine extraction process and depleted uranium deconversion plant license application to construct operate and decommission phase 1 lea county nm</t>
  </si>
  <si>
    <t>Final(08/31/2012);Draft(01/13/2012)</t>
  </si>
  <si>
    <t>national enrichment facility (nef) construction operation and decommission of a gas centrifuge uranium enrichment facility license application nureg-1790 near eunice lea county nm</t>
  </si>
  <si>
    <t>project32</t>
  </si>
  <si>
    <t>project321</t>
  </si>
  <si>
    <t>forestwide site-specific invasive plant management</t>
  </si>
  <si>
    <t>Draft(05/06/2016);Final(09/30/2016)</t>
  </si>
  <si>
    <t>olympic national forest beyond prevention: site-specific invasive plant treatment project implementation clallam grays harbor jefferson and mason counties wa</t>
  </si>
  <si>
    <t>project322</t>
  </si>
  <si>
    <t>Draft(09/12/2014);Final(10/02/2015)</t>
  </si>
  <si>
    <t>project327</t>
  </si>
  <si>
    <t>ga-400/north atlanta freeway extension i-85 to i-285 construction funding 404 permit fulton county ga</t>
  </si>
  <si>
    <t>Final(09/04/1987)</t>
  </si>
  <si>
    <t>fort benjamin harrison disposal and reuse implementation city of lawrence marion county in</t>
  </si>
  <si>
    <t>Draft(07/08/1994);Final(02/10/1995)</t>
  </si>
  <si>
    <t>project331</t>
  </si>
  <si>
    <t>evans subpost disposal and reuse implementation fort monmouth ocean and monmouth counties nj</t>
  </si>
  <si>
    <t>Draft(05/10/1996);Final(12/19/1997)</t>
  </si>
  <si>
    <t>project344</t>
  </si>
  <si>
    <t>Draft(12/24/2015);Final(04/04/2016)</t>
  </si>
  <si>
    <t>project345</t>
  </si>
  <si>
    <t>Final(11/01/2013);Draft(11/16/2012)</t>
  </si>
  <si>
    <t>gas hills in-situ recovery uranium project fremont and natrona counties wy</t>
  </si>
  <si>
    <t>project347</t>
  </si>
  <si>
    <t>Final(05/09/2014);Draft(08/02/2013)</t>
  </si>
  <si>
    <t>project35</t>
  </si>
  <si>
    <t>amendment 37 to the fishery management plan for the snapper-grouper fishery of the south atlantic region, modification to the hogfish fishery management unit, fishing level specifications for the two south atlantic hogfish stocks, rebuilding plan for the florida keys/east florida stock, and establishment/revision of management measures for both stocks</t>
  </si>
  <si>
    <t>Final(10/28/2016);Draft(06/17/2016)</t>
  </si>
  <si>
    <t>Draft(06/17/2016)</t>
  </si>
  <si>
    <t>project354</t>
  </si>
  <si>
    <t>generic - license renewal of nuclear plants regarding cooper nuclear station unit 1 supplement 41 to nureg-1437 nemaha county ne</t>
  </si>
  <si>
    <t>Draft(02/26/2010);Final(08/06/2010)</t>
  </si>
  <si>
    <t>generic - license renewal of nuclear plants supplement 37 nureg-1437 regarding three mile island nuclear station unit 1 dauphin county pa</t>
  </si>
  <si>
    <t>Final(07/02/2009)</t>
  </si>
  <si>
    <t>project356</t>
  </si>
  <si>
    <t>generic - license renewal of nuclear plants regarding duane arnold energy center supplement 42 to nureg-1437 near the town of palo linn county ia</t>
  </si>
  <si>
    <t>Draft(02/19/2010);Final(10/15/2010)</t>
  </si>
  <si>
    <t>generic - license renewal of nuclear plants (geis) regarding duane arnold energy center supplement 42 to nureg-1437 near the town of palo linn county ia</t>
  </si>
  <si>
    <t>Draft(02/19/2010)</t>
  </si>
  <si>
    <t>generic - license renewal of nuclear plants supplement 29 to nureg-1437 regarding the license renewal of pilgrim nuclear power station cape cod bay town of plymouth plymouth county ma</t>
  </si>
  <si>
    <t>Final(08/03/2007);Draft(12/15/2006)</t>
  </si>
  <si>
    <t>project359</t>
  </si>
  <si>
    <t>generic - license renewal of nuclear plants supplement 47 regarding columbia generating station (nureg - 1437) issuance of a renewed operating license for an additional 20 years benton county wa</t>
  </si>
  <si>
    <t>Final(04/13/2012);Draft(09/02/2011)</t>
  </si>
  <si>
    <t>Final(04/13/2012)</t>
  </si>
  <si>
    <t>generic - license renewal of nuclear plants supplement 36 to nureg-1437 regarding beaver valley power station units 1 and 2 plant -specific issuing nuclear power plant operating license for an additional 20-year period pa</t>
  </si>
  <si>
    <t>Final(06/12/2009);Draft(10/03/2008)</t>
  </si>
  <si>
    <t>generic - license renewal of nuclear plants supplement 26 to nureg 1437 regarding monticello nuclear generating plant (tac no. mc6441) renewal of operating license drp-22 for additional 20-years of operation mississippi river city of monticello wright county mn</t>
  </si>
  <si>
    <t>Final(09/29/2006)</t>
  </si>
  <si>
    <t>project363</t>
  </si>
  <si>
    <t>Final(11/14/2014);Draft(02/21/2014)</t>
  </si>
  <si>
    <t>generic - renewal of nuclear plants supplement 51 regarding callaway plant unit 1</t>
  </si>
  <si>
    <t>generic - license renewal of nuclear plants supplement 38 regarding indian point nuclear generating unit nos. 2 and 3</t>
  </si>
  <si>
    <t>Final Supplement(06/28/2013)</t>
  </si>
  <si>
    <t>project364</t>
  </si>
  <si>
    <t>generic - license renewal of nuclear plants supplement 53 regarding sequoyah nuclear station units 1 and 2</t>
  </si>
  <si>
    <t>Draft(08/15/2014);Final(03/27/2015)</t>
  </si>
  <si>
    <t>project369</t>
  </si>
  <si>
    <t>project371</t>
  </si>
  <si>
    <t>Final(09/07/2012);Draft(08/06/2010)</t>
  </si>
  <si>
    <t>sequoia national forest land and resource management plan amendment 'grazing management implementation kern tulare and fresno counties ca</t>
  </si>
  <si>
    <t>Draft(02/02/1996)</t>
  </si>
  <si>
    <t>project375</t>
  </si>
  <si>
    <t>goethals bridge replacement project construction of bridge across the arthur kill between staten island new york and elizabeth new jersey funding and uscg bridge permit ny and nj</t>
  </si>
  <si>
    <t>Draft(05/29/2009);Final(08/13/2010)</t>
  </si>
  <si>
    <t>staten island bridges program - modernization and capacity enhancement project construction and operation funding right-of-way grant coe section 404 permit and npdes permit staten island ny and elizabeth nj</t>
  </si>
  <si>
    <t>Final(11/07/1997);Draft(05/19/1995)</t>
  </si>
  <si>
    <t>arthur kill channel - howland hook marine terminal deepening and realignment limited reevaluation report (lrr) port of new york and new jersey ny and nj</t>
  </si>
  <si>
    <t>Final Supplement(10/02/1998);Draft Supplement(03/20/1998)</t>
  </si>
  <si>
    <t>new york and new jersey/long island inlets dredged material disposal site designation ny and nj</t>
  </si>
  <si>
    <t>Final(09/29/1989)</t>
  </si>
  <si>
    <t>new york and new jersey harbor navigation study screen and select navigation channel improvements ny and nj</t>
  </si>
  <si>
    <t>Draft(10/01/1999)</t>
  </si>
  <si>
    <t>project383</t>
  </si>
  <si>
    <t>grand ditch breach restoration</t>
  </si>
  <si>
    <t>Final(05/31/2013);Draft(03/16/2012)</t>
  </si>
  <si>
    <t>grand ditch breach restoration to restore the natural hydrological processes ecological services and wilderness character of the area in the upper kawuneeche valley rocky mountain national park grand county co</t>
  </si>
  <si>
    <t>medium diversion at white ditch integrated feasibility study louisiana coastal area (lca) ecosystem restoration implementation plaquemines parish la</t>
  </si>
  <si>
    <t>lower hamakua ditch watershed agricultural water management plan funding and coe section 404 permit issuance hawaii county hi</t>
  </si>
  <si>
    <t>Draft(09/01/1995)</t>
  </si>
  <si>
    <t>project39</t>
  </si>
  <si>
    <t>american river common features general reevaluation report environmental impact statement/environmental impact report</t>
  </si>
  <si>
    <t>Final(01/22/2016);Draft(03/20/2015)</t>
  </si>
  <si>
    <t>integrated hurricane sandy general reevaluation report and environmental impact statement, atlantic coast of new york, east rockaway inlet to rockaway inlet and jamaica bay</t>
  </si>
  <si>
    <t>Revised Draft(09/07/2018)</t>
  </si>
  <si>
    <t>project393</t>
  </si>
  <si>
    <t>greater red lodge vegetation and habitat management project</t>
  </si>
  <si>
    <t>Final(04/17/2015);Draft(04/18/2014)</t>
  </si>
  <si>
    <t>greater red lodge area vegetation and habitat management project</t>
  </si>
  <si>
    <t>withdrawn- greater red lodge vegetation and habitat managment project</t>
  </si>
  <si>
    <t>withdrawn - bear lodge project</t>
  </si>
  <si>
    <t>project394</t>
  </si>
  <si>
    <t>greater sage grouse bi-state distinct population segment forest plan amendment</t>
  </si>
  <si>
    <t>Draft(08/23/2013);Final(02/13/2015)</t>
  </si>
  <si>
    <t>Final(02/13/2015);Revised Draft(07/11/2014)</t>
  </si>
  <si>
    <t>idaho greater sage-grouse draft resource management plan amendment and environmental impact statement</t>
  </si>
  <si>
    <t>project395</t>
  </si>
  <si>
    <t>green mountain/finger lakes national forest land and resource management plan ny and vt.</t>
  </si>
  <si>
    <t>Final(01/30/1987)</t>
  </si>
  <si>
    <t>project4</t>
  </si>
  <si>
    <t>Final(01/19/2016);Draft(09/18/2015)</t>
  </si>
  <si>
    <t>tier 2 - mars 2020 mission</t>
  </si>
  <si>
    <t>Second Final(11/14/2014);D2(06/06/2014)</t>
  </si>
  <si>
    <t>golden peak improvements 2016</t>
  </si>
  <si>
    <t>Final(11/16/2018);Draft(04/06/2018)</t>
  </si>
  <si>
    <t>project404</t>
  </si>
  <si>
    <t>Final(07/18/2014);Draft(09/09/2011)</t>
  </si>
  <si>
    <t>gulf islands national seashore general management plan implementation escambia santa rosa and okaloosa counties fl and jackson and harrison counties ms</t>
  </si>
  <si>
    <t>project407</t>
  </si>
  <si>
    <t>Final(03/10/2017);Draft(04/22/2016)</t>
  </si>
  <si>
    <t>gulf of mexico ocs oil and gas lease sales: 2017-2022 gulf of mexico lease sales 249, 250, 251, 252, 253, 254, 256, 257, 259, and 261</t>
  </si>
  <si>
    <t>Draft(04/22/2016)</t>
  </si>
  <si>
    <t>project416</t>
  </si>
  <si>
    <t>gulf of mexico range complex (gomex) proposed action is to support and conduct current and emerging training and rdt&amp;e operations tx ms al and fl</t>
  </si>
  <si>
    <t>Final(12/23/2010);Draft(01/02/2009)</t>
  </si>
  <si>
    <t>virginia capes (vacapes) range complex proposed action is to support and conduct current and emerging training and rdt &amp; e operations chesapeake bay de md va and nc</t>
  </si>
  <si>
    <t>project419</t>
  </si>
  <si>
    <t>gulf shrimp amendment 16</t>
  </si>
  <si>
    <t>Final(01/09/2015);Draft(08/22/2014)</t>
  </si>
  <si>
    <t>amendment 27 to the reef fish fishery management plan and amendment 14 to the shrimp fishery management plan to address stock rebuilding and overfishing of red snapper gulf of mexico</t>
  </si>
  <si>
    <t>Final(08/03/2007);Draft(04/20/2007)</t>
  </si>
  <si>
    <t>south atlantic region shrimp fishery management plan amendment 5 additional information concerning rock shrimp in the exclusive economic zone (eez) nc sc fl and ga</t>
  </si>
  <si>
    <t>Second Final Supplemental(09/06/2002);Second Draft Supplemental(07/27/2001)</t>
  </si>
  <si>
    <t>NC Multi</t>
  </si>
  <si>
    <t>south atlantic region shrimp fishery management plan implementation additional information amendment 2 (bycatch reduction) exclusive economic zone (eez) nc sc fl and ga</t>
  </si>
  <si>
    <t>Draft Supplement(01/05/1996)</t>
  </si>
  <si>
    <t>project42</t>
  </si>
  <si>
    <t>analyze impacts of noaas national marine fisheries service proposed approval of the continued operation of 10 hatchery facilities for trout, salmon, and steelhead along the oregon coast, as described in oregon department of fish and wildlife hatchery and genetic management plans pursuant to section 4(d) of the endangered species act</t>
  </si>
  <si>
    <t>Final(06/09/2017);Draft(08/26/2016)</t>
  </si>
  <si>
    <t>hatchery and stocking program. operation of 14 trout hatcheries and the mad river hatchery for the anadromous steelhead federal funding california department of fish and game ca</t>
  </si>
  <si>
    <t>Draft(10/16/2009);Final(02/19/2010)</t>
  </si>
  <si>
    <t>project422</t>
  </si>
  <si>
    <t>habitat conservation plan for oncor electric delivery facilities application for incidental take permit for 11 federally list species in 100 texas counties</t>
  </si>
  <si>
    <t>Final(01/20/2012);Draft(07/15/2011)</t>
  </si>
  <si>
    <t>project425</t>
  </si>
  <si>
    <t>hampton - rochester - la crosse transmission system improvement project construction and operation of a 345-kilovolt transmission line and associated facilities between hampton mn and la crosse wi</t>
  </si>
  <si>
    <t>Final(07/20/2012);Draft(12/16/2011)</t>
  </si>
  <si>
    <t>hampton - rochester - la crosse transmission system improvement project proposed construction and operation of a 345-kilovolt (kv) transmission line and associated facilities between hampton minnesota and la crosse wisconsin</t>
  </si>
  <si>
    <t>cardinal-hickory creek 345-kv transmission line project</t>
  </si>
  <si>
    <t>project428</t>
  </si>
  <si>
    <t>harpers ferry national historical park general management plan implementation harpers ferry jefferson county wv; loudoun county va; and washington county md</t>
  </si>
  <si>
    <t>harpers ferry statewide bridge replacement and upgrading project improvements us 340 over the shenandoah river in the vicinity of harpers ferry national historical park funding and coe section 404 permit jefferson county wv</t>
  </si>
  <si>
    <t>Draft(02/12/1993);Final(07/29/1994)</t>
  </si>
  <si>
    <t>project429</t>
  </si>
  <si>
    <t>Draft(02/17/2012);Final(11/08/2013)</t>
  </si>
  <si>
    <t>project432</t>
  </si>
  <si>
    <t>hatcher pass recreation area access trails and transit facilities to develop transportation access and transit-related infrastructure northern and southern areas hatcher pass ak</t>
  </si>
  <si>
    <t>Draft(05/28/2010);Final(11/19/2010)</t>
  </si>
  <si>
    <t>golden gate national recreation area proposed marin headlands and fort baker transportation infrastructure and management plan implementation marin county ca</t>
  </si>
  <si>
    <t>Draft(06/08/2007);Final(03/20/2009)</t>
  </si>
  <si>
    <t>whistle stop project provide access to backcountry recreation area on national forest system (nfs) lands on the kenai peninsula between portage and moose pass chugach national forest kenai peninsula borough ak</t>
  </si>
  <si>
    <t>Draft(01/27/2006);Final(05/26/2006)</t>
  </si>
  <si>
    <t>project435</t>
  </si>
  <si>
    <t>hawaii-southern california training and testing</t>
  </si>
  <si>
    <t>hawaii-southern californian training and testing final environmental impact statement/overseas environmental impact statement</t>
  </si>
  <si>
    <t>project436</t>
  </si>
  <si>
    <t>hays county regional habitat conservation plan application for an incidental take permit, hays county tx</t>
  </si>
  <si>
    <t>project437</t>
  </si>
  <si>
    <t>hb in-situ solution mining project proposal to extract the potash remaining in inactive underground mine npdes permit eddy county nm</t>
  </si>
  <si>
    <t>Final(02/03/2012);Draft(04/15/2011)</t>
  </si>
  <si>
    <t>hb in-situ-solution mining project proposal to extract the potash remaining in inactive underground mine eddy county nm</t>
  </si>
  <si>
    <t>hollister underground mine project</t>
  </si>
  <si>
    <t>crownpoint uranium solution mining project construction and operation leasing and licensing mckinley county nm</t>
  </si>
  <si>
    <t>Final(03/28/1997);Draft(11/25/1994)</t>
  </si>
  <si>
    <t>the sevier playa potash project, utah</t>
  </si>
  <si>
    <t>project438</t>
  </si>
  <si>
    <t>heavenly epic discovery project</t>
  </si>
  <si>
    <t>Draft(08/29/2014);Final(03/06/2015)</t>
  </si>
  <si>
    <t>heavenly mountain resort epic discovery project</t>
  </si>
  <si>
    <t>Draft(08/29/2014)</t>
  </si>
  <si>
    <t>heavenly ski resort master plan improvement expansion and management lake tahoe basin management unit special-use-permit douglas county nv and el dorado and alpine counties ca</t>
  </si>
  <si>
    <t>Draft(04/14/1995);Final(05/10/1996)</t>
  </si>
  <si>
    <t>discovery ski area expansion implementation special-use-permit and uscoe section 404 permit beaverhead-deerlodge national forest pintler ranger district rumsey mountain granite county mt</t>
  </si>
  <si>
    <t>Final(05/04/2001)</t>
  </si>
  <si>
    <t>discovery ski area expansion implementation special-use- permit and coe section 404 permit beaverhead-deerlodge national forest pintler ranger distirct rumsey mountain granite county mt</t>
  </si>
  <si>
    <t>project447</t>
  </si>
  <si>
    <t>Draft(06/01/2012);Final(07/05/2013)</t>
  </si>
  <si>
    <t>hollister underground mine project transitioning from underground exploration activities to a full scale producing underground gold and silver mine elko county nv</t>
  </si>
  <si>
    <t>jackpot underground uranium mine project construction and operation plan of operation approval npdes permit and coe section 404 permit fremont and sweetwater counties wy</t>
  </si>
  <si>
    <t>Final(12/22/1995)</t>
  </si>
  <si>
    <t>withdrawn - rock creek underground copper/silver mine project construction and operation coe section 404 permit kootenai national forest sander county mt</t>
  </si>
  <si>
    <t>Draft(08/11/1995)</t>
  </si>
  <si>
    <t>red cliff mine project construct a new underground coal mine on private and federal land federal coal lease by application mesa and garfield county co</t>
  </si>
  <si>
    <t>Draft(01/16/2009)</t>
  </si>
  <si>
    <t>project448</t>
  </si>
  <si>
    <t>honey creek-padus project proposes to harvest timber regenerate stands plant and protect tree seedlings and manage access on approximately 6 702 acres lakewood-laona ranger district chequamegon-national forest forest county wi</t>
  </si>
  <si>
    <t>Final(05/28/2010);Draft(10/09/2009)</t>
  </si>
  <si>
    <t>honey creek-padus project proposes to harvest timber regenerate stands plant and protect tree seedlings and manage access on approximately 6 702 acres lakewood_-laona ranger district chequamegon-national forest forest county wi</t>
  </si>
  <si>
    <t>Draft(10/09/2009)</t>
  </si>
  <si>
    <t>lakewood southeast project proposes to manage vegetation and habitat lakewood-laona ranger district chequamegon-nicolet national forest oconto county wi</t>
  </si>
  <si>
    <t>boulder project timber harvesting vegetation and road management us army coe section 404 permit chequamegon-nicolet national forest lakewood-laona ranger district oconto and langlade counties wi</t>
  </si>
  <si>
    <t>Draft(04/21/2006);Final(03/09/2007)</t>
  </si>
  <si>
    <t>lakewood/laona plantation thinning project to implement vegetation management activities chequamegon-nicolet national forest lakewood ranger district forest langlade and oconto counties wi</t>
  </si>
  <si>
    <t>Draft(12/30/2004);Final(04/01/2005)</t>
  </si>
  <si>
    <t>project449</t>
  </si>
  <si>
    <t>honolulu high-capacity transit corridor project provide high-capacity transit service on o'ahu from university of hawaii-west o'ahu to the ala moana center city and county of honolulu o'ahu hawaii</t>
  </si>
  <si>
    <t>Draft(11/21/2008);Final(06/25/2010)</t>
  </si>
  <si>
    <t>honolulu high-capacity transit corridor project provide high-capacity transit service on o'ahu from kapolei to the university of hawaii at manoa and waikiki city and county of honolulu o'ahu hawaii</t>
  </si>
  <si>
    <t>Draft(11/21/2008)</t>
  </si>
  <si>
    <t>oahu primary corridor transportation project improvements from kapolei in the west to the university of hawaii-manoa and waikiki in the east major investment study in the city and county of honolulu hi</t>
  </si>
  <si>
    <t>Final(08/08/2003);Draft(09/08/2000)</t>
  </si>
  <si>
    <t>dulles corridor rapid transit project to provide high-quality and high capacity transit service in dulles corridor west falls church metrorail station in fairfax county to the vicnity of route 772 in loudoun county va</t>
  </si>
  <si>
    <t>Draft(07/12/2002)</t>
  </si>
  <si>
    <t>project45</t>
  </si>
  <si>
    <t>antelope grazing allotments amp</t>
  </si>
  <si>
    <t>Draft(12/19/2014);Final(11/24/2017)</t>
  </si>
  <si>
    <t>antelope grazing allotments</t>
  </si>
  <si>
    <t>east bridge cattle allotment management plan (amp) revision authorization of continued grazing caribou-targhee national forest soda springs ranger district caribou and bonneville counties id and lincoln county wy</t>
  </si>
  <si>
    <t>east bridge cattle (amp) allotment management plan revision authorization of continued grazing caribou-targhee national forest soda springs ranger district caribou and bonneville counties id and lincoln county wy</t>
  </si>
  <si>
    <t>Draft(01/16/2004)</t>
  </si>
  <si>
    <t>eldorado and tahoe national forests land and resource management plan standards and guidelines for the grazing allotments implementation ca</t>
  </si>
  <si>
    <t>Draft(07/23/1999)</t>
  </si>
  <si>
    <t>project459</t>
  </si>
  <si>
    <t>i-69 section of independent utility 13 el dorado to mcgehee construction of 4 lane divided access facility u.s. coast guard permit us army coe section 404 permit quachita river quachita union calhoun bradley drew and desha counties ar</t>
  </si>
  <si>
    <t>i-69 section of independent utility 13 el dorado to mcgehee construction of four lane divided access facility u.s. coast guard bridge permit npdes permit and u.s. army coe section 404 permit quachita river quachita union calhoun bradley drew and desha counties ar</t>
  </si>
  <si>
    <t>Draft(05/28/2004)</t>
  </si>
  <si>
    <t>us 90 corridor proposed interstate highway 49 (i49 ) south improvement from raceland to the davis pond diversion canal section of independent utility 1 (siu 1) lafourche and st. charles parishes la</t>
  </si>
  <si>
    <t>Draft(08/12/2005)</t>
  </si>
  <si>
    <t>project46</t>
  </si>
  <si>
    <t>antelope valley station to neset transmission project</t>
  </si>
  <si>
    <t>Draft(12/07/2012);Final(05/30/2014)</t>
  </si>
  <si>
    <t>Final(05/30/2014);Draft Supplement(12/20/2013)</t>
  </si>
  <si>
    <t>antelope valley station to neset transmission project mercer dunn billings williams mckenzie and mountrail counties nd</t>
  </si>
  <si>
    <t>hart mountain national antelope refuge comprehensive management plan implementation lake county or</t>
  </si>
  <si>
    <t>Final(06/10/1994);Draft(08/13/1993)</t>
  </si>
  <si>
    <t>project467</t>
  </si>
  <si>
    <t>idaho and southwestern montana greater sage-grouse land use plan amendments</t>
  </si>
  <si>
    <t>idaho and southwestern montana greater sage-grouse proposed land use plan amendments</t>
  </si>
  <si>
    <t>project471</t>
  </si>
  <si>
    <t>illinois 336 corridor project (federal aid primary route 315) proposed macomb bypass in mcdonough county to i-474 west of peoria in peoria county funding mcdonough fulton and peoria counties il</t>
  </si>
  <si>
    <t>Final(04/08/2011);Draft(06/26/2009)</t>
  </si>
  <si>
    <t>Draft(06/26/2009);Final(04/08/2011)</t>
  </si>
  <si>
    <t>il-315 federal aid primary (fap) (illinois-336) transportation project construction fro fap 315 il 336 (southeast of carthage) to us 136 west of macomb funding coe 404 permit and npdes permit hancock and mcdonough counties il</t>
  </si>
  <si>
    <t>Final(09/03/1999)</t>
  </si>
  <si>
    <t>macomb area study construction from u.s. route 67 (fap-310) and illinois route 336 (fap-315) city of macomb mcdonough county il</t>
  </si>
  <si>
    <t>Draft(11/14/2003);Final(07/16/2004)</t>
  </si>
  <si>
    <t>project474</t>
  </si>
  <si>
    <t>imperial valley solar project (formerly known as stirling energy systems (ses) solar 2 project) construct and operate electric-generating facility imperial valley imperial county ca</t>
  </si>
  <si>
    <t>Draft(02/26/2010);Final(07/28/2010)</t>
  </si>
  <si>
    <t>Final(07/28/2010)</t>
  </si>
  <si>
    <t>stirling energy systems (ses) solar 2 project construct and operate electric-generating facility imperial valley imperial county ca</t>
  </si>
  <si>
    <t>Draft(02/26/2010)</t>
  </si>
  <si>
    <t>panoche valley solar facility</t>
  </si>
  <si>
    <t>white wind farm project construct a large utility-scale wind-powered electric energy generating facility sherman township brookings county sd</t>
  </si>
  <si>
    <t>Final(04/13/2007);Draft(08/18/2006)</t>
  </si>
  <si>
    <t>project477</t>
  </si>
  <si>
    <t>indiana dunes national lakeshoreshoreline restoration and management plan</t>
  </si>
  <si>
    <t>Final(09/12/2014);Draft(09/14/2012)</t>
  </si>
  <si>
    <t>gary marina development updated information for the new access alternatives approval and right- of-way permit indiana dunes national lakeshore city of gary lake county in</t>
  </si>
  <si>
    <t>Draft Supplement(04/08/1994)</t>
  </si>
  <si>
    <t>project484</t>
  </si>
  <si>
    <t>interstate 43 north-south freeway improvements</t>
  </si>
  <si>
    <t>Draft(03/28/2014);Final(12/12/2014)</t>
  </si>
  <si>
    <t>project489</t>
  </si>
  <si>
    <t>interstate 66 corridor tier 1</t>
  </si>
  <si>
    <t>Final(12/13/2013);Draft(02/22/2013)</t>
  </si>
  <si>
    <t>tier 1 - interstate 66 corridor from us route 15 in prince william county to interstate 495 in fairfax county</t>
  </si>
  <si>
    <t>Draft(02/22/2013)</t>
  </si>
  <si>
    <t>project491</t>
  </si>
  <si>
    <t>Final(10/19/2012);Draft(09/03/2010)</t>
  </si>
  <si>
    <t>interstate80/interstate 680/state route 12 interchange project proposal to ease traffic congestions accommodate projected growth and improve safety solano county ca</t>
  </si>
  <si>
    <t>benicia-martinez bridge project transportation improvements updated information i-680 from ca-4 in martinez to i-80 in fairfield i-80 from red top road to ca-12 east in fairfield i-780 from the i-680 interchange in benicia to lemon st. in vallego fu</t>
  </si>
  <si>
    <t>Draft Supplement(03/24/1995)</t>
  </si>
  <si>
    <t>benicia-martinez bridge system project construction/reconstruction portions of i-680 i-780 ad i-80 corridors funding u.s. cgd bridge permit and coe section 10 and 404 permits contra costa and solano counties ca</t>
  </si>
  <si>
    <t>Final(09/05/1997);Draft(11/29/1991)</t>
  </si>
  <si>
    <t>project498</t>
  </si>
  <si>
    <t>issuance of an incidental take permit for the beech ridge energy wind project habitat conservation plan</t>
  </si>
  <si>
    <t>Final(09/13/2013);Draft(08/24/2012)</t>
  </si>
  <si>
    <t>proposed issuance of an incidental take permit for the beech ridge energy wind project habitat conservation plan implementation greenbrier and nicholas counties wv</t>
  </si>
  <si>
    <t>project50</t>
  </si>
  <si>
    <t>apostle islands national lakeshore general management plan/wilderness management plan implementation bayfield and ashland counties wi</t>
  </si>
  <si>
    <t>Draft(08/17/2009);Final(05/20/2011)</t>
  </si>
  <si>
    <t>apostle islands national lakeshore wilderness study wilderness designation or nondesignation bayfield and ashland counties wi</t>
  </si>
  <si>
    <t>apostle islands national lakeshore wilderness study wilderness designation or nondesignation ashland and bayfield counties wi</t>
  </si>
  <si>
    <t>project505</t>
  </si>
  <si>
    <t>jackson vegetation management project implementation paulina ranger district ochoco national forest crook and wheeler counties or</t>
  </si>
  <si>
    <t>Final(05/18/2012);Draft(01/13/2012)</t>
  </si>
  <si>
    <t>deep vegetation management project implementation ochoco national forest paulina ranger district crook and wheeler counties or</t>
  </si>
  <si>
    <t>Final(10/12/2001);Draft(04/27/2001)</t>
  </si>
  <si>
    <t>deep vegetation management project implementation preferred alternative is c ochoco national forest paulina ranger district crook and wheeler counties or</t>
  </si>
  <si>
    <t>Final Supplement(02/13/2004)</t>
  </si>
  <si>
    <t>deep vegetation management project implementation additional information on four alternatives ochoco national forest paulina ranger district crook and wheeler counties or</t>
  </si>
  <si>
    <t>Draft Supplement(07/19/2002)</t>
  </si>
  <si>
    <t>project506</t>
  </si>
  <si>
    <t>jarbidge resource management plan</t>
  </si>
  <si>
    <t>Final(08/22/2014);Draft(09/03/2010)</t>
  </si>
  <si>
    <t>jarbidge resource area wilderness study areas wilderness recommendations designation elmore and owyhee counties id</t>
  </si>
  <si>
    <t>Second Final(10/09/1987)</t>
  </si>
  <si>
    <t>jarbidge draft resource management plan implementation elmore owy lee and twin falls countiesin south-central id and elko county in northern ca</t>
  </si>
  <si>
    <t>jarbidge ranger district rangeland management project authorize continued livestock grazing humboldt-toiyabe national forest columbia river nv</t>
  </si>
  <si>
    <t>Draft(06/23/2006)</t>
  </si>
  <si>
    <t>jarbidge canyon project road management plan implementation water projects construction along charleston-jarbidge road and south canyon road reconstruction humbolt-toiyabe national forest jarbidge ranger district elko county nv</t>
  </si>
  <si>
    <t>project509</t>
  </si>
  <si>
    <t>jimbilnan pinto valley black canyon eldorado ireteba peaks nellis wash spirit mountain and bridge canyon wilderness areas lake mead wilderness management plan</t>
  </si>
  <si>
    <t>Final(02/27/2015);Draft(01/17/2014)</t>
  </si>
  <si>
    <t>lake mead final wilderness management plan jimbilnan pinto valley black canyon eldorado ireteba peaks nellis wash spirit mountain and bridge canyon wilderness areas</t>
  </si>
  <si>
    <t>jimbilnan pinto valley black canyon eldorado ireteba peaks nellis wash spirit mountain and bridge canyon wilderness areas draft wilderness management plan</t>
  </si>
  <si>
    <t>lake mead national recreation area lake management plan implementation lakes mead and mohave clark county nv and mohave county az</t>
  </si>
  <si>
    <t>Final(01/17/2003)</t>
  </si>
  <si>
    <t>project51</t>
  </si>
  <si>
    <t>appalachian national scenic trail delaware water gap national recreation area middle delaware national scenic and recreational river susquehanna to roseland 500kv transmission line right-of-way and special-use-permit nj and pa</t>
  </si>
  <si>
    <t>Draft(11/25/2011);Final(08/31/2012)</t>
  </si>
  <si>
    <t>appalachian national scenic trail delaware water gap national recreation area middle delaware national scenic and recreational river proposal susquehanna to roseland 500kv transmission line right-of-way and special-use-permit nj and pa</t>
  </si>
  <si>
    <t>delaware water gap national recreation area (dwgnra) trail plan general management plan implementation delaware river pa and nj</t>
  </si>
  <si>
    <t>Final(12/10/1999);Draft(08/20/1999)</t>
  </si>
  <si>
    <t>PA NJ</t>
  </si>
  <si>
    <t>upper delaware scenic and recreational river</t>
  </si>
  <si>
    <t>Final(04/03/1987)</t>
  </si>
  <si>
    <t>project512</t>
  </si>
  <si>
    <t>Final(01/15/2016);Draft(04/03/2015)</t>
  </si>
  <si>
    <t>project514</t>
  </si>
  <si>
    <t>jordan cove energy and pacific connector gas pipeline project</t>
  </si>
  <si>
    <t>Final(10/09/2015);Draft(11/14/2014)</t>
  </si>
  <si>
    <t>adoption - jordan cove energy and pacific connector gas pipeline project</t>
  </si>
  <si>
    <t>jordan cove energy and pacific connector gas pipeline project construction and operation liquefied natural gas (lng) import terminal and natural gas pipeline facilities coos douglas jackson and klamath counties or</t>
  </si>
  <si>
    <t>Final(05/08/2009);Draft(09/05/2008)</t>
  </si>
  <si>
    <t>project518</t>
  </si>
  <si>
    <t>Final(03/07/2014);Draft(04/20/2012)</t>
  </si>
  <si>
    <t>project524</t>
  </si>
  <si>
    <t>kelsey peak timber sale and fuelbreak project</t>
  </si>
  <si>
    <t>Final(12/13/2013);Draft(04/26/2010)</t>
  </si>
  <si>
    <t>kelsey peak timber sale and fuelbreak project proposing to harvest commercial timber and create fuelbreak upper mad river watershed mad river ranger district six rivers national forest trinity county ca</t>
  </si>
  <si>
    <t>Draft(04/26/2010)</t>
  </si>
  <si>
    <t>strategic community fuelbreak improvement project</t>
  </si>
  <si>
    <t>Final(09/28/2018);Draft(01/27/2017)</t>
  </si>
  <si>
    <t>katka peak timber sale and road construction implementation bonners ferry ranger district idaho panhandle national forests boundary county id</t>
  </si>
  <si>
    <t>Final(07/22/1994);Draft(07/09/1993)</t>
  </si>
  <si>
    <t>dome peak timber sale timber harvesting and road construction white river national forest eagle ranger district glenwood spring eagle and garfield counties co</t>
  </si>
  <si>
    <t>Draft(07/18/1997);Final(02/06/1998)</t>
  </si>
  <si>
    <t>project525</t>
  </si>
  <si>
    <t>kemper county integrated gasification combined-cycle (igcc) project construction and operation of advanced power generation plant u.s. army coe section 404 permit kemper county ms</t>
  </si>
  <si>
    <t>Final(05/21/2010);Draft(11/06/2009)</t>
  </si>
  <si>
    <t>martin coal gasification/combined cycle project construction and operation issuance of new source npdes permit section 404 permit martin county fl</t>
  </si>
  <si>
    <t>Final(05/17/1991);Draft(01/04/1991)</t>
  </si>
  <si>
    <t>hydrogen energy california integrated gasification combined cycle project</t>
  </si>
  <si>
    <t>kentucky pioneer integrated gasification combined cycle demonstration project construction and operation of a 540 megawatt-electric power plant clean coal technology program clark county ky</t>
  </si>
  <si>
    <t>project527</t>
  </si>
  <si>
    <t>Final(08/28/2015);Draft(05/22/2015)</t>
  </si>
  <si>
    <t>damon fire salvage and restoration project implementation modoc national forest modoc county ca</t>
  </si>
  <si>
    <t>Final(08/01/1997);Draft(05/02/1997)</t>
  </si>
  <si>
    <t>project532</t>
  </si>
  <si>
    <t>Draft(09/30/2011);Final(06/07/2013)</t>
  </si>
  <si>
    <t>klamath facilities removal project advance restoration of the salmonid fisheries klamath basin siskiyou county ca and klamath county or</t>
  </si>
  <si>
    <t>los padres tamarisk removal</t>
  </si>
  <si>
    <t>project538</t>
  </si>
  <si>
    <t>project546</t>
  </si>
  <si>
    <t>Final(09/06/2013);Draft(10/19/2012)</t>
  </si>
  <si>
    <t>denver federal center master site plan implementation city of lakewood jefferson county co</t>
  </si>
  <si>
    <t>Final(09/19/1997);Draft(03/07/1997)</t>
  </si>
  <si>
    <t>project550</t>
  </si>
  <si>
    <t>legislative - glacier bay national park project authorize harvest of glaucous-winged gull eggs by the huna tlingit implementation ak</t>
  </si>
  <si>
    <t>Final(05/28/2010);Draft(12/19/2008)</t>
  </si>
  <si>
    <t>glacier bay national park and preserve wilderness recommendations designation or nondesignation ak</t>
  </si>
  <si>
    <t>Final(10/07/1988);Draft(05/20/1988)</t>
  </si>
  <si>
    <t>glacier bay national park and preserve falls creek hydroelectric project (ferc. no. 11659) and land exchange project issuance of license and land exchange kahtaheena river (falls creek) near gustavus in southeastern ak</t>
  </si>
  <si>
    <t>Draft(11/07/2003);Final(07/09/2004)</t>
  </si>
  <si>
    <t>main bay salmon hatchery expansion implementation special-use-permit and coe section 404 permit prince william sound chugach national forest glacier ranger district ak</t>
  </si>
  <si>
    <t>Final(05/13/1994);Draft(08/20/1993)</t>
  </si>
  <si>
    <t>glacier bay national park and preserve vessel quotas and operating requirements for cruise ships and tour charter and private vessels implementation ak</t>
  </si>
  <si>
    <t>Draft(03/21/2003);Final(10/10/2003)</t>
  </si>
  <si>
    <t>project551</t>
  </si>
  <si>
    <t>legislative - renewal of naval air weapons station china lake public land withdrawal</t>
  </si>
  <si>
    <t>Draft(08/10/2012);Final(09/04/2015)</t>
  </si>
  <si>
    <t>china lake naval air weapons station military operational increases and implementation of associated comprehensive land use and integrated natural resources management plans located in the north and south range inyo kern and san bernardino counties ca</t>
  </si>
  <si>
    <t>Draft(11/22/2002)</t>
  </si>
  <si>
    <t>china lake naval air weapons station proposed military operational increases and implementation of associated comprehensive land use and integrated natural resources management plans located on the north and south ranges inyo kern and san bernardino counties ca</t>
  </si>
  <si>
    <t>project553</t>
  </si>
  <si>
    <t>lewis and clark national wildlife refuge and julia butler hansen refuge for the columbian white-tailed deer comprehensive conservation plan implementation wahkiakum county wa and clatsop and columbia counties or</t>
  </si>
  <si>
    <t>Draft(02/26/2010);Final(08/13/2010)</t>
  </si>
  <si>
    <t>project557</t>
  </si>
  <si>
    <t>Draft(05/09/2014);Final(10/02/2015)</t>
  </si>
  <si>
    <t>link light rail operations and maintenance satellite facility</t>
  </si>
  <si>
    <t>newark - elizabeth rail link (nerl) study corridor transportation improvements light rail transit (lrt) essex and union counties nj</t>
  </si>
  <si>
    <t>Draft(01/17/1997);Final(09/11/1998)</t>
  </si>
  <si>
    <t>project562</t>
  </si>
  <si>
    <t>llano seco riparian sanctuary unit restoration and pumping plant/fish screen facility protection project</t>
  </si>
  <si>
    <t>Final(03/15/2013);Draft(05/04/2012)</t>
  </si>
  <si>
    <t>llano seco riparian sanctuary unit restoration and pumping plant/fish screen facility protection project measures to restore riparian habitat and to protect the alignment of the sacramento river usace section 10 and 404 permits sacramento river national wildlife refuge butte and glenn counties ca</t>
  </si>
  <si>
    <t>Draft(05/04/2012)</t>
  </si>
  <si>
    <t>hamilton city pumping plant fish screen improvement project coe section 10 and 404 permits central valley butte colusa glenn and tehama counties ca</t>
  </si>
  <si>
    <t>Draft(10/10/1997);Final(02/06/1998)</t>
  </si>
  <si>
    <t>project563</t>
  </si>
  <si>
    <t>contra costa water district multi-purpose pipeline (mpp) project construction and operation of raw water delivery system contra costa canal coe section 10 and 404 permits contra costa county ca</t>
  </si>
  <si>
    <t>project567</t>
  </si>
  <si>
    <t>long walk national historic trail feasibility study to evaluate the suitability and feasibility of designating the routes implementation apache coconino navajo counties az; bernalillo cibola de baca guadalupe lincoln mckinley mora otero santa fe sandolval torrance valencia counties nm</t>
  </si>
  <si>
    <t>Draft(04/17/2009);Final(01/28/2011)</t>
  </si>
  <si>
    <t>albuquerque field office riparian and aquatic habitat management to restore and protect rio puerco resource management plan amendment (rmpa) cibola sandoval mckinley rio arriba bernalillo valencia and santa fe counties nm</t>
  </si>
  <si>
    <t>albuquerque field office riparian and aquatic habitats management rio puerco resource management plan amendment (rmpa) restoration and protection cibola sandoval mckinley rio arriba bernalillo valencia and santa fe counties nm</t>
  </si>
  <si>
    <t>rio puerco resource management plan implementation cibola mckinney sandoval torrance and valencia counties nm</t>
  </si>
  <si>
    <t>project572</t>
  </si>
  <si>
    <t>Final(09/16/2016);Draft(06/10/2016)</t>
  </si>
  <si>
    <t>southern california national forests land management plans revision of the angeles cleveland los padres and san bernardino national forests land management plans implementation san bernardino riverside and san diego counties ca</t>
  </si>
  <si>
    <t>Second Final(04/21/2006);Final(09/30/2005);Draft(05/14/2004)</t>
  </si>
  <si>
    <t>project573</t>
  </si>
  <si>
    <t>los vaqueros reservoir expansion project to develop water supplies environmental water management that supports fish protection habitat management and other environmental water needs in the delta and tributary river systems san francisco bay area contra costa county ca</t>
  </si>
  <si>
    <t>Final(04/09/2010);Draft(02/27/2009)</t>
  </si>
  <si>
    <t>delta wetlands project construction and operation water storage project on four islands in the sacramento-san joaquin delta approval of permits san joaquin and contra costa counties ca</t>
  </si>
  <si>
    <t>Final(08/03/2001)</t>
  </si>
  <si>
    <t>project577</t>
  </si>
  <si>
    <t>louisiana coastal area barataria basin barrier shoreline restoration to restore the barrier shoreline ecosystem and significantly reduce the loss of estuarine and freshwater wetlands caminada headland in lafourche and jefferson parishes and shell islands in plaguemines parish la</t>
  </si>
  <si>
    <t>Draft(06/24/2011);Final(03/30/2012)</t>
  </si>
  <si>
    <t>louisiana coastal wetlands comprehensive restoration plan implementation and funding several parishes la</t>
  </si>
  <si>
    <t>Draft(07/16/1993);Final(12/30/1993)</t>
  </si>
  <si>
    <t>project580</t>
  </si>
  <si>
    <t>lower san joaquin river project</t>
  </si>
  <si>
    <t>Draft(02/27/2015)</t>
  </si>
  <si>
    <t>project584</t>
  </si>
  <si>
    <t>project585</t>
  </si>
  <si>
    <t>beaver woods vegetation management project implementation bitterroot national forest west fork ranger district ravalli county mt</t>
  </si>
  <si>
    <t>Final(11/09/1995);Draft(05/19/1995)</t>
  </si>
  <si>
    <t>buck-little boulder timber sales timber harvest implementation bitterroot river bitterroot national forest west fork ranger district ravalli county mt</t>
  </si>
  <si>
    <t>Final(08/27/1993);Draft(03/12/1993)</t>
  </si>
  <si>
    <t>bear timber sales implementation bitterroot national forest darby ranger district ravalli county mt</t>
  </si>
  <si>
    <t>Final(08/19/1994);Draft(04/01/1994)</t>
  </si>
  <si>
    <t>project59</t>
  </si>
  <si>
    <t>project590</t>
  </si>
  <si>
    <t>mackey road relocation</t>
  </si>
  <si>
    <t>Draft(05/24/2013);Final(09/20/2013)</t>
  </si>
  <si>
    <t>south medford interchange project relocation on i-5 south of its current location at barnett road funding jackson county or</t>
  </si>
  <si>
    <t>Draft(12/14/2001)</t>
  </si>
  <si>
    <t>tupelo railroad relocation planning and environmental study</t>
  </si>
  <si>
    <t>south medford interchange project interchange project relocation on i-5 (pacific highway) south of its current location at barnett road funding jackson county or</t>
  </si>
  <si>
    <t>md-32 relocation and upgrade of related facilities md-108 to pindell school road funding and 404 permit howard county md</t>
  </si>
  <si>
    <t>Final Supplement(06/16/1989)</t>
  </si>
  <si>
    <t>project593</t>
  </si>
  <si>
    <t>magone project</t>
  </si>
  <si>
    <t>Final(01/06/2017);Draft(02/05/2016)</t>
  </si>
  <si>
    <t>Draft(02/05/2016)</t>
  </si>
  <si>
    <t>project594</t>
  </si>
  <si>
    <t>Draft(11/08/2013);Final(04/24/2015)</t>
  </si>
  <si>
    <t>project596</t>
  </si>
  <si>
    <t>mamaroneck and sheldrake rivers flood risk management project</t>
  </si>
  <si>
    <t>Final(04/21/2017);Draft(01/29/2016)</t>
  </si>
  <si>
    <t>mamaroneck and sheldrake rivers flood risk management projecct</t>
  </si>
  <si>
    <t>Final(04/21/2017)</t>
  </si>
  <si>
    <t>mamaroneck and sheldrake rivers flood risk management village of mamaroneck general reevaluation</t>
  </si>
  <si>
    <t>skagit river flood risk management general investigation</t>
  </si>
  <si>
    <t>Draft(06/06/2014)</t>
  </si>
  <si>
    <t>puyallup river basin, flood risk management general investigation</t>
  </si>
  <si>
    <t>project597</t>
  </si>
  <si>
    <t>mariana islands range complex (mirc) to address ongoing and proposed military training activities mariana islands gu</t>
  </si>
  <si>
    <t>Draft(01/30/2009);Final(06/04/2010)</t>
  </si>
  <si>
    <t>project601</t>
  </si>
  <si>
    <t>Draft(12/02/2011);Final(08/24/2012)</t>
  </si>
  <si>
    <t>project602</t>
  </si>
  <si>
    <t>project603</t>
  </si>
  <si>
    <t>martin dam hydroelectric project - ferc project no. 349-173 alabama</t>
  </si>
  <si>
    <t>Draft(06/14/2013);Final(04/10/2015)</t>
  </si>
  <si>
    <t>martin dam hydroelectric project ferc project no. 349-173</t>
  </si>
  <si>
    <t>clackamas river hydroelectric project application for relicensing of a existing 173 megawatt(ms) project (ferc no. 2195-011) clackamas river basin clackamas county or</t>
  </si>
  <si>
    <t>Final(12/29/2006);Draft(06/23/2006)</t>
  </si>
  <si>
    <t>project605</t>
  </si>
  <si>
    <t>master special use permit and permit to construct power line replacement projects</t>
  </si>
  <si>
    <t>Final(07/10/2015);Draft(09/05/2014)</t>
  </si>
  <si>
    <t>turntable bay marina master development project implementation shasta-trinity national forest special use permit shasta and trinity counties ca</t>
  </si>
  <si>
    <t>Final(08/24/2007)</t>
  </si>
  <si>
    <t>mount hood meadows ski area additional development and expansion master plan approval special use permits and 404 permit mount hood national forest hood river county or</t>
  </si>
  <si>
    <t>Draft(03/03/1989)</t>
  </si>
  <si>
    <t>snowbird ski and summer resort master development plan implementation special-use-permit and coe section 404 permit salt lake and lake counties ut</t>
  </si>
  <si>
    <t>project607</t>
  </si>
  <si>
    <t>project608</t>
  </si>
  <si>
    <t>mckinley county easement - forest roads 191 and 191d implementation cibola national forest mckinley county nm</t>
  </si>
  <si>
    <t>Final(07/08/2011);Draft(04/02/2010)</t>
  </si>
  <si>
    <t>las huertas canyon land and resource management plan implementation cibola national forest bernalillo and sandoval counties nm</t>
  </si>
  <si>
    <t>Final(06/30/1989);Draft(07/15/1988)</t>
  </si>
  <si>
    <t>tajique watershed restoration project proposes fuel reduction and restore forest health cibola national forest torrance county nm</t>
  </si>
  <si>
    <t>project609</t>
  </si>
  <si>
    <t>Draft(09/14/2012);Final(07/19/2013)</t>
  </si>
  <si>
    <t>medical facilities development and university expansion at naval support activity bethseda montgomery county md</t>
  </si>
  <si>
    <t>national naval medical center activities to implement 2005 base realignment and closure actions construction and operation of new facilities for walter reed national military medical center bethesda md</t>
  </si>
  <si>
    <t>Final(04/04/2008);Draft(12/14/2007)</t>
  </si>
  <si>
    <t>USA USN</t>
  </si>
  <si>
    <t>defense evaluation support activity testing and evaluation program for advanced weapons systems implementation</t>
  </si>
  <si>
    <t>Draft(08/21/1992)</t>
  </si>
  <si>
    <t>DOD</t>
  </si>
  <si>
    <t>galveston national laboratory for biodefense and emerging infectious diseases research facility at the university of texas medical branch construction partial funding grant galveston tx</t>
  </si>
  <si>
    <t>Draft(10/15/2004)</t>
  </si>
  <si>
    <t>project62</t>
  </si>
  <si>
    <t>midcontinent supply header interstate pipeline project</t>
  </si>
  <si>
    <t>southeast supply header project construction and operation of natural gas pipeline facilities located in various counties and parishes in la ms and al</t>
  </si>
  <si>
    <t>Final(08/17/2007);Draft(05/04/2007)</t>
  </si>
  <si>
    <t>project620</t>
  </si>
  <si>
    <t>project624</t>
  </si>
  <si>
    <t>inyo national forest land and resource management plan implementation inyo mono fresno madera and tulare counties ca and esmeralda and mineral counties nv</t>
  </si>
  <si>
    <t>project628</t>
  </si>
  <si>
    <t>modernization and enhancement of ranges, airspace and training areas in the joint pacific alaska range complex in alaska</t>
  </si>
  <si>
    <t>Final(06/28/2013);Draft(03/30/2012)</t>
  </si>
  <si>
    <t>modernization and enhancement of ranges airspace and training areas in the joint pacific alaska range complex in alaska</t>
  </si>
  <si>
    <t>Final(06/28/2013)</t>
  </si>
  <si>
    <t>modernization and enhancement of ranges airspace and training areas in the joint pacific alaska range complex ak</t>
  </si>
  <si>
    <t>project635</t>
  </si>
  <si>
    <t>monomoy national wildlife refuge comprehensive conservation plan</t>
  </si>
  <si>
    <t>Final(11/06/2015);Draft(04/18/2014)</t>
  </si>
  <si>
    <t>project636</t>
  </si>
  <si>
    <t>project637</t>
  </si>
  <si>
    <t>monroe mountain ecosystem restoration project implementation fishlake national forest richfield ranger district sevier and piute counties ut</t>
  </si>
  <si>
    <t>Draft(09/24/1999)</t>
  </si>
  <si>
    <t>monroe mountain ecosystem restoration project implementation richfield ranger district fishlake national forest sevier and piute counties ut</t>
  </si>
  <si>
    <t>project639</t>
  </si>
  <si>
    <t>Final(09/10/2010);Draft(06/26/2009)</t>
  </si>
  <si>
    <t>final supplemental environmental statement for the proposed amendment to the endangered species act 10(a)(1)(b) permit associated with the montana department of natural resources and conservation forested state trust lands habitat conservation plan</t>
  </si>
  <si>
    <t>Final Supplement(05/25/2018)</t>
  </si>
  <si>
    <t>montana department of natural and resources and conservation plan (hcp) forested state trust lands designed to minimize and mitigate any such take of endangered or threatened species application for an incidental take permit mt</t>
  </si>
  <si>
    <t>Draft(06/26/2009)</t>
  </si>
  <si>
    <t>washington state department of natural resources (wdnr) habitat conservation plan (hcp) issuance of a permit for incidental take of federally-listed species and implementation of the multi-species plan for lands managed by wdnr wa</t>
  </si>
  <si>
    <t>Final(11/01/1996);Draft(04/05/1996)</t>
  </si>
  <si>
    <t>project642</t>
  </si>
  <si>
    <t>Final(06/24/2016);Draft(12/20/2013)</t>
  </si>
  <si>
    <t>monument butte oil and gas development project</t>
  </si>
  <si>
    <t>diamond mountain resource area resource management plan implementation daggett duchesne and uintah counties ut</t>
  </si>
  <si>
    <t>Final(08/13/1993);Draft(01/03/1992)</t>
  </si>
  <si>
    <t>project645</t>
  </si>
  <si>
    <t>morehead city harbor integrated dredged material management plan</t>
  </si>
  <si>
    <t>Draft(11/01/2013);Final(06/10/2016)</t>
  </si>
  <si>
    <t>morehead city harbor integrated dredged material management plan port of morehead city</t>
  </si>
  <si>
    <t>project649</t>
  </si>
  <si>
    <t>project65</t>
  </si>
  <si>
    <t>atlantic sunrise project</t>
  </si>
  <si>
    <t>Final(01/06/2017);Draft(05/12/2016)</t>
  </si>
  <si>
    <t>Final(01/06/2017)</t>
  </si>
  <si>
    <t>mt. hood meadows parking improvements (twilight parking lot and sunrise maintenance shop)</t>
  </si>
  <si>
    <t>project650</t>
  </si>
  <si>
    <t>mountain valley project and equitrans expansion project</t>
  </si>
  <si>
    <t>Final(06/30/2017);Draft(09/16/2016)</t>
  </si>
  <si>
    <t>west mountain north project timber harvest road construction and reconstruction boise national forest cascade ranger district valley county id</t>
  </si>
  <si>
    <t>cortez gold mines expansion project construction and operation mining plan of operations right-of-way permits special-use permit npdes and section 404 permits crescent valley south of battle mountain district lander and eureka counties nv</t>
  </si>
  <si>
    <t>Final(08/20/1993);Draft(12/24/1992)</t>
  </si>
  <si>
    <t>west mountain north project timber harvest road construction and reconstruction boise national forest cascade range district valley county id</t>
  </si>
  <si>
    <t>Draft(06/30/2000)</t>
  </si>
  <si>
    <t>project654</t>
  </si>
  <si>
    <t>Draft(05/03/2013);Final(01/17/2014)</t>
  </si>
  <si>
    <t>mount hood meadows ski area additional development and expansion to the skiing and summer areas construction to forest road 3555 special use permit and npdes permit hood river ranger district mount hood national forest hood river county or</t>
  </si>
  <si>
    <t>Final Supplement(01/24/1997)</t>
  </si>
  <si>
    <t>mount hood meadows ski area additional development and expansion to the sking and summer areas construction to forest road 3555 special use permit and npdes permit hood river ranger district mount hood national forest hood river county or</t>
  </si>
  <si>
    <t>Draft Supplement(07/12/1996)</t>
  </si>
  <si>
    <t>project657</t>
  </si>
  <si>
    <t>multiple projects in support of marine barracks washington</t>
  </si>
  <si>
    <t>Draft(04/17/2015);Final(12/01/2017)</t>
  </si>
  <si>
    <t>final environmental impact statement for multiple projects in support of marine barracks washington, d.c.</t>
  </si>
  <si>
    <t>Final(12/01/2017)</t>
  </si>
  <si>
    <t>maneuver center of excellence at fort benning project proposed community services personnel support classroom barracks and dining facilities would be constructed in three of the four cantonment areas fort benning ga</t>
  </si>
  <si>
    <t>project66</t>
  </si>
  <si>
    <t>auc, llc reno creek, in situ project, new source material license application</t>
  </si>
  <si>
    <t>Final(12/16/2016);Draft(06/30/2016)</t>
  </si>
  <si>
    <t>port dolphin llc liquefied natural gas deepwater port license application proposes to own construct and operate a deepwater port outer continental shelf manatee county fl</t>
  </si>
  <si>
    <t>Final(07/10/2009);Draft(04/18/2008)</t>
  </si>
  <si>
    <t>eagle lng partners jacksonville, llc</t>
  </si>
  <si>
    <t>project674</t>
  </si>
  <si>
    <t>naval sea systems command (navsea). naval undersea warfare center (nuwc) keyport complex extension propose to extend the operational areas three distinct range sites: keyport range site; dabob bay range complex (dbrc) site quinault underwater tracking range site gray harbor jefferson kitsap and mason counties wa</t>
  </si>
  <si>
    <t>Final(05/21/2010);Draft(09/12/2008)</t>
  </si>
  <si>
    <t>undersea warfare training range project installation and operation preferred site jacksonville operating area fl and alternative sites (within the charleston sc; cherry point nc; and vacapes operating areas va</t>
  </si>
  <si>
    <t>Final(06/26/2009);Draft(09/12/2008)</t>
  </si>
  <si>
    <t>naval sea systems command headquarters (navsea) base realignment and closure action relocation from arlington va to washington navy yard (wny) in southeast washington dc</t>
  </si>
  <si>
    <t>Final(10/10/1997);Draft(12/27/1996)</t>
  </si>
  <si>
    <t>undersea warfare training range (uswtr) installation and operation preferred site (in the cherry point operating area) and the alternate sites (within the virginia capes and jacksonville operating areas) nc va and fl</t>
  </si>
  <si>
    <t>Draft(10/28/2005)</t>
  </si>
  <si>
    <t>olympic national park general management plan implementation clallam grays harbor jefferson and mason counties wa</t>
  </si>
  <si>
    <t>Final(03/14/2008);Draft(06/16/2006)</t>
  </si>
  <si>
    <t>project675</t>
  </si>
  <si>
    <t>nc- 1409 (military cutoff road) extension and proposed us 17 hampstead bypass</t>
  </si>
  <si>
    <t>Final(08/08/2014);Draft(09/23/2011)</t>
  </si>
  <si>
    <t>nc-1409 (military cutoff road) extension and proposed us 17 hampstead bypass</t>
  </si>
  <si>
    <t>Draft Supplement(11/01/2013)</t>
  </si>
  <si>
    <t>nc-1409 (military cutoff road) extension and proposed us 17 hampstead bypass new hanover and pender counties nc</t>
  </si>
  <si>
    <t>nc- 1409 (military cutoff road) extension and proposed us 17 homestead bypass</t>
  </si>
  <si>
    <t>philadelphia international airport project proposed runway 17-35 extension project funding npdes permit and us army coe section 404 permit philadelphia pa</t>
  </si>
  <si>
    <t>wilmington bypass transportation improvements us 17 to us 421 funding coe section 10 and 404 permits and us coast guard bridge permit issuance brunswick and new hanover counties nc</t>
  </si>
  <si>
    <t>Final(05/25/2007)</t>
  </si>
  <si>
    <t>project678</t>
  </si>
  <si>
    <t>nec future: a rail investment plan for the northeast corridor, tier 1 final environmental impact statement</t>
  </si>
  <si>
    <t>Draft(11/13/2015);Final(12/23/2016)</t>
  </si>
  <si>
    <t>final environmental impact statement for the enefit american oil utility corridor project</t>
  </si>
  <si>
    <t>Final(05/25/2018)</t>
  </si>
  <si>
    <t>project68</t>
  </si>
  <si>
    <t>bailey aeneas revis and tunk livestock grazing analysis</t>
  </si>
  <si>
    <t>Final(08/22/2014);Draft(04/11/2014)</t>
  </si>
  <si>
    <t>bailey aeneas revis and tunk c &amp; h livestock grazing analysis</t>
  </si>
  <si>
    <t>new mexico standards for public land health and guidelines for livestock grazing management implementation nm</t>
  </si>
  <si>
    <t>Draft(01/29/1999);Final(01/31/2000)</t>
  </si>
  <si>
    <t>porcupine east 9 allotment grazing analysis project authorizing livestock grazing caribou-targhee national forest dubois ranger district cenntenial mountains clark county id</t>
  </si>
  <si>
    <t>Final(07/01/2005);Draft(04/01/2005)</t>
  </si>
  <si>
    <t>project681</t>
  </si>
  <si>
    <t>new england fishery management council, skate fmp</t>
  </si>
  <si>
    <t>Final(01/22/2010);Draft(09/26/2008)</t>
  </si>
  <si>
    <t>northeast skate complex fishery management plan implementation of management measures magnuson stevens fishery conservation and management act new england fishery management council</t>
  </si>
  <si>
    <t>northeast skate complex fishery management plan implementation of management measures magnuson-stevens fishery conservation and management act new england fishery management council</t>
  </si>
  <si>
    <t>monkfish fishery management plan (fmp) amendment 2 implementation proposes measures to address a wide range of management issues new england and mid-atlantic</t>
  </si>
  <si>
    <t>Final Supplement(01/14/2005)</t>
  </si>
  <si>
    <t>project683</t>
  </si>
  <si>
    <t>new melones lakes area resource management plan implementation tuolumne and calaveras counties ca</t>
  </si>
  <si>
    <t>Draft(11/13/2009);Final(02/19/2010)</t>
  </si>
  <si>
    <t>stanislaus national forest land and resource management plan implementation alpine calaveras mariposa and tuolumne counties ca</t>
  </si>
  <si>
    <t>Draft(11/09/1990);Final(11/08/1991)</t>
  </si>
  <si>
    <t>project686</t>
  </si>
  <si>
    <t>new special-use permits for recreation residences on the safford ranger district</t>
  </si>
  <si>
    <t>Draft(12/05/2008);Final(09/12/2014)</t>
  </si>
  <si>
    <t>safford recreation residences project proposes to issue 88 new special-use-permits for occpancy and use of recreation residence safford ranger district coronado national forest graham county az</t>
  </si>
  <si>
    <t>Draft(12/05/2008)</t>
  </si>
  <si>
    <t>safford resource area wilderness study area wilderness designation az and nm</t>
  </si>
  <si>
    <t>rogue river-siskiyou national forest special use permits for outfitter and guide operations on the lower rogue and lower rogue and lower illinois rivers gold beach ranger district rogue river-siskiyou national forest curry county or</t>
  </si>
  <si>
    <t>southeast federal center development land transfer for mixed-use development of residences offices shops a waterfront park and cultural amenities implementation dc</t>
  </si>
  <si>
    <t>Draft(10/03/2003);Final(05/28/2004)</t>
  </si>
  <si>
    <t>project691</t>
  </si>
  <si>
    <t>next nga west campus in the greater st. louis metropolitan area</t>
  </si>
  <si>
    <t>Draft(10/09/2015);Final(04/01/2016)</t>
  </si>
  <si>
    <t>NGA</t>
  </si>
  <si>
    <t>National Geospatial-Intelligence Agency</t>
  </si>
  <si>
    <t>project692</t>
  </si>
  <si>
    <t>nexus gas transmission project and texas eastern appalachian lease project</t>
  </si>
  <si>
    <t>Final(12/09/2016);Draft(07/15/2016)</t>
  </si>
  <si>
    <t>carthage to perryville project construction and operation of a natural gas pipeline facilities centerpoint energy gas transmission located in various counties and parishes in eastern texas and northern louisiana</t>
  </si>
  <si>
    <t>Draft(06/02/2006);Final(08/25/2006)</t>
  </si>
  <si>
    <t>project696</t>
  </si>
  <si>
    <t>Draft(07/22/2011);Final(06/14/2013)</t>
  </si>
  <si>
    <t>midwest wind energy multi-species habitat conservation plan</t>
  </si>
  <si>
    <t>Draft(04/15/2016)</t>
  </si>
  <si>
    <t>nisource multi-species habitat conservation plan proposes to use adaptive management to ensure flexibility to adjust operations to benefit species as new information is obtained application for incidental take permit eastern united states comprising portions of 14 states</t>
  </si>
  <si>
    <t>project697</t>
  </si>
  <si>
    <t>norbeck wildlife project proposing to manage vegetation to benefit game animals and bird black hills national forest custer and pennington counties sd</t>
  </si>
  <si>
    <t>Draft(11/27/2009);Final(04/16/2010)</t>
  </si>
  <si>
    <t>norbeck wildlife preserve land management plan implementation black hills national forest custer and pennington counties sd</t>
  </si>
  <si>
    <t>Second Draft(03/17/1989)</t>
  </si>
  <si>
    <t>norbeck wildlife preserve land management plan implementation black hills national forest land and resource management plan custer and pennington counties sd</t>
  </si>
  <si>
    <t>Second Final(08/11/1989)</t>
  </si>
  <si>
    <t>norbeck wildlife preserve land management plan implementation additional information black hills national forest land and resource management plan custer and pennington county sd</t>
  </si>
  <si>
    <t>Final Supplement(09/04/1992)</t>
  </si>
  <si>
    <t>project700</t>
  </si>
  <si>
    <t>north anna power station unit 3 application for combined license (nureg-1917)</t>
  </si>
  <si>
    <t>Draft(12/24/2008);Final(03/24/2010)</t>
  </si>
  <si>
    <t>generic - north anna power station units 1 and 2 supplement 7 to nureg-1437 license renewal va</t>
  </si>
  <si>
    <t>Draft(05/17/2002);Final(12/13/2002)</t>
  </si>
  <si>
    <t>early site permit (esp) at the north anna power station esp site (tac no. mc1128) new and updated information construction and operation nureg-1811 louisa county va</t>
  </si>
  <si>
    <t>Draft Supplement(07/14/2006);Final(12/22/2006)</t>
  </si>
  <si>
    <t>project702</t>
  </si>
  <si>
    <t>Final(03/14/2014);Draft(07/10/2009)</t>
  </si>
  <si>
    <t>north billings county allotment management plan revisions proposes to continue to permit livestock grazing on 43 allotments medora ranger district dakota prairie grasslands billings county nd</t>
  </si>
  <si>
    <t>Draft(07/10/2009)</t>
  </si>
  <si>
    <t>north billings county allotment management plan revisions updated information proposes to continue to permit livestock grazing on 43 allotments medora ranger district dakota prairie grasslands billings county nd</t>
  </si>
  <si>
    <t>Draft Supplement(07/08/2011)</t>
  </si>
  <si>
    <t>project703</t>
  </si>
  <si>
    <t>north cumberland wildlife management area, tennessee lands unsuitable for mining petition</t>
  </si>
  <si>
    <t>Final(10/28/2016);Draft(12/11/2015)</t>
  </si>
  <si>
    <t>north cumberland wildlife management area, tennessee lands unsuitable for mining</t>
  </si>
  <si>
    <t>fern lake petition area for surface coal mining operations designation or undesignation as unsuitable for coal mining operations claiborne county tn</t>
  </si>
  <si>
    <t>Final(08/09/1996);Draft(01/26/1996)</t>
  </si>
  <si>
    <t>black diamond petition area designation of lands suitable for surface coal mining operations king county wa</t>
  </si>
  <si>
    <t>fall creek falls petition evaluation document implementation designate the land as unsuitable for surface coal mining operation van buren and bledsoe counties tn</t>
  </si>
  <si>
    <t>Final(03/03/2000);Draft(05/01/1998)</t>
  </si>
  <si>
    <t>project705</t>
  </si>
  <si>
    <t>north end sheep allotment project proposes to authorize grazing domestic sheep walla walla range district of the umatilla national forest wallowa union and umaitlla counties or</t>
  </si>
  <si>
    <t>Final(09/09/2011);Draft(02/11/2011)</t>
  </si>
  <si>
    <t>Final(09/09/2011)</t>
  </si>
  <si>
    <t>north end sheep allotment project proposes to authorize grazing domestic sheep walla walla range district of the umatilla national forest wallowa union and umatlla counties or</t>
  </si>
  <si>
    <t>Draft(02/11/2011)</t>
  </si>
  <si>
    <t>cottonwood resource management plan amendment for domestic sheep grazing</t>
  </si>
  <si>
    <t>project71</t>
  </si>
  <si>
    <t>ballville dam project</t>
  </si>
  <si>
    <t>Draft(01/24/2014);Final(08/01/2014)</t>
  </si>
  <si>
    <t>folsom dam road access restriction project control access to folsom dam city of folsom ca</t>
  </si>
  <si>
    <t>Draft(12/03/2004);Final(04/22/2005)</t>
  </si>
  <si>
    <t>project718</t>
  </si>
  <si>
    <t>northwest colorado greater sage-grouse land use plan amendments</t>
  </si>
  <si>
    <t>Final(05/29/2015);Draft(08/16/2013)</t>
  </si>
  <si>
    <t>project720</t>
  </si>
  <si>
    <t>northwest training and testing (phase ii)</t>
  </si>
  <si>
    <t>Draft(01/24/2014);Final(10/02/2015)</t>
  </si>
  <si>
    <t>project729</t>
  </si>
  <si>
    <t>Draft(12/16/2008);Final(09/02/2011)</t>
  </si>
  <si>
    <t>dixie national forest lands to identify oil and gas leasing of lands implementation garfield iron kane piute washington counties ut</t>
  </si>
  <si>
    <t>dixie national forest oil and gas leasing on federal lands implementation garfield kane iron washington piute and wayne counties ut published 6-16-95 - title correction.</t>
  </si>
  <si>
    <t>Draft(06/16/1995)</t>
  </si>
  <si>
    <t>dixie national forest motorized travel plan implementation dixie national and the teasdale portion of the fremont river ranger district on the fishlake national forest garfield iron kane piute washington and wayne counties ut</t>
  </si>
  <si>
    <t>Draft(05/23/2008);Final(05/22/2009)</t>
  </si>
  <si>
    <t>project73</t>
  </si>
  <si>
    <t>Final(11/18/2011);Draft(04/22/2011)</t>
  </si>
  <si>
    <t>west valley highway/norman h. bangerter highway transportation improvements 9000 south to 12600 south additional information concerning 9800 south at bangerter highway funding salt lake county ut</t>
  </si>
  <si>
    <t>Draft Supplement(12/15/1995);Final Supplement(07/19/1996)</t>
  </si>
  <si>
    <t>project738</t>
  </si>
  <si>
    <t>outer continental shelf, gulf of mexico, oil and gas lease sale, central planning area lease sale 247</t>
  </si>
  <si>
    <t>Final(09/16/2016);Draft(02/26/2016)</t>
  </si>
  <si>
    <t>project74</t>
  </si>
  <si>
    <t>Final(08/10/2012);Draft(08/26/2011)</t>
  </si>
  <si>
    <t>project742</t>
  </si>
  <si>
    <t>Draft(09/17/2010);Final(03/08/2013)</t>
  </si>
  <si>
    <t>pack and saddle stock outfitter-guide special use permit issuance okanogan chelah and skagit counties wa</t>
  </si>
  <si>
    <t>commercial pack station and pack stock outfitter/ guide permit issuance implementation special-use-permit to twelve pack station and two outfitter/guides inyo national forest ca</t>
  </si>
  <si>
    <t>Final(02/09/2007);Draft(03/24/2006)</t>
  </si>
  <si>
    <t>project745</t>
  </si>
  <si>
    <t>project749</t>
  </si>
  <si>
    <t>Final(12/31/2015);Draft(09/11/2015)</t>
  </si>
  <si>
    <t>project751</t>
  </si>
  <si>
    <t>pellissippi parkway extension project</t>
  </si>
  <si>
    <t>Final(09/18/2015);Draft(05/07/2010)</t>
  </si>
  <si>
    <t>pellissippi parkway extension (state route 162) from state route 33 (old knoxville highway) to us 321/state route 73/lamar alexander parkway</t>
  </si>
  <si>
    <t>pellissippi parkway extension (tn-162) project from tn-33 (old knoxville highway) to us-321/tn-73/larmar alexander parkway blount county tn</t>
  </si>
  <si>
    <t>oakhill parkway</t>
  </si>
  <si>
    <t>Texas Department of Transportation</t>
  </si>
  <si>
    <t>project752</t>
  </si>
  <si>
    <t>Final(04/14/2017);Draft(07/22/2016)</t>
  </si>
  <si>
    <t>project755</t>
  </si>
  <si>
    <t>phase 2 fuel effi_x001F_ciency standards for medium- and heavy-duty engines and vehicles</t>
  </si>
  <si>
    <t>Draft(06/26/2015);Final(08/26/2016)</t>
  </si>
  <si>
    <t>draft eis for the safer affordable fuel-efficient (safe) vehicles rule for model year 2021</t>
  </si>
  <si>
    <t>project757</t>
  </si>
  <si>
    <t>phelps vegetation and transportation management project proposal to implement vegetation and transportation management activities eagle river-florence ranger district vilas county wi</t>
  </si>
  <si>
    <t>Final(08/12/2011);Draft(04/08/2011)</t>
  </si>
  <si>
    <t>Draft(04/08/2011);Final(08/12/2011)</t>
  </si>
  <si>
    <t>fishel vegetation and transportation management project to implement land management activities eagle river-florence ranger district chequamegor-nicolet national forest forest and vilas counties wi</t>
  </si>
  <si>
    <t>Final(03/07/2008)</t>
  </si>
  <si>
    <t>grub hoe vegetation and transportation management project proposes to implement vegetation management activities eagle river florence ranger district chequamegon-nicolet national forest florence county wi</t>
  </si>
  <si>
    <t>Draft(05/01/2009);Final(10/16/2009)</t>
  </si>
  <si>
    <t>project758</t>
  </si>
  <si>
    <t>philadelphia international airport capacity enhancement program to accommodate current and future aviation demand funding and us army coe section 404 permit</t>
  </si>
  <si>
    <t>Final(08/27/2010);Draft(09/26/2008)</t>
  </si>
  <si>
    <t>philadelphia international airport (phl) capacity enhancement program (cep) to accommodate current and future aviation demand funding and us army coe section 404 permit philadelphia pa</t>
  </si>
  <si>
    <t>philadelphia international airport runway 17-35 extension project construction and operation us army coe section 404 permit npdes permit delaware and philadelphia counties pa</t>
  </si>
  <si>
    <t>seattle-tacoma international airport improvement south aviation support area airport layout plan airport master plan funding section 10 and 404 permits and npdes permit port of seattle king county wa</t>
  </si>
  <si>
    <t>Final(04/08/1994);Draft(03/13/1992)</t>
  </si>
  <si>
    <t>project762</t>
  </si>
  <si>
    <t>pima county multi-species conservation plan</t>
  </si>
  <si>
    <t>Draft(12/07/2012);Final(05/13/2016)</t>
  </si>
  <si>
    <t>project763</t>
  </si>
  <si>
    <t>pinaleno ecosystem restoration project proposed on-the-ground treatments to improve forest health and improve or protect red squrrel habitat coronado national forest graham county az</t>
  </si>
  <si>
    <t>Final(11/10/2011);Draft(06/19/2009)</t>
  </si>
  <si>
    <t>Final(11/10/2011)</t>
  </si>
  <si>
    <t>pinaleno ecosystem restoration project proposed on-the-ground treatments to improve forest health and improve or protect red squrriel habitat coronado national forest graham county az</t>
  </si>
  <si>
    <t>Draft(06/19/2009)</t>
  </si>
  <si>
    <t>mount graham astrophysical area development approval and management pinaleno mountains coronado national forest graham county az</t>
  </si>
  <si>
    <t>Final(01/13/1989)</t>
  </si>
  <si>
    <t>silvies canyon watershed restoration project to improve the ecosystem health of the watershed grant and harney counties or</t>
  </si>
  <si>
    <t>Draft(03/09/2001)</t>
  </si>
  <si>
    <t>project77</t>
  </si>
  <si>
    <t>Final(01/22/2016);Draft(05/30/2014)</t>
  </si>
  <si>
    <t>cedar bayou navigation channel (cbnc) improvement project implementation near baytown in harris and chambers counties tx</t>
  </si>
  <si>
    <t>bayou la batre navigation channel improvements implementation mobile county al</t>
  </si>
  <si>
    <t>Draft(07/22/1988)</t>
  </si>
  <si>
    <t>project771</t>
  </si>
  <si>
    <t>Draft(12/12/2014);Final(10/16/2015)</t>
  </si>
  <si>
    <t>project778</t>
  </si>
  <si>
    <t>Final(10/23/2015);Draft(11/07/2014)</t>
  </si>
  <si>
    <t>project797</t>
  </si>
  <si>
    <t>programmatic - conduct restoration planning to compensate for injuries to natural resources in the lower duwamish river</t>
  </si>
  <si>
    <t>Draft(05/29/2009);Final(07/05/2013)</t>
  </si>
  <si>
    <t>programmatic - lower duwamish river natural resource damage assessment (ldr/nrda) restoration plan additional detailed information and minor changes implementation king county wa</t>
  </si>
  <si>
    <t>Draft Supplement(08/03/2012)</t>
  </si>
  <si>
    <t>final duwamish river nrda peis and restoration plan</t>
  </si>
  <si>
    <t>programmatic - green/duwamish river basin restoration program capitol improvement type program and ecological health king county wa</t>
  </si>
  <si>
    <t>Draft(06/30/2000);Final(11/09/2000)</t>
  </si>
  <si>
    <t>project80</t>
  </si>
  <si>
    <t>Draft(06/07/2013);Final(02/28/2014)</t>
  </si>
  <si>
    <t>beaver creek landscape management project vegetation treatment implementation ashland ranger district custer national forest powder river county mt</t>
  </si>
  <si>
    <t>Final(03/18/2011);Draft(10/15/2010)</t>
  </si>
  <si>
    <t>project808</t>
  </si>
  <si>
    <t>programmatic - long island sound dredged material management plan</t>
  </si>
  <si>
    <t>Final(01/15/2016);Draft(08/21/2015)</t>
  </si>
  <si>
    <t>programmatic -long island sound dredged material management plan</t>
  </si>
  <si>
    <t>central and western long island sound dredged material disposal sites designation ct and ny</t>
  </si>
  <si>
    <t>Final(04/09/2004);Draft(09/12/2003)</t>
  </si>
  <si>
    <t>CT NY</t>
  </si>
  <si>
    <t>designation of dredged material disposal site(s) in eastern long island sound (elis)</t>
  </si>
  <si>
    <t>Draft Supplement(05/20/2016)</t>
  </si>
  <si>
    <t>western long island sound (wlis iii) dredged material disposal site designation ct and ny</t>
  </si>
  <si>
    <t>Final Supplement(03/22/1991)</t>
  </si>
  <si>
    <t>project81</t>
  </si>
  <si>
    <t>threemile stewardship project proposed short-term and long-term vegetation and road management activities ashland ranger district custer national forest powder and rosebud counties mt</t>
  </si>
  <si>
    <t>Final(01/11/2002);Draft(09/28/2001)</t>
  </si>
  <si>
    <t>threemile stewardship project additional information on the potential effects on the goshawk habitat ashland ranger district custer national forest powder and rosebud counties mt</t>
  </si>
  <si>
    <t>Draft Supplement(03/28/2003)</t>
  </si>
  <si>
    <t>project810</t>
  </si>
  <si>
    <t>programmatic - lower snake river programmatic sediment management plan</t>
  </si>
  <si>
    <t>Draft(12/21/2012);Final(08/22/2014)</t>
  </si>
  <si>
    <t>lower snake river programmatic sediment management plan washington and idaho</t>
  </si>
  <si>
    <t>mount st. helens long-term sediment management plan</t>
  </si>
  <si>
    <t>Final Supplement(08/10/2018);Draft Supplement(08/22/2014)</t>
  </si>
  <si>
    <t>project811</t>
  </si>
  <si>
    <t>programmatic - marine seismic research funded by the national science foundation or conducted by the u.s. geological survey to fund the investigation of the geology and geophysics of the seafloor by collecting seismic reflection and refraction data across the world's ocean</t>
  </si>
  <si>
    <t>Final(07/01/2011);Draft(10/08/2010)</t>
  </si>
  <si>
    <t>programmatic - outer continental shelf seismic surveys in the beaufort and chukchi seas proposed offshore oil and gas seismic survey ak</t>
  </si>
  <si>
    <t>institute of marine science infrastructure improvement long-term research and monitoring of the ecosystem affected by the exxon valdez oil spill funding seward ak</t>
  </si>
  <si>
    <t>Final(09/23/1994);Draft(06/24/1994)</t>
  </si>
  <si>
    <t>project812</t>
  </si>
  <si>
    <t>programmatic - mechanical creation and maintenance of emergent sandbar habitat in the riverine segments of the upper missouri river to support least tern and piping plover populations implementation mo</t>
  </si>
  <si>
    <t>Draft(01/07/2011);Final(05/20/2011)</t>
  </si>
  <si>
    <t>programmatic - platte river recovery implementation program assessing alternatives for the implementation of a basinwide cooperative endangered species recovery program four target species: whooping crane interior least tern pipping plover and pallid sturgeon ne wy and co</t>
  </si>
  <si>
    <t>Final(05/26/2006);Draft(01/30/2004)</t>
  </si>
  <si>
    <t>project817</t>
  </si>
  <si>
    <t>programmatic - nationwide public safety broadband network for the southern united states</t>
  </si>
  <si>
    <t>Draft(10/14/2016);Final(09/29/2017)</t>
  </si>
  <si>
    <t>project820</t>
  </si>
  <si>
    <t>Final(07/27/2012);Draft(09/16/2011)</t>
  </si>
  <si>
    <t>CBP</t>
  </si>
  <si>
    <t>programmatic - international bridge crossing project construction and operation along the united states - mexico border from el paso to brownsville tx presidential permit nm and tx</t>
  </si>
  <si>
    <t>Final(12/11/1998)</t>
  </si>
  <si>
    <t>programmatic - international bridge crossing project construction and operation along the united states - mexico border from el paso to brownville tx presidential permit nm and tx</t>
  </si>
  <si>
    <t>Draft(12/13/1996)</t>
  </si>
  <si>
    <t>withdrawn - programmatic - international bridge crossing project construction and operation along the united states - mexico border from el paso to brownsville tx presidential permit nm and tx</t>
  </si>
  <si>
    <t>Draft(08/16/1996)</t>
  </si>
  <si>
    <t>project829</t>
  </si>
  <si>
    <t>programmatic - yakima river basin water enchancement (phase 2) project implementation benton yakima and kittitas counties wa</t>
  </si>
  <si>
    <t>Final(01/29/1999);Draft(04/24/1998)</t>
  </si>
  <si>
    <t>yakima river basin water storage feasibility study create additional water storage benton yakima kittitas counties wa</t>
  </si>
  <si>
    <t>Final(12/29/2008);Draft(02/08/2008)</t>
  </si>
  <si>
    <t>keechelus dam project safety of dams modification implementation coe section 404 permit yakima kittitas benton and klickitat counties wa</t>
  </si>
  <si>
    <t>Final(09/28/2001);Draft(12/15/2000)</t>
  </si>
  <si>
    <t>project831</t>
  </si>
  <si>
    <t>proposed demolition and environmental cleanup activities at santa susana field laboratory</t>
  </si>
  <si>
    <t>Final(03/14/2014);Draft(08/02/2013)</t>
  </si>
  <si>
    <t>remediation of area iv and the northern buffer zone of the santa susana field laboratory</t>
  </si>
  <si>
    <t>marysville hotel demolition project proposed acquisition and demolition of building city of marysville yuba county ca</t>
  </si>
  <si>
    <t>Final(03/18/2005)</t>
  </si>
  <si>
    <t>project832</t>
  </si>
  <si>
    <t>proposed establishment and modification of oregon military training airspace</t>
  </si>
  <si>
    <t>Draft(07/24/2015);Final(05/19/2017)</t>
  </si>
  <si>
    <t>air force in idaho proposal mountain home afb composite wing establishment modification of airspace to accommodate air force and air national guard flying activities; and air-to-ground training range establishment elmore county id</t>
  </si>
  <si>
    <t>Final(01/17/1992);Draft(10/25/1991)</t>
  </si>
  <si>
    <t>project836</t>
  </si>
  <si>
    <t>proposed sloan hills competitive mineral material sales</t>
  </si>
  <si>
    <t>Final(04/26/2013);Draft(08/05/2011)</t>
  </si>
  <si>
    <t>sloan hills competitive mineral material sales project proposing to mine limestone and dolomite minerals clark county nv</t>
  </si>
  <si>
    <t>project84</t>
  </si>
  <si>
    <t>chippewa and superior national forests land and resource management plans revision implementation beltrami cass itasca cook lake and st. louis counties mn</t>
  </si>
  <si>
    <t>Draft(05/09/2003);Final(08/13/2004)</t>
  </si>
  <si>
    <t>project842</t>
  </si>
  <si>
    <t>Final(07/15/2016);Draft(10/10/2014)</t>
  </si>
  <si>
    <t>programmatic - puget sound confined disposal site study implementation wa</t>
  </si>
  <si>
    <t>Draft(02/26/1999)</t>
  </si>
  <si>
    <t>puget sound naval station sand point disposal and reuse implementation king county wa</t>
  </si>
  <si>
    <t>Final(10/24/1997);Draft(11/08/1996)</t>
  </si>
  <si>
    <t>programmatic - puget sound confined disposal site study implementaton wa</t>
  </si>
  <si>
    <t>Final(10/25/1999)</t>
  </si>
  <si>
    <t>programmatic - commencement bay restoration plan implementation coe section 10 and 404 permits czma and npdes applications puget sound pierce county wa</t>
  </si>
  <si>
    <t>Final(03/21/1997);Draft(08/09/1996)</t>
  </si>
  <si>
    <t>project846</t>
  </si>
  <si>
    <t>r.j. corman railroad/pennsylvania lines project construction operation and reactivation to approximately 20 miles of railline in clearfield and centre counties pa</t>
  </si>
  <si>
    <t>Draft(07/30/2010);Final(11/25/2011)</t>
  </si>
  <si>
    <t>r.j. corman railroad/pennsylvania lines project additional information construction operation and reactivation to approximately 20 miles of railline in clearfield and centre counties pa</t>
  </si>
  <si>
    <t>Draft Supplement(03/11/2011)</t>
  </si>
  <si>
    <t>elk river railroad railline (docket no. 31989) construction exemption and operation npdes permit and approval of permits clay and kanawha counties wv</t>
  </si>
  <si>
    <t>Draft(07/07/1995);Final(08/16/1996)</t>
  </si>
  <si>
    <t>project855</t>
  </si>
  <si>
    <t>regional connector transit corridor</t>
  </si>
  <si>
    <t>Draft Supplement(06/12/2015);Final Supplement(12/24/2015)</t>
  </si>
  <si>
    <t>project857</t>
  </si>
  <si>
    <t>Draft(04/11/2014);Final(09/19/2014)</t>
  </si>
  <si>
    <t>john redmond lake (jrl) reallocation of water supply storage project equitable redistribution of water storage between the flood control pool and the conservation pools neosho river marion and council grove lakes coffey and lyon counties ks</t>
  </si>
  <si>
    <t>Draft Supplement(07/05/2002)</t>
  </si>
  <si>
    <t>project867</t>
  </si>
  <si>
    <t>revision to the regulations for the nonessential experimental population of the mexican wolf (canis lupus baileyi)</t>
  </si>
  <si>
    <t>Draft(07/25/2014);Final(11/28/2014)</t>
  </si>
  <si>
    <t>proposed revision to the nonessential experimental population of the mexican wolf (canis lupus baileyi)</t>
  </si>
  <si>
    <t>mexican wolf (canis lupus baileyi) reintroduction within the historic range implementation in the southwestern united states catron dona ana grant and lincoln counties nm and apache and greenlee counties az</t>
  </si>
  <si>
    <t>Draft(06/30/1995);Final(12/27/1996)</t>
  </si>
  <si>
    <t>gray wolves (canis lupus) reintroduction into the yellowstone national park and central idaho implementation mt wy and id</t>
  </si>
  <si>
    <t>Draft(07/16/1993);Final(05/13/1994)</t>
  </si>
  <si>
    <t>grizzly bear (ursus arctos horribilus) recovery plan in the bitterroot ecosystem implementation endangered species act proposed special rule 10(j) establishment of a nonessential experimental population of grizzly bears in the bitterroot area rocky mo</t>
  </si>
  <si>
    <t>Draft(07/11/1997)</t>
  </si>
  <si>
    <t>grizzly bear (ursus arctos horribilus) recovery plan in the bitterroot ecosystem implementation endangered species act proposed special rule 10 (j) establishment of a nonessential experimental population of grizzly bears in the bitterroot area several counties id and mineral missoula ravalli and sander counties mt</t>
  </si>
  <si>
    <t>Final(03/24/2000)</t>
  </si>
  <si>
    <t>project872</t>
  </si>
  <si>
    <t>Draft(11/27/2015);Final(04/29/2016)</t>
  </si>
  <si>
    <t>grand canyon national park north rim visitor facilities development implementation coconino county az</t>
  </si>
  <si>
    <t>project873</t>
  </si>
  <si>
    <t>Final(05/03/2013);Draft(09/28/2012)</t>
  </si>
  <si>
    <t>project878</t>
  </si>
  <si>
    <t>west fork potlatch timber harvesting road construction reforestation and watershed restoration palouse ranger district clearwater national forest latah county id</t>
  </si>
  <si>
    <t>Final(01/25/2002)</t>
  </si>
  <si>
    <t>project883</t>
  </si>
  <si>
    <t>rosemont copper project proposed construction operation with concurrent reclamation and closure of an open-pit copper mine</t>
  </si>
  <si>
    <t>Final(12/13/2013);Draft(10/21/2011)</t>
  </si>
  <si>
    <t>rosemont copper project proposed construction operation with concurrent reclamation and closure of an open-pit copper mine coronado national forest pima county az</t>
  </si>
  <si>
    <t>lisbon valley copper project plan of operations approval for an open pit copper mine and heach operation in lower lisbon valley san juan and grand counties ut</t>
  </si>
  <si>
    <t>Final(02/14/1997);Draft(05/31/1996)</t>
  </si>
  <si>
    <t>carlota open-pit copper mine project construction and operation plan of operations and coe section 404 permit tonto national forest gila and pinal counties az</t>
  </si>
  <si>
    <t>Draft(02/03/1995);Final(08/01/1997)</t>
  </si>
  <si>
    <t>project902</t>
  </si>
  <si>
    <t>san juan national forest and proposed tres rios field office land and resource management plan</t>
  </si>
  <si>
    <t>Draft(12/14/2007);Final(09/20/2013)</t>
  </si>
  <si>
    <t>project904</t>
  </si>
  <si>
    <t>withdrawn - san luis low point improvement project</t>
  </si>
  <si>
    <t>project908</t>
  </si>
  <si>
    <t>savannah harbor expansion project navigation improvements to the federal navigation channel chatham county ga and jasper county sc</t>
  </si>
  <si>
    <t>Draft(11/26/2010);Final(04/20/2012)</t>
  </si>
  <si>
    <t>Final(04/20/2012)</t>
  </si>
  <si>
    <t>savannah harbor expansion project navigation improvement to the federal navigation channel chatham county ga and jasper county sc</t>
  </si>
  <si>
    <t>savannah harbor section 203 expansion project channel deepening harbor improvements georgia ports authority federal navigation project chatham county ga and jasper county sc</t>
  </si>
  <si>
    <t>Draft(05/08/1998);Final(09/18/1998)</t>
  </si>
  <si>
    <t>savannah harbor navigation project operation and maintenance long term management strategy study chatham county ga and jasper county sc</t>
  </si>
  <si>
    <t>Draft(12/09/1994);Final(08/30/1996)</t>
  </si>
  <si>
    <t>savannah harbor comprehensive study and harbor deepening updated and new information implementation chatham county ga and jasper county sc published fr- 11-29-91 - review period extended.</t>
  </si>
  <si>
    <t>Final(11/29/1991);Revised Draft(04/19/1991)</t>
  </si>
  <si>
    <t>project91</t>
  </si>
  <si>
    <t>rock creek recreational trails management plan implementation eldorado national forest georgetown ranger district eldorado county ca</t>
  </si>
  <si>
    <t>Draft(04/26/1996);Final(06/04/1999)</t>
  </si>
  <si>
    <t>rock creek recreational trails management plan implementation additional information eldorado national forest georgetown ranger director eldorado county ca</t>
  </si>
  <si>
    <t>Revised Draft(12/12/1997)</t>
  </si>
  <si>
    <t>project910</t>
  </si>
  <si>
    <t>scriver creek integrated restoration project emmett ranger district boise national forest boise and valley counties id</t>
  </si>
  <si>
    <t>Final(01/25/2013);Draft(12/30/2011)</t>
  </si>
  <si>
    <t>Final(01/25/2013)</t>
  </si>
  <si>
    <t>scriver integrated restoration project improve watershed conditions by reducing road-related impacts to wildlife fish soil and water resources and restoration of 2010 forest plan vegetation conditions emmett ranger district boise national forest boise and valley counties id</t>
  </si>
  <si>
    <t>Draft(12/30/2011)</t>
  </si>
  <si>
    <t>scriver creek integrated restoration project updated and additional information identifying permits licenses and entitlements that were not identified in the deis improve watershed conditions by reducing road-related impacts to wildlife fish soil and water resources and restoration of 2010 forest plan vegetation conditions emmett ranger district boise national forest boise and valley counties id</t>
  </si>
  <si>
    <t>Draft Supplement(09/07/2012)</t>
  </si>
  <si>
    <t>silver creek integrated resource project implementation middle fork payette river boise national forest boise and valley counties id</t>
  </si>
  <si>
    <t>Draft(10/09/1998);Final(07/14/2000)</t>
  </si>
  <si>
    <t>project911</t>
  </si>
  <si>
    <t>searchlight wind energy project nvn-084626 and nvn-086777 application for right-of-way grant on public land to develop construct operate maintain and decommission of a 200 megawatt wind energy facility usace section 404 permit clark county nv</t>
  </si>
  <si>
    <t>Final(12/14/2012);Draft(01/20/2012)</t>
  </si>
  <si>
    <t>project912</t>
  </si>
  <si>
    <t>sears point wetland and watershed restoration project to restore tidal wetlands and rehabilitate diked wetlands sonoma county ca</t>
  </si>
  <si>
    <t>Draft(08/28/2009);Final(04/20/2012)</t>
  </si>
  <si>
    <t>giacomini wetland restoration project propose to restore natural hydrologic and ecological processes golden gate national recreation area point reyes national seashore marin county ca</t>
  </si>
  <si>
    <t>Final(06/29/2007);Draft(12/15/2006)</t>
  </si>
  <si>
    <t>project913</t>
  </si>
  <si>
    <t>Draft(02/07/2014);Final(06/20/2014)</t>
  </si>
  <si>
    <t>project916</t>
  </si>
  <si>
    <t>seminole tribe of florida fee to trust</t>
  </si>
  <si>
    <t>Final(07/08/2016);Draft(08/31/2012)</t>
  </si>
  <si>
    <t>seminole tribe of florida fee-to-trust development of a hotel/resort and retail center of the site coconut creek broward county fl</t>
  </si>
  <si>
    <t>project926</t>
  </si>
  <si>
    <t>shoshone national forest land management plan revision (seis front cover: use of domestic sheep, goats, and pack goats)</t>
  </si>
  <si>
    <t>Final(01/17/2014);Draft(08/03/2012)</t>
  </si>
  <si>
    <t>proposed cottonwood resource management plan amendment for domestic sheep grazing</t>
  </si>
  <si>
    <t>Final Supplement(05/20/2016)</t>
  </si>
  <si>
    <t>george washington national forest oil and gas land/resource management plan revision alleghany front lease area several counties wv and va</t>
  </si>
  <si>
    <t>Revised Draft(01/17/1992)</t>
  </si>
  <si>
    <t>project936</t>
  </si>
  <si>
    <t>los angeles river ecosystem restoration integrated feasibility report</t>
  </si>
  <si>
    <t>adoption - cushman hydroelectric project (ferc no. 0456) design and construction of new 3.6-mw powerhouse on the north fork of the skokomish river mason county wa</t>
  </si>
  <si>
    <t>Final(10/08/2010)</t>
  </si>
  <si>
    <t>project942</t>
  </si>
  <si>
    <t>soboba band of luiseno indians' 534-acre trust acquisition and casino project</t>
  </si>
  <si>
    <t>Final(11/29/2013);Draft(07/10/2009)</t>
  </si>
  <si>
    <t>soboba band of luiseno indians' proposed 534-acre trust acquisition and casino project</t>
  </si>
  <si>
    <t>soboba band of luiseno indians horseshoe grande fee-to-trust project construction of a hotal and casino project city of san jacinto riverside county ca</t>
  </si>
  <si>
    <t>project945</t>
  </si>
  <si>
    <t>project947</t>
  </si>
  <si>
    <t>Final(05/29/2015);Draft(06/14/2013)</t>
  </si>
  <si>
    <t>project948</t>
  </si>
  <si>
    <t>south dakota prairiewinds project proposes to construct own operate and maintain a 151.5 megawatt (mw) nameplate capacity wind-powered generation facility aurora brule and jerauld tripp counties sd</t>
  </si>
  <si>
    <t>Final(07/30/2010);Draft(01/15/2010)</t>
  </si>
  <si>
    <t>DOE WAPA</t>
  </si>
  <si>
    <t>project950</t>
  </si>
  <si>
    <t>south fowl lake snowmobile access project proposing a replacement snowmobile trail between mcfarland lake and south fowl lake gunflint ranger district superior national forest eastern region cook county mn</t>
  </si>
  <si>
    <t>Final(09/23/2011);Draft(08/13/2010)</t>
  </si>
  <si>
    <t>Final(09/23/2011)</t>
  </si>
  <si>
    <t>south fowl lake snowmobile access project proposing a replacement snowmobile trail between mcfarland lake and south fowl lake gunflint ranger district superior national forest eatern region cook county mn</t>
  </si>
  <si>
    <t>gunflint corridor fuel reduction implementation superior national forest gunflint ranger district cook county mn</t>
  </si>
  <si>
    <t>Final(06/09/2000);Draft(03/10/2000)</t>
  </si>
  <si>
    <t>project957</t>
  </si>
  <si>
    <t>high uintas wilderness forest plan amendment implementation ashley and wasatch-cache national forests duchesne and summit counties ut</t>
  </si>
  <si>
    <t>Final(10/17/1997);Draft(07/19/1996)</t>
  </si>
  <si>
    <t>western uinta basin oil and gas leasing implementation federal oil and gas estate on land administrated by the uinta and ashley national forests in the western portion of the uinta basin wasatch and duchesne counties ut</t>
  </si>
  <si>
    <t>Final(10/03/1997);Draft(05/31/1996)</t>
  </si>
  <si>
    <t>chepeta lake whiterocks river and lakeshore basin allotment management plans updated and issuance of grazing permits ashley national forest vernal ranger district duchesne and uintah counties ut</t>
  </si>
  <si>
    <t>Final(08/16/1991);Draft(03/15/1991)</t>
  </si>
  <si>
    <t>project958</t>
  </si>
  <si>
    <t>southeast (se) connector in des moines iowa to provide a safe and efficient link between the mlk jr. parkway at se 14th street to the us 65 bypass funding us army coe section 404 and npdes permits polk county ia</t>
  </si>
  <si>
    <t>Draft(01/16/2009);Final(02/19/2010)</t>
  </si>
  <si>
    <t>southeast (se) connector in des moines iowa to provide a safe and efficient link between the mlk jr. parkway at se 14th street to the u.s. 65 bypass funding us army coe section 404 and npdes permits polk county ia</t>
  </si>
  <si>
    <t>west des moines and des moines local flood control protection polk county ia</t>
  </si>
  <si>
    <t>Final Supplement(10/20/1989)</t>
  </si>
  <si>
    <t>martin luther king (mkl) parkway (formerly cbd loop arterial) highway construction mkl jr. parkway with i-235 to us 65/69 at scott avenue new information significant changes to the original alignment since the feis funding and u.s. coe section 404 permit des moines polk county ia</t>
  </si>
  <si>
    <t>Second Final Supplemental(10/15/1999)</t>
  </si>
  <si>
    <t>west des moines and des moines flood control project authorized plan reevaluation polk county ia</t>
  </si>
  <si>
    <t>Second Draft Supplemental(04/07/1989)</t>
  </si>
  <si>
    <t>i-235 study corridor improvements access to the des moines central business district (cbd) and westown parkway area funding des moines polk county ia</t>
  </si>
  <si>
    <t>Draft(04/14/1995);Final(03/12/1999)</t>
  </si>
  <si>
    <t>project963</t>
  </si>
  <si>
    <t>project966</t>
  </si>
  <si>
    <t>project970</t>
  </si>
  <si>
    <t>sparring bulls project proposes timber harvest non-commercial fuels reduction prescribed burning and watershed improvement activities three rivers ranger district kootenal national forest lincoln county mt</t>
  </si>
  <si>
    <t>Draft(02/26/2010);Final(05/18/2012)</t>
  </si>
  <si>
    <t>grizzly vegetation and transportation management project proposes timber harvest prescribed burning road maintenance and transportation management actions three rivers ranger district kootenai national forest lincoln county mt</t>
  </si>
  <si>
    <t>Draft(06/08/2007);Final(05/22/2009)</t>
  </si>
  <si>
    <t>grizzly vegetation and transportation management project updated and additional information proposes timber harvest prescribed burning road maintenance and transportation management actions three rivers ranger district kootenai national forest lincoln county mt</t>
  </si>
  <si>
    <t>Final Supplement(03/02/2012);Draft Supplement(03/18/2011)</t>
  </si>
  <si>
    <t>pipestone timber sale and restoration project timber harvest prescribed fire burning watershed restoration and associated activities kootenai national forest libby ranger district lincoln county mt</t>
  </si>
  <si>
    <t>Final(07/09/2004)</t>
  </si>
  <si>
    <t>pipestone timber sale and restoration project to propose timber harvest prescribed fire burning watershed restoration associated activities kootenai national forest libby ranger district lincoln county mt</t>
  </si>
  <si>
    <t>Draft(05/31/2002)</t>
  </si>
  <si>
    <t>project982</t>
  </si>
  <si>
    <t>Final(11/08/2013);Draft(11/23/2012)</t>
  </si>
  <si>
    <t>stateline solar farm project san bernardino county ca</t>
  </si>
  <si>
    <t>Draft(11/23/2012)</t>
  </si>
  <si>
    <t>stateline resource area land and resource management plan implementation clark and nye counties nv</t>
  </si>
  <si>
    <t>Draft Supplement(05/20/1994)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</si>
</sst>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u/>
      <sz val="11"/>
      <color theme="10"/>
      <name val="Calibri"/>
      <family val="2"/>
      <scheme val="minor"/>
    </font>
  </fonts>
  <fills count="4">
    <fill>
      <patternFill patternType="none"/>
    </fill>
    <fill>
      <patternFill patternType="gray125"/>
    </fill>
    <fill>
      <patternFill patternType="solid">
        <fgColor rgb="FF70AD47"/>
      </patternFill>
    </fill>
    <fill>
      <patternFill patternType="solid">
        <fgColor theme="9"/>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5">
    <xf numFmtId="0" fontId="0" fillId="0" borderId="0" xfId="0"/>
    <xf numFmtId="0" fontId="1" fillId="0" borderId="0" xfId="0" applyFont="1"/>
    <xf numFmtId="0" fontId="0" fillId="2" borderId="0" xfId="0" applyFill="1"/>
    <xf numFmtId="0" fontId="2" fillId="0" borderId="0" xfId="1"/>
    <xf numFmtId="0" fontId="0" fillId="3" borderId="0" xfId="0" applyFill="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arizona.app.box.com/file/38917285168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8127"/>
  <sheetViews>
    <sheetView tabSelected="1" topLeftCell="A8609" zoomScale="133" workbookViewId="0">
      <selection activeCell="D8623" sqref="D8623"/>
    </sheetView>
  </sheetViews>
  <sheetFormatPr baseColWidth="10" defaultColWidth="8.83203125" defaultRowHeight="15" x14ac:dyDescent="0.2"/>
  <cols>
    <col min="4" max="4" width="86.33203125" customWidth="1"/>
    <col min="12" max="12" width="14.6640625" customWidth="1"/>
  </cols>
  <sheetData>
    <row r="1" spans="1:25" x14ac:dyDescent="0.2">
      <c r="A1" s="1"/>
      <c r="B1" s="1" t="s">
        <v>0</v>
      </c>
      <c r="C1" s="1" t="s">
        <v>1</v>
      </c>
      <c r="D1" s="1" t="s">
        <v>2</v>
      </c>
      <c r="E1" s="1" t="s">
        <v>3</v>
      </c>
      <c r="F1" s="1" t="s">
        <v>4</v>
      </c>
      <c r="G1" s="1" t="s">
        <v>5</v>
      </c>
      <c r="H1" s="1" t="s">
        <v>6</v>
      </c>
      <c r="I1" s="1" t="s">
        <v>7</v>
      </c>
      <c r="J1" s="1" t="s">
        <v>8</v>
      </c>
      <c r="K1" s="1" t="s">
        <v>9</v>
      </c>
      <c r="L1" s="1" t="s">
        <v>10</v>
      </c>
      <c r="M1" s="1" t="s">
        <v>11</v>
      </c>
      <c r="N1" s="1"/>
      <c r="O1" s="1"/>
      <c r="P1" s="1"/>
      <c r="Q1" s="1"/>
      <c r="R1" s="1"/>
    </row>
    <row r="2" spans="1:25" x14ac:dyDescent="0.2">
      <c r="A2" s="2">
        <v>7049</v>
      </c>
      <c r="B2" s="2" t="s">
        <v>12</v>
      </c>
      <c r="C2" s="2" t="s">
        <v>13</v>
      </c>
      <c r="D2" s="2" t="s">
        <v>14</v>
      </c>
      <c r="E2" s="2" t="s">
        <v>15</v>
      </c>
      <c r="F2" s="2" t="s">
        <v>16</v>
      </c>
      <c r="G2" s="2" t="s">
        <v>17</v>
      </c>
      <c r="H2" s="2"/>
      <c r="I2" s="2"/>
      <c r="J2" s="2"/>
      <c r="K2" s="2"/>
      <c r="L2" s="2"/>
      <c r="M2" s="2"/>
      <c r="N2" s="2"/>
      <c r="O2" s="2"/>
      <c r="P2" s="2"/>
      <c r="Q2" s="2"/>
      <c r="R2" s="2"/>
      <c r="S2" s="2"/>
      <c r="T2" s="2"/>
      <c r="U2" s="2"/>
      <c r="V2" s="2"/>
      <c r="W2" s="2"/>
      <c r="X2" s="2"/>
      <c r="Y2" s="2"/>
    </row>
    <row r="3" spans="1:25" x14ac:dyDescent="0.2">
      <c r="A3">
        <v>7050</v>
      </c>
      <c r="B3" t="s">
        <v>12</v>
      </c>
      <c r="C3" t="s">
        <v>18</v>
      </c>
      <c r="D3" t="s">
        <v>14</v>
      </c>
      <c r="E3" t="s">
        <v>19</v>
      </c>
      <c r="F3" t="s">
        <v>20</v>
      </c>
      <c r="G3" t="s">
        <v>17</v>
      </c>
      <c r="H3" t="b">
        <v>1</v>
      </c>
      <c r="I3" t="b">
        <v>1</v>
      </c>
      <c r="L3" t="b">
        <v>1</v>
      </c>
      <c r="M3" t="str">
        <f>HYPERLINK("https://arizona.app.box.com/file/389265712504")</f>
        <v>https://arizona.app.box.com/file/389265712504</v>
      </c>
      <c r="N3" t="str">
        <f>HYPERLINK("https://arizona.app.box.com/file/389166698189")</f>
        <v>https://arizona.app.box.com/file/389166698189</v>
      </c>
    </row>
    <row r="4" spans="1:25" x14ac:dyDescent="0.2">
      <c r="A4">
        <v>7051</v>
      </c>
      <c r="B4" t="s">
        <v>12</v>
      </c>
      <c r="C4" t="s">
        <v>18</v>
      </c>
      <c r="D4" t="s">
        <v>21</v>
      </c>
      <c r="E4" t="s">
        <v>22</v>
      </c>
      <c r="F4" t="s">
        <v>23</v>
      </c>
      <c r="G4" t="s">
        <v>24</v>
      </c>
      <c r="H4" t="b">
        <v>0</v>
      </c>
      <c r="I4" t="b">
        <v>0</v>
      </c>
      <c r="L4" t="b">
        <v>0</v>
      </c>
      <c r="M4" t="str">
        <f>HYPERLINK("https://arizona.app.box.com/file/389268395077")</f>
        <v>https://arizona.app.box.com/file/389268395077</v>
      </c>
      <c r="N4" t="str">
        <f>HYPERLINK("https://arizona.app.box.com/file/389164468262")</f>
        <v>https://arizona.app.box.com/file/389164468262</v>
      </c>
    </row>
    <row r="5" spans="1:25" x14ac:dyDescent="0.2">
      <c r="A5">
        <v>7052</v>
      </c>
      <c r="B5" t="s">
        <v>12</v>
      </c>
      <c r="C5" t="s">
        <v>18</v>
      </c>
      <c r="D5" t="s">
        <v>25</v>
      </c>
      <c r="E5" t="s">
        <v>26</v>
      </c>
      <c r="F5" t="s">
        <v>27</v>
      </c>
      <c r="G5" t="s">
        <v>28</v>
      </c>
      <c r="H5" t="b">
        <v>0</v>
      </c>
      <c r="I5" t="b">
        <v>0</v>
      </c>
      <c r="L5" t="b">
        <v>0</v>
      </c>
      <c r="M5" t="str">
        <f>HYPERLINK("https://arizona.app.box.com/file/386250781372")</f>
        <v>https://arizona.app.box.com/file/386250781372</v>
      </c>
      <c r="N5" t="str">
        <f>HYPERLINK("https://arizona.app.box.com/file/386243647249")</f>
        <v>https://arizona.app.box.com/file/386243647249</v>
      </c>
    </row>
    <row r="6" spans="1:25" x14ac:dyDescent="0.2">
      <c r="A6">
        <v>7053</v>
      </c>
      <c r="B6" t="s">
        <v>12</v>
      </c>
      <c r="C6" t="s">
        <v>18</v>
      </c>
      <c r="D6" t="s">
        <v>29</v>
      </c>
      <c r="E6" t="s">
        <v>30</v>
      </c>
      <c r="F6" t="s">
        <v>31</v>
      </c>
      <c r="G6" t="s">
        <v>32</v>
      </c>
      <c r="H6" t="b">
        <v>0</v>
      </c>
      <c r="I6" t="b">
        <v>0</v>
      </c>
      <c r="L6" t="b">
        <v>0</v>
      </c>
    </row>
    <row r="7" spans="1:25" x14ac:dyDescent="0.2">
      <c r="A7">
        <v>7054</v>
      </c>
      <c r="B7" t="s">
        <v>12</v>
      </c>
      <c r="C7" t="s">
        <v>18</v>
      </c>
      <c r="D7" t="s">
        <v>33</v>
      </c>
      <c r="E7" t="s">
        <v>34</v>
      </c>
      <c r="F7" t="s">
        <v>23</v>
      </c>
      <c r="G7" t="s">
        <v>24</v>
      </c>
      <c r="H7" t="b">
        <v>0</v>
      </c>
      <c r="I7" t="b">
        <v>0</v>
      </c>
      <c r="L7" t="b">
        <v>0</v>
      </c>
      <c r="M7" t="str">
        <f>HYPERLINK("https://arizona.app.box.com/file/389176547087")</f>
        <v>https://arizona.app.box.com/file/389176547087</v>
      </c>
      <c r="N7" t="str">
        <f>HYPERLINK("https://arizona.app.box.com/file/386239447758")</f>
        <v>https://arizona.app.box.com/file/386239447758</v>
      </c>
    </row>
    <row r="9" spans="1:25" x14ac:dyDescent="0.2">
      <c r="A9" s="2">
        <v>7266</v>
      </c>
      <c r="B9" s="2" t="s">
        <v>35</v>
      </c>
      <c r="C9" s="2" t="s">
        <v>13</v>
      </c>
      <c r="D9" s="2" t="s">
        <v>36</v>
      </c>
      <c r="E9" s="2" t="s">
        <v>37</v>
      </c>
      <c r="F9" s="2" t="s">
        <v>27</v>
      </c>
      <c r="G9" s="2" t="s">
        <v>17</v>
      </c>
      <c r="H9" s="2"/>
      <c r="I9" s="2"/>
      <c r="J9" s="2"/>
      <c r="K9" s="2"/>
      <c r="L9" s="2"/>
      <c r="M9" s="2"/>
      <c r="N9" s="2"/>
      <c r="O9" s="2"/>
      <c r="P9" s="2"/>
      <c r="Q9" s="2"/>
      <c r="R9" s="2"/>
      <c r="S9" s="2"/>
      <c r="T9" s="2"/>
      <c r="U9" s="2"/>
      <c r="V9" s="2"/>
      <c r="W9" s="2"/>
      <c r="X9" s="2"/>
      <c r="Y9" s="2"/>
    </row>
    <row r="10" spans="1:25" x14ac:dyDescent="0.2">
      <c r="A10">
        <v>7267</v>
      </c>
      <c r="B10" t="s">
        <v>35</v>
      </c>
      <c r="C10" t="s">
        <v>18</v>
      </c>
      <c r="D10" t="s">
        <v>36</v>
      </c>
      <c r="E10" t="s">
        <v>38</v>
      </c>
      <c r="F10" t="s">
        <v>27</v>
      </c>
      <c r="G10" t="s">
        <v>17</v>
      </c>
      <c r="H10" t="b">
        <v>1</v>
      </c>
      <c r="I10" t="b">
        <v>1</v>
      </c>
      <c r="L10" t="b">
        <v>1</v>
      </c>
      <c r="M10" t="str">
        <f>HYPERLINK("https://arizona.app.box.com/file/389161892150")</f>
        <v>https://arizona.app.box.com/file/389161892150</v>
      </c>
    </row>
    <row r="11" spans="1:25" x14ac:dyDescent="0.2">
      <c r="A11">
        <v>7268</v>
      </c>
      <c r="B11" t="s">
        <v>35</v>
      </c>
      <c r="C11" t="s">
        <v>18</v>
      </c>
      <c r="D11" t="s">
        <v>39</v>
      </c>
      <c r="E11" t="s">
        <v>40</v>
      </c>
      <c r="F11" t="s">
        <v>27</v>
      </c>
      <c r="G11" t="s">
        <v>17</v>
      </c>
      <c r="H11" t="b">
        <v>1</v>
      </c>
      <c r="I11" t="b">
        <v>1</v>
      </c>
      <c r="L11" t="b">
        <v>1</v>
      </c>
      <c r="M11" t="str">
        <f>HYPERLINK("https://arizona.app.box.com/file/389151205525")</f>
        <v>https://arizona.app.box.com/file/389151205525</v>
      </c>
    </row>
    <row r="12" spans="1:25" x14ac:dyDescent="0.2">
      <c r="A12">
        <v>7269</v>
      </c>
      <c r="B12" t="s">
        <v>35</v>
      </c>
      <c r="C12" t="s">
        <v>18</v>
      </c>
      <c r="D12" t="s">
        <v>41</v>
      </c>
      <c r="E12" t="s">
        <v>42</v>
      </c>
      <c r="F12" t="s">
        <v>27</v>
      </c>
      <c r="G12" t="s">
        <v>17</v>
      </c>
      <c r="H12" t="b">
        <v>0</v>
      </c>
      <c r="I12" t="b">
        <v>0</v>
      </c>
      <c r="L12" t="b">
        <v>0</v>
      </c>
      <c r="M12" t="str">
        <f>HYPERLINK("https://arizona.app.box.com/file/389151402791")</f>
        <v>https://arizona.app.box.com/file/389151402791</v>
      </c>
      <c r="N12" t="str">
        <f>HYPERLINK("https://arizona.app.box.com/file/389161892842")</f>
        <v>https://arizona.app.box.com/file/389161892842</v>
      </c>
    </row>
    <row r="13" spans="1:25" x14ac:dyDescent="0.2">
      <c r="A13">
        <v>7270</v>
      </c>
      <c r="B13" t="s">
        <v>35</v>
      </c>
      <c r="C13" t="s">
        <v>18</v>
      </c>
      <c r="D13" t="s">
        <v>43</v>
      </c>
      <c r="E13" t="s">
        <v>44</v>
      </c>
      <c r="F13" t="s">
        <v>45</v>
      </c>
      <c r="G13" t="s">
        <v>17</v>
      </c>
      <c r="H13" t="b">
        <v>0</v>
      </c>
      <c r="I13" t="b">
        <v>0</v>
      </c>
      <c r="L13" t="b">
        <v>0</v>
      </c>
      <c r="M13" t="str">
        <f>HYPERLINK("https://arizona.app.box.com/file/389161308022")</f>
        <v>https://arizona.app.box.com/file/389161308022</v>
      </c>
    </row>
    <row r="14" spans="1:25" x14ac:dyDescent="0.2">
      <c r="A14">
        <v>7271</v>
      </c>
      <c r="B14" t="s">
        <v>35</v>
      </c>
      <c r="C14" t="s">
        <v>18</v>
      </c>
      <c r="D14" t="s">
        <v>46</v>
      </c>
      <c r="E14" t="s">
        <v>47</v>
      </c>
      <c r="F14" t="s">
        <v>27</v>
      </c>
      <c r="G14" t="s">
        <v>17</v>
      </c>
      <c r="H14" t="b">
        <v>0</v>
      </c>
      <c r="I14" t="b">
        <v>0</v>
      </c>
      <c r="L14" t="b">
        <v>0</v>
      </c>
      <c r="M14" t="str">
        <f>HYPERLINK("https://arizona.app.box.com/file/389160312200")</f>
        <v>https://arizona.app.box.com/file/389160312200</v>
      </c>
    </row>
    <row r="16" spans="1:25" x14ac:dyDescent="0.2">
      <c r="A16" s="2">
        <v>7721</v>
      </c>
      <c r="B16" s="2" t="s">
        <v>48</v>
      </c>
      <c r="C16" s="2" t="s">
        <v>13</v>
      </c>
      <c r="D16" s="2" t="s">
        <v>49</v>
      </c>
      <c r="E16" s="2" t="s">
        <v>50</v>
      </c>
      <c r="F16" s="2" t="s">
        <v>20</v>
      </c>
      <c r="G16" s="2" t="s">
        <v>17</v>
      </c>
      <c r="H16" s="2"/>
      <c r="I16" s="2"/>
      <c r="J16" s="2"/>
      <c r="K16" s="2"/>
      <c r="L16" s="2"/>
      <c r="M16" s="2"/>
      <c r="N16" s="2"/>
      <c r="O16" s="2"/>
      <c r="P16" s="2"/>
      <c r="Q16" s="2"/>
      <c r="R16" s="2"/>
      <c r="S16" s="2"/>
      <c r="T16" s="2"/>
      <c r="U16" s="2"/>
      <c r="V16" s="2"/>
      <c r="W16" s="2"/>
      <c r="X16" s="2"/>
      <c r="Y16" s="2"/>
    </row>
    <row r="17" spans="1:25" x14ac:dyDescent="0.2">
      <c r="A17">
        <v>7722</v>
      </c>
      <c r="B17" t="s">
        <v>48</v>
      </c>
      <c r="C17" t="s">
        <v>18</v>
      </c>
      <c r="D17" t="s">
        <v>49</v>
      </c>
      <c r="E17" t="s">
        <v>50</v>
      </c>
      <c r="F17" t="s">
        <v>20</v>
      </c>
      <c r="G17" t="s">
        <v>17</v>
      </c>
      <c r="H17" t="b">
        <v>1</v>
      </c>
      <c r="I17" t="b">
        <v>1</v>
      </c>
      <c r="L17" t="b">
        <v>1</v>
      </c>
      <c r="M17" t="str">
        <f>HYPERLINK("https://arizona.app.box.com/file/389150805215")</f>
        <v>https://arizona.app.box.com/file/389150805215</v>
      </c>
      <c r="N17" t="str">
        <f>HYPERLINK("https://arizona.app.box.com/file/386241113911")</f>
        <v>https://arizona.app.box.com/file/386241113911</v>
      </c>
    </row>
    <row r="18" spans="1:25" x14ac:dyDescent="0.2">
      <c r="A18">
        <v>7723</v>
      </c>
      <c r="B18" t="s">
        <v>48</v>
      </c>
      <c r="C18" t="s">
        <v>18</v>
      </c>
      <c r="D18" t="s">
        <v>51</v>
      </c>
      <c r="E18" t="s">
        <v>52</v>
      </c>
      <c r="F18" t="s">
        <v>20</v>
      </c>
      <c r="G18" t="s">
        <v>17</v>
      </c>
      <c r="H18" t="b">
        <v>0</v>
      </c>
      <c r="I18" t="b">
        <v>0</v>
      </c>
      <c r="L18" t="b">
        <v>0</v>
      </c>
      <c r="M18" t="str">
        <f>HYPERLINK("https://arizona.app.box.com/file/389137529340")</f>
        <v>https://arizona.app.box.com/file/389137529340</v>
      </c>
      <c r="N18" t="str">
        <f>HYPERLINK("https://arizona.app.box.com/file/386247302753")</f>
        <v>https://arizona.app.box.com/file/386247302753</v>
      </c>
    </row>
    <row r="19" spans="1:25" x14ac:dyDescent="0.2">
      <c r="A19">
        <v>7724</v>
      </c>
      <c r="B19" t="s">
        <v>48</v>
      </c>
      <c r="C19" t="s">
        <v>18</v>
      </c>
      <c r="D19" t="s">
        <v>53</v>
      </c>
      <c r="E19" t="s">
        <v>54</v>
      </c>
      <c r="F19" t="s">
        <v>20</v>
      </c>
      <c r="G19" t="s">
        <v>17</v>
      </c>
      <c r="H19" t="b">
        <v>0</v>
      </c>
      <c r="I19" t="b">
        <v>0</v>
      </c>
      <c r="L19" t="b">
        <v>0</v>
      </c>
      <c r="M19" t="str">
        <f>HYPERLINK("https://arizona.app.box.com/file/389168635820")</f>
        <v>https://arizona.app.box.com/file/389168635820</v>
      </c>
    </row>
    <row r="20" spans="1:25" x14ac:dyDescent="0.2">
      <c r="A20">
        <v>7725</v>
      </c>
      <c r="B20" t="s">
        <v>48</v>
      </c>
      <c r="C20" t="s">
        <v>18</v>
      </c>
      <c r="D20" t="s">
        <v>55</v>
      </c>
      <c r="E20" t="s">
        <v>56</v>
      </c>
      <c r="F20" t="s">
        <v>20</v>
      </c>
      <c r="G20" t="s">
        <v>17</v>
      </c>
      <c r="H20" t="b">
        <v>0</v>
      </c>
      <c r="I20" t="b">
        <v>0</v>
      </c>
      <c r="L20" t="b">
        <v>0</v>
      </c>
    </row>
    <row r="21" spans="1:25" x14ac:dyDescent="0.2">
      <c r="A21">
        <v>7726</v>
      </c>
      <c r="B21" t="s">
        <v>48</v>
      </c>
      <c r="C21" t="s">
        <v>18</v>
      </c>
      <c r="D21" t="s">
        <v>57</v>
      </c>
      <c r="E21" t="s">
        <v>58</v>
      </c>
      <c r="F21" t="s">
        <v>20</v>
      </c>
      <c r="G21" t="s">
        <v>17</v>
      </c>
      <c r="H21" t="b">
        <v>0</v>
      </c>
      <c r="I21" t="b">
        <v>0</v>
      </c>
      <c r="L21" t="b">
        <v>0</v>
      </c>
    </row>
    <row r="23" spans="1:25" x14ac:dyDescent="0.2">
      <c r="A23" s="2">
        <v>7791</v>
      </c>
      <c r="B23" s="2" t="s">
        <v>59</v>
      </c>
      <c r="C23" s="2" t="s">
        <v>13</v>
      </c>
      <c r="D23" s="2" t="s">
        <v>60</v>
      </c>
      <c r="E23" s="2" t="s">
        <v>61</v>
      </c>
      <c r="F23" s="2" t="s">
        <v>23</v>
      </c>
      <c r="G23" s="2" t="s">
        <v>62</v>
      </c>
      <c r="H23" s="2"/>
      <c r="I23" s="2"/>
      <c r="J23" s="2"/>
      <c r="K23" s="2"/>
      <c r="L23" s="2"/>
      <c r="M23" s="2"/>
      <c r="N23" s="2"/>
      <c r="O23" s="2"/>
      <c r="P23" s="2"/>
      <c r="Q23" s="2"/>
      <c r="R23" s="2"/>
      <c r="S23" s="2"/>
      <c r="T23" s="2"/>
      <c r="U23" s="2"/>
      <c r="V23" s="2"/>
      <c r="W23" s="2"/>
      <c r="X23" s="2"/>
      <c r="Y23" s="2"/>
    </row>
    <row r="24" spans="1:25" x14ac:dyDescent="0.2">
      <c r="A24">
        <v>7792</v>
      </c>
      <c r="B24" t="s">
        <v>59</v>
      </c>
      <c r="C24" t="s">
        <v>18</v>
      </c>
      <c r="D24" t="s">
        <v>60</v>
      </c>
      <c r="E24" t="s">
        <v>63</v>
      </c>
      <c r="F24" t="s">
        <v>23</v>
      </c>
      <c r="G24" t="s">
        <v>62</v>
      </c>
      <c r="H24" t="b">
        <v>1</v>
      </c>
      <c r="I24" t="b">
        <v>1</v>
      </c>
      <c r="L24" t="b">
        <v>1</v>
      </c>
      <c r="M24" t="str">
        <f>HYPERLINK("https://arizona.app.box.com/file/386241206209")</f>
        <v>https://arizona.app.box.com/file/386241206209</v>
      </c>
      <c r="N24" t="str">
        <f>HYPERLINK("https://arizona.app.box.com/file/386242258418")</f>
        <v>https://arizona.app.box.com/file/386242258418</v>
      </c>
    </row>
    <row r="25" spans="1:25" x14ac:dyDescent="0.2">
      <c r="A25">
        <v>7793</v>
      </c>
      <c r="B25" t="s">
        <v>59</v>
      </c>
      <c r="C25" t="s">
        <v>18</v>
      </c>
      <c r="D25" t="s">
        <v>64</v>
      </c>
      <c r="E25" t="s">
        <v>65</v>
      </c>
      <c r="F25" t="s">
        <v>23</v>
      </c>
      <c r="G25" t="s">
        <v>62</v>
      </c>
      <c r="H25" t="b">
        <v>1</v>
      </c>
      <c r="I25" t="b">
        <v>0</v>
      </c>
      <c r="L25" t="b">
        <v>1</v>
      </c>
      <c r="M25" t="str">
        <f>HYPERLINK("https://arizona.app.box.com/file/386247567703")</f>
        <v>https://arizona.app.box.com/file/386247567703</v>
      </c>
    </row>
    <row r="26" spans="1:25" x14ac:dyDescent="0.2">
      <c r="A26">
        <v>7794</v>
      </c>
      <c r="B26" t="s">
        <v>59</v>
      </c>
      <c r="C26" t="s">
        <v>18</v>
      </c>
      <c r="D26" t="s">
        <v>67</v>
      </c>
      <c r="E26" t="s">
        <v>68</v>
      </c>
      <c r="F26" t="s">
        <v>23</v>
      </c>
      <c r="G26" t="s">
        <v>62</v>
      </c>
      <c r="H26" t="b">
        <v>0</v>
      </c>
      <c r="I26" t="b">
        <v>0</v>
      </c>
      <c r="L26" t="b">
        <v>0</v>
      </c>
      <c r="M26" t="str">
        <f>HYPERLINK("https://arizona.app.box.com/file/386243174489")</f>
        <v>https://arizona.app.box.com/file/386243174489</v>
      </c>
      <c r="N26" t="str">
        <f>HYPERLINK("https://arizona.app.box.com/file/386229441497")</f>
        <v>https://arizona.app.box.com/file/386229441497</v>
      </c>
    </row>
    <row r="27" spans="1:25" x14ac:dyDescent="0.2">
      <c r="A27">
        <v>7795</v>
      </c>
      <c r="B27" t="s">
        <v>59</v>
      </c>
      <c r="C27" t="s">
        <v>18</v>
      </c>
      <c r="D27" t="s">
        <v>69</v>
      </c>
      <c r="E27" t="s">
        <v>70</v>
      </c>
      <c r="F27" t="s">
        <v>71</v>
      </c>
      <c r="G27" t="s">
        <v>62</v>
      </c>
      <c r="H27" t="b">
        <v>0</v>
      </c>
      <c r="I27" t="b">
        <v>0</v>
      </c>
      <c r="L27" t="b">
        <v>0</v>
      </c>
      <c r="M27" t="str">
        <f>HYPERLINK("https://arizona.app.box.com/file/386246958172")</f>
        <v>https://arizona.app.box.com/file/386246958172</v>
      </c>
      <c r="N27" t="str">
        <f>HYPERLINK("https://arizona.app.box.com/file/386229319418")</f>
        <v>https://arizona.app.box.com/file/386229319418</v>
      </c>
    </row>
    <row r="28" spans="1:25" x14ac:dyDescent="0.2">
      <c r="A28">
        <v>7796</v>
      </c>
      <c r="B28" t="s">
        <v>59</v>
      </c>
      <c r="C28" t="s">
        <v>18</v>
      </c>
      <c r="D28" t="s">
        <v>72</v>
      </c>
      <c r="E28" t="s">
        <v>73</v>
      </c>
      <c r="F28" t="s">
        <v>23</v>
      </c>
      <c r="G28" t="s">
        <v>74</v>
      </c>
      <c r="H28" t="b">
        <v>0</v>
      </c>
      <c r="I28" t="b">
        <v>0</v>
      </c>
      <c r="L28" t="b">
        <v>0</v>
      </c>
    </row>
    <row r="30" spans="1:25" x14ac:dyDescent="0.2">
      <c r="A30" s="2">
        <v>7868</v>
      </c>
      <c r="B30" s="2" t="s">
        <v>75</v>
      </c>
      <c r="C30" s="2" t="s">
        <v>13</v>
      </c>
      <c r="D30" s="2" t="s">
        <v>76</v>
      </c>
      <c r="E30" s="2" t="s">
        <v>77</v>
      </c>
      <c r="F30" s="2" t="s">
        <v>78</v>
      </c>
      <c r="G30" s="2" t="s">
        <v>24</v>
      </c>
      <c r="H30" s="2"/>
      <c r="I30" s="2"/>
      <c r="J30" s="2"/>
      <c r="K30" s="2"/>
      <c r="L30" s="2"/>
      <c r="M30" s="2"/>
      <c r="N30" s="2"/>
      <c r="O30" s="2"/>
      <c r="P30" s="2"/>
      <c r="Q30" s="2"/>
      <c r="R30" s="2"/>
      <c r="S30" s="2"/>
      <c r="T30" s="2"/>
      <c r="U30" s="2"/>
      <c r="V30" s="2"/>
      <c r="W30" s="2"/>
      <c r="X30" s="2"/>
      <c r="Y30" s="2"/>
    </row>
    <row r="31" spans="1:25" x14ac:dyDescent="0.2">
      <c r="A31">
        <v>7869</v>
      </c>
      <c r="B31" t="s">
        <v>75</v>
      </c>
      <c r="C31" t="s">
        <v>18</v>
      </c>
      <c r="D31" t="s">
        <v>76</v>
      </c>
      <c r="E31" t="s">
        <v>79</v>
      </c>
      <c r="F31" t="s">
        <v>78</v>
      </c>
      <c r="G31" t="s">
        <v>24</v>
      </c>
      <c r="H31" t="b">
        <v>1</v>
      </c>
      <c r="I31" t="b">
        <v>1</v>
      </c>
      <c r="L31" t="b">
        <v>1</v>
      </c>
      <c r="M31" t="str">
        <f>HYPERLINK("https://arizona.app.box.com/file/386216030502")</f>
        <v>https://arizona.app.box.com/file/386216030502</v>
      </c>
    </row>
    <row r="32" spans="1:25" x14ac:dyDescent="0.2">
      <c r="A32">
        <v>7870</v>
      </c>
      <c r="B32" t="s">
        <v>75</v>
      </c>
      <c r="C32" t="s">
        <v>18</v>
      </c>
      <c r="D32" t="s">
        <v>80</v>
      </c>
      <c r="E32" t="s">
        <v>81</v>
      </c>
      <c r="F32" t="s">
        <v>82</v>
      </c>
      <c r="G32" t="s">
        <v>24</v>
      </c>
      <c r="H32" t="b">
        <v>0</v>
      </c>
      <c r="I32" t="b">
        <v>0</v>
      </c>
      <c r="L32" t="b">
        <v>0</v>
      </c>
    </row>
    <row r="33" spans="1:25" x14ac:dyDescent="0.2">
      <c r="A33">
        <v>7871</v>
      </c>
      <c r="B33" t="s">
        <v>75</v>
      </c>
      <c r="C33" t="s">
        <v>18</v>
      </c>
      <c r="D33" t="s">
        <v>83</v>
      </c>
      <c r="E33" t="s">
        <v>84</v>
      </c>
      <c r="F33" t="s">
        <v>82</v>
      </c>
      <c r="G33" t="s">
        <v>24</v>
      </c>
      <c r="H33" t="b">
        <v>0</v>
      </c>
      <c r="I33" t="b">
        <v>0</v>
      </c>
      <c r="L33" t="b">
        <v>0</v>
      </c>
    </row>
    <row r="34" spans="1:25" x14ac:dyDescent="0.2">
      <c r="A34">
        <v>7872</v>
      </c>
      <c r="B34" t="s">
        <v>75</v>
      </c>
      <c r="C34" t="s">
        <v>18</v>
      </c>
      <c r="D34" t="s">
        <v>85</v>
      </c>
      <c r="E34" t="s">
        <v>86</v>
      </c>
      <c r="F34" t="s">
        <v>87</v>
      </c>
      <c r="G34" t="s">
        <v>88</v>
      </c>
      <c r="H34" t="b">
        <v>0</v>
      </c>
      <c r="I34" t="b">
        <v>0</v>
      </c>
      <c r="L34" t="b">
        <v>0</v>
      </c>
    </row>
    <row r="35" spans="1:25" x14ac:dyDescent="0.2">
      <c r="A35">
        <v>7873</v>
      </c>
      <c r="B35" t="s">
        <v>75</v>
      </c>
      <c r="C35" t="s">
        <v>18</v>
      </c>
      <c r="D35" t="s">
        <v>89</v>
      </c>
      <c r="E35" t="s">
        <v>90</v>
      </c>
      <c r="F35" t="s">
        <v>87</v>
      </c>
      <c r="G35" t="s">
        <v>62</v>
      </c>
      <c r="H35" t="b">
        <v>0</v>
      </c>
      <c r="I35" t="b">
        <v>0</v>
      </c>
      <c r="L35" t="b">
        <v>0</v>
      </c>
    </row>
    <row r="37" spans="1:25" x14ac:dyDescent="0.2">
      <c r="A37" s="2">
        <v>8099</v>
      </c>
      <c r="B37" s="2" t="s">
        <v>91</v>
      </c>
      <c r="C37" s="2" t="s">
        <v>13</v>
      </c>
      <c r="D37" s="2" t="s">
        <v>92</v>
      </c>
      <c r="E37" s="2" t="s">
        <v>93</v>
      </c>
      <c r="F37" s="2" t="s">
        <v>23</v>
      </c>
      <c r="G37" s="2" t="s">
        <v>94</v>
      </c>
      <c r="H37" s="2"/>
      <c r="I37" s="2"/>
      <c r="J37" s="2"/>
      <c r="K37" s="2"/>
      <c r="L37" s="2"/>
      <c r="M37" s="2"/>
      <c r="N37" s="2"/>
      <c r="O37" s="2"/>
      <c r="P37" s="2"/>
      <c r="Q37" s="2"/>
      <c r="R37" s="2"/>
      <c r="S37" s="2"/>
      <c r="T37" s="2"/>
      <c r="U37" s="2"/>
      <c r="V37" s="2"/>
      <c r="W37" s="2"/>
      <c r="X37" s="2"/>
      <c r="Y37" s="2"/>
    </row>
    <row r="38" spans="1:25" x14ac:dyDescent="0.2">
      <c r="A38">
        <v>8100</v>
      </c>
      <c r="B38" t="s">
        <v>91</v>
      </c>
      <c r="C38" t="s">
        <v>18</v>
      </c>
      <c r="D38" t="s">
        <v>92</v>
      </c>
      <c r="E38" t="s">
        <v>93</v>
      </c>
      <c r="F38" t="s">
        <v>23</v>
      </c>
      <c r="G38" t="s">
        <v>94</v>
      </c>
      <c r="H38" t="b">
        <v>0</v>
      </c>
      <c r="J38" t="b">
        <v>1</v>
      </c>
      <c r="L38" t="b">
        <v>1</v>
      </c>
      <c r="M38" t="str">
        <f>HYPERLINK("https://arizona.app.box.com/file/386248947772")</f>
        <v>https://arizona.app.box.com/file/386248947772</v>
      </c>
      <c r="N38" t="str">
        <f>HYPERLINK("https://arizona.app.box.com/file/386253214495")</f>
        <v>https://arizona.app.box.com/file/386253214495</v>
      </c>
    </row>
    <row r="39" spans="1:25" x14ac:dyDescent="0.2">
      <c r="A39">
        <v>8101</v>
      </c>
      <c r="B39" t="s">
        <v>91</v>
      </c>
      <c r="C39" t="s">
        <v>18</v>
      </c>
      <c r="D39" t="s">
        <v>95</v>
      </c>
      <c r="E39" t="s">
        <v>96</v>
      </c>
      <c r="F39" t="s">
        <v>23</v>
      </c>
      <c r="G39" t="s">
        <v>94</v>
      </c>
      <c r="H39" t="b">
        <v>0</v>
      </c>
      <c r="J39" t="b">
        <v>0</v>
      </c>
      <c r="L39" t="b">
        <v>0</v>
      </c>
      <c r="M39" t="str">
        <f>HYPERLINK("https://arizona.app.box.com/file/386229493258")</f>
        <v>https://arizona.app.box.com/file/386229493258</v>
      </c>
      <c r="N39" t="str">
        <f>HYPERLINK("https://arizona.app.box.com/file/386217542030")</f>
        <v>https://arizona.app.box.com/file/386217542030</v>
      </c>
    </row>
    <row r="40" spans="1:25" x14ac:dyDescent="0.2">
      <c r="A40">
        <v>8102</v>
      </c>
      <c r="B40" t="s">
        <v>91</v>
      </c>
      <c r="C40" t="s">
        <v>18</v>
      </c>
      <c r="D40" t="s">
        <v>97</v>
      </c>
      <c r="E40" t="s">
        <v>98</v>
      </c>
      <c r="F40" t="s">
        <v>23</v>
      </c>
      <c r="G40" t="s">
        <v>94</v>
      </c>
      <c r="H40" t="b">
        <v>0</v>
      </c>
      <c r="J40" t="b">
        <v>0</v>
      </c>
      <c r="L40" t="b">
        <v>0</v>
      </c>
      <c r="M40" t="str">
        <f>HYPERLINK("https://arizona.app.box.com/file/386245531351")</f>
        <v>https://arizona.app.box.com/file/386245531351</v>
      </c>
      <c r="N40" t="str">
        <f>HYPERLINK("https://arizona.app.box.com/file/386245468605")</f>
        <v>https://arizona.app.box.com/file/386245468605</v>
      </c>
    </row>
    <row r="41" spans="1:25" x14ac:dyDescent="0.2">
      <c r="A41">
        <v>8103</v>
      </c>
      <c r="B41" t="s">
        <v>91</v>
      </c>
      <c r="C41" t="s">
        <v>18</v>
      </c>
      <c r="D41" t="s">
        <v>99</v>
      </c>
      <c r="E41" t="s">
        <v>100</v>
      </c>
      <c r="F41" t="s">
        <v>23</v>
      </c>
      <c r="G41" t="s">
        <v>101</v>
      </c>
      <c r="H41" t="b">
        <v>0</v>
      </c>
      <c r="J41" t="b">
        <v>0</v>
      </c>
      <c r="L41" t="b">
        <v>0</v>
      </c>
    </row>
    <row r="42" spans="1:25" x14ac:dyDescent="0.2">
      <c r="A42">
        <v>8104</v>
      </c>
      <c r="B42" t="s">
        <v>91</v>
      </c>
      <c r="C42" t="s">
        <v>18</v>
      </c>
      <c r="D42" t="s">
        <v>72</v>
      </c>
      <c r="E42" t="s">
        <v>73</v>
      </c>
      <c r="F42" t="s">
        <v>23</v>
      </c>
      <c r="G42" t="s">
        <v>74</v>
      </c>
      <c r="H42" t="b">
        <v>0</v>
      </c>
      <c r="J42" t="b">
        <v>0</v>
      </c>
      <c r="L42" t="b">
        <v>0</v>
      </c>
    </row>
    <row r="44" spans="1:25" x14ac:dyDescent="0.2">
      <c r="A44" s="2">
        <v>966</v>
      </c>
      <c r="B44" s="2" t="s">
        <v>102</v>
      </c>
      <c r="C44" s="2" t="s">
        <v>13</v>
      </c>
      <c r="D44" s="2" t="s">
        <v>103</v>
      </c>
      <c r="E44" s="2" t="s">
        <v>104</v>
      </c>
      <c r="F44" s="2" t="s">
        <v>78</v>
      </c>
      <c r="G44" s="2" t="s">
        <v>17</v>
      </c>
      <c r="H44" s="2"/>
      <c r="I44" s="2"/>
      <c r="J44" s="2"/>
      <c r="K44" s="2"/>
      <c r="L44" s="2"/>
      <c r="M44" s="2"/>
      <c r="N44" s="2"/>
      <c r="O44" s="2"/>
      <c r="P44" s="2"/>
      <c r="Q44" s="2"/>
      <c r="R44" s="2"/>
      <c r="S44" s="2"/>
      <c r="T44" s="2"/>
      <c r="U44" s="2"/>
      <c r="V44" s="2"/>
      <c r="W44" s="2"/>
      <c r="X44" s="2"/>
      <c r="Y44" s="2"/>
    </row>
    <row r="45" spans="1:25" x14ac:dyDescent="0.2">
      <c r="A45">
        <v>967</v>
      </c>
      <c r="B45" t="s">
        <v>102</v>
      </c>
      <c r="C45" t="s">
        <v>18</v>
      </c>
      <c r="D45" t="s">
        <v>103</v>
      </c>
      <c r="E45" t="s">
        <v>104</v>
      </c>
      <c r="F45" t="s">
        <v>78</v>
      </c>
      <c r="G45" t="s">
        <v>17</v>
      </c>
      <c r="H45" t="b">
        <v>1</v>
      </c>
      <c r="I45" t="b">
        <v>1</v>
      </c>
      <c r="L45" t="b">
        <v>1</v>
      </c>
      <c r="M45" t="str">
        <f>HYPERLINK("https://arizona.app.box.com/file/389267280558")</f>
        <v>https://arizona.app.box.com/file/389267280558</v>
      </c>
      <c r="N45" t="str">
        <f>HYPERLINK("https://arizona.app.box.com/file/389166563996")</f>
        <v>https://arizona.app.box.com/file/389166563996</v>
      </c>
      <c r="O45" t="str">
        <f>HYPERLINK("https://arizona.app.box.com/file/389267317454")</f>
        <v>https://arizona.app.box.com/file/389267317454</v>
      </c>
      <c r="P45" t="str">
        <f>HYPERLINK("https://arizona.app.box.com/file/389167517336")</f>
        <v>https://arizona.app.box.com/file/389167517336</v>
      </c>
    </row>
    <row r="46" spans="1:25" x14ac:dyDescent="0.2">
      <c r="A46">
        <v>968</v>
      </c>
      <c r="B46" t="s">
        <v>102</v>
      </c>
      <c r="C46" t="s">
        <v>18</v>
      </c>
      <c r="D46" t="s">
        <v>105</v>
      </c>
      <c r="E46" t="s">
        <v>106</v>
      </c>
      <c r="F46" t="s">
        <v>31</v>
      </c>
      <c r="G46" t="s">
        <v>107</v>
      </c>
      <c r="H46" t="b">
        <v>0</v>
      </c>
      <c r="I46" t="b">
        <v>0</v>
      </c>
      <c r="L46" t="b">
        <v>0</v>
      </c>
      <c r="M46" t="str">
        <f>HYPERLINK("https://arizona.app.box.com/file/389185423939")</f>
        <v>https://arizona.app.box.com/file/389185423939</v>
      </c>
    </row>
    <row r="47" spans="1:25" x14ac:dyDescent="0.2">
      <c r="A47">
        <v>969</v>
      </c>
      <c r="B47" t="s">
        <v>102</v>
      </c>
      <c r="C47" t="s">
        <v>18</v>
      </c>
      <c r="D47" t="s">
        <v>108</v>
      </c>
      <c r="E47" t="s">
        <v>109</v>
      </c>
      <c r="F47" t="s">
        <v>78</v>
      </c>
      <c r="G47" t="s">
        <v>17</v>
      </c>
      <c r="H47" t="b">
        <v>0</v>
      </c>
      <c r="I47" t="b">
        <v>0</v>
      </c>
      <c r="L47" t="b">
        <v>0</v>
      </c>
      <c r="M47" t="str">
        <f>HYPERLINK("https://arizona.app.box.com/file/389151521009")</f>
        <v>https://arizona.app.box.com/file/389151521009</v>
      </c>
    </row>
    <row r="48" spans="1:25" x14ac:dyDescent="0.2">
      <c r="A48">
        <v>970</v>
      </c>
      <c r="B48" t="s">
        <v>102</v>
      </c>
      <c r="C48" t="s">
        <v>18</v>
      </c>
      <c r="D48" t="s">
        <v>110</v>
      </c>
      <c r="E48" t="s">
        <v>111</v>
      </c>
      <c r="F48" t="s">
        <v>78</v>
      </c>
      <c r="G48" t="s">
        <v>24</v>
      </c>
      <c r="H48" t="b">
        <v>0</v>
      </c>
      <c r="I48" t="b">
        <v>0</v>
      </c>
      <c r="L48" t="b">
        <v>0</v>
      </c>
      <c r="M48" t="str">
        <f>HYPERLINK("https://arizona.app.box.com/file/389268157634")</f>
        <v>https://arizona.app.box.com/file/389268157634</v>
      </c>
      <c r="N48" t="str">
        <f>HYPERLINK("https://arizona.app.box.com/file/389170640383")</f>
        <v>https://arizona.app.box.com/file/389170640383</v>
      </c>
    </row>
    <row r="49" spans="1:25" x14ac:dyDescent="0.2">
      <c r="A49">
        <v>971</v>
      </c>
      <c r="B49" t="s">
        <v>102</v>
      </c>
      <c r="C49" t="s">
        <v>18</v>
      </c>
      <c r="D49" t="s">
        <v>112</v>
      </c>
      <c r="E49" t="s">
        <v>113</v>
      </c>
      <c r="F49" t="s">
        <v>78</v>
      </c>
      <c r="G49" t="s">
        <v>24</v>
      </c>
      <c r="H49" t="b">
        <v>0</v>
      </c>
      <c r="I49" t="b">
        <v>0</v>
      </c>
      <c r="L49" t="b">
        <v>0</v>
      </c>
      <c r="M49" t="str">
        <f>HYPERLINK("https://arizona.app.box.com/file/386237734836")</f>
        <v>https://arizona.app.box.com/file/386237734836</v>
      </c>
      <c r="N49" t="str">
        <f>HYPERLINK("https://arizona.app.box.com/file/386240410716")</f>
        <v>https://arizona.app.box.com/file/386240410716</v>
      </c>
    </row>
    <row r="51" spans="1:25" x14ac:dyDescent="0.2">
      <c r="A51" s="2">
        <v>1057</v>
      </c>
      <c r="B51" s="2" t="s">
        <v>114</v>
      </c>
      <c r="C51" s="2" t="s">
        <v>13</v>
      </c>
      <c r="D51" s="2" t="s">
        <v>115</v>
      </c>
      <c r="E51" s="2" t="s">
        <v>116</v>
      </c>
      <c r="F51" s="2" t="s">
        <v>31</v>
      </c>
      <c r="G51" s="2" t="s">
        <v>17</v>
      </c>
      <c r="H51" s="2"/>
      <c r="I51" s="2"/>
      <c r="J51" s="2"/>
      <c r="K51" s="2"/>
      <c r="L51" s="2"/>
      <c r="M51" s="2"/>
      <c r="N51" s="2"/>
      <c r="O51" s="2"/>
      <c r="P51" s="2"/>
      <c r="Q51" s="2"/>
      <c r="R51" s="2"/>
      <c r="S51" s="2"/>
      <c r="T51" s="2"/>
      <c r="U51" s="2"/>
      <c r="V51" s="2"/>
      <c r="W51" s="2"/>
      <c r="X51" s="2"/>
      <c r="Y51" s="2"/>
    </row>
    <row r="52" spans="1:25" x14ac:dyDescent="0.2">
      <c r="A52">
        <v>1058</v>
      </c>
      <c r="B52" t="s">
        <v>114</v>
      </c>
      <c r="C52" t="s">
        <v>18</v>
      </c>
      <c r="D52" t="s">
        <v>115</v>
      </c>
      <c r="E52" t="s">
        <v>117</v>
      </c>
      <c r="F52" t="s">
        <v>31</v>
      </c>
      <c r="G52" t="s">
        <v>17</v>
      </c>
      <c r="H52" t="b">
        <v>1</v>
      </c>
      <c r="K52" t="b">
        <v>1</v>
      </c>
      <c r="L52" t="b">
        <v>1</v>
      </c>
      <c r="M52" t="str">
        <f>HYPERLINK("https://arizona.app.box.com/file/389264018074")</f>
        <v>https://arizona.app.box.com/file/389264018074</v>
      </c>
    </row>
    <row r="53" spans="1:25" x14ac:dyDescent="0.2">
      <c r="A53">
        <v>1059</v>
      </c>
      <c r="B53" t="s">
        <v>114</v>
      </c>
      <c r="C53" t="s">
        <v>18</v>
      </c>
      <c r="D53" t="s">
        <v>118</v>
      </c>
      <c r="E53" t="s">
        <v>119</v>
      </c>
      <c r="F53" t="s">
        <v>31</v>
      </c>
      <c r="G53" t="s">
        <v>17</v>
      </c>
      <c r="H53" t="b">
        <v>1</v>
      </c>
      <c r="K53" t="b">
        <v>1</v>
      </c>
      <c r="L53" t="b">
        <v>1</v>
      </c>
      <c r="M53" t="str">
        <f>HYPERLINK("https://arizona.app.box.com/file/389138068598")</f>
        <v>https://arizona.app.box.com/file/389138068598</v>
      </c>
    </row>
    <row r="54" spans="1:25" x14ac:dyDescent="0.2">
      <c r="A54">
        <v>1060</v>
      </c>
      <c r="B54" t="s">
        <v>114</v>
      </c>
      <c r="C54" t="s">
        <v>18</v>
      </c>
      <c r="D54" t="s">
        <v>120</v>
      </c>
      <c r="E54" t="s">
        <v>121</v>
      </c>
      <c r="F54" t="s">
        <v>122</v>
      </c>
      <c r="G54" t="s">
        <v>24</v>
      </c>
      <c r="H54" t="b">
        <v>0</v>
      </c>
      <c r="K54" t="b">
        <v>0</v>
      </c>
      <c r="L54" t="b">
        <v>0</v>
      </c>
      <c r="M54" t="str">
        <f>HYPERLINK("https://arizona.app.box.com/file/386240845985")</f>
        <v>https://arizona.app.box.com/file/386240845985</v>
      </c>
    </row>
    <row r="55" spans="1:25" x14ac:dyDescent="0.2">
      <c r="A55">
        <v>1061</v>
      </c>
      <c r="B55" t="s">
        <v>114</v>
      </c>
      <c r="C55" t="s">
        <v>18</v>
      </c>
      <c r="D55" t="s">
        <v>123</v>
      </c>
      <c r="E55" t="s">
        <v>124</v>
      </c>
      <c r="F55" t="s">
        <v>122</v>
      </c>
      <c r="G55" t="s">
        <v>17</v>
      </c>
      <c r="H55" t="b">
        <v>0</v>
      </c>
      <c r="K55" t="b">
        <v>0</v>
      </c>
      <c r="L55" t="b">
        <v>0</v>
      </c>
      <c r="M55" t="str">
        <f>HYPERLINK("https://arizona.app.box.com/file/386265762102")</f>
        <v>https://arizona.app.box.com/file/386265762102</v>
      </c>
      <c r="N55" t="str">
        <f>HYPERLINK("https://arizona.app.box.com/file/386241113911")</f>
        <v>https://arizona.app.box.com/file/386241113911</v>
      </c>
    </row>
    <row r="56" spans="1:25" x14ac:dyDescent="0.2">
      <c r="A56">
        <v>1062</v>
      </c>
      <c r="B56" t="s">
        <v>114</v>
      </c>
      <c r="C56" t="s">
        <v>18</v>
      </c>
      <c r="D56" t="s">
        <v>125</v>
      </c>
      <c r="E56" t="s">
        <v>126</v>
      </c>
      <c r="F56" t="s">
        <v>78</v>
      </c>
      <c r="G56" t="s">
        <v>17</v>
      </c>
      <c r="H56" t="b">
        <v>0</v>
      </c>
      <c r="K56" t="b">
        <v>0</v>
      </c>
      <c r="L56" t="b">
        <v>0</v>
      </c>
      <c r="M56" t="str">
        <f>HYPERLINK("https://arizona.app.box.com/file/389161715692")</f>
        <v>https://arizona.app.box.com/file/389161715692</v>
      </c>
      <c r="N56" t="str">
        <f>HYPERLINK("https://arizona.app.box.com/file/389136876676")</f>
        <v>https://arizona.app.box.com/file/389136876676</v>
      </c>
    </row>
    <row r="58" spans="1:25" x14ac:dyDescent="0.2">
      <c r="A58" s="2">
        <v>1246</v>
      </c>
      <c r="B58" s="2" t="s">
        <v>127</v>
      </c>
      <c r="C58" s="2" t="s">
        <v>13</v>
      </c>
      <c r="D58" s="2" t="s">
        <v>128</v>
      </c>
      <c r="E58" s="2" t="s">
        <v>129</v>
      </c>
      <c r="F58" s="2" t="s">
        <v>23</v>
      </c>
      <c r="G58" s="2" t="s">
        <v>130</v>
      </c>
      <c r="H58" s="2"/>
      <c r="I58" s="2"/>
      <c r="J58" s="2"/>
      <c r="K58" s="2"/>
      <c r="L58" s="2"/>
      <c r="M58" s="2"/>
      <c r="N58" s="2"/>
      <c r="O58" s="2"/>
      <c r="P58" s="2"/>
      <c r="Q58" s="2"/>
      <c r="R58" s="2"/>
      <c r="S58" s="2"/>
      <c r="T58" s="2"/>
      <c r="U58" s="2"/>
      <c r="V58" s="2"/>
      <c r="W58" s="2"/>
      <c r="X58" s="2"/>
      <c r="Y58" s="2"/>
    </row>
    <row r="59" spans="1:25" x14ac:dyDescent="0.2">
      <c r="A59">
        <v>1247</v>
      </c>
      <c r="B59" t="s">
        <v>127</v>
      </c>
      <c r="C59" t="s">
        <v>18</v>
      </c>
      <c r="D59" t="s">
        <v>128</v>
      </c>
      <c r="E59" t="s">
        <v>129</v>
      </c>
      <c r="F59" t="s">
        <v>23</v>
      </c>
      <c r="G59" t="s">
        <v>131</v>
      </c>
      <c r="H59" t="b">
        <v>1</v>
      </c>
      <c r="I59" t="b">
        <v>1</v>
      </c>
      <c r="L59" t="b">
        <v>1</v>
      </c>
      <c r="M59" t="str">
        <f>HYPERLINK("https://arizona.app.box.com/file/386243593798")</f>
        <v>https://arizona.app.box.com/file/386243593798</v>
      </c>
      <c r="N59" t="str">
        <f>HYPERLINK("https://arizona.app.box.com/file/386238406565")</f>
        <v>https://arizona.app.box.com/file/386238406565</v>
      </c>
    </row>
    <row r="60" spans="1:25" x14ac:dyDescent="0.2">
      <c r="A60">
        <v>1248</v>
      </c>
      <c r="B60" t="s">
        <v>127</v>
      </c>
      <c r="C60" t="s">
        <v>18</v>
      </c>
      <c r="D60" t="s">
        <v>132</v>
      </c>
      <c r="E60" t="s">
        <v>133</v>
      </c>
      <c r="F60" t="s">
        <v>78</v>
      </c>
      <c r="G60" t="s">
        <v>134</v>
      </c>
      <c r="H60" t="b">
        <v>0</v>
      </c>
      <c r="I60" t="b">
        <v>0</v>
      </c>
      <c r="L60" t="b">
        <v>0</v>
      </c>
      <c r="M60" t="str">
        <f>HYPERLINK("https://arizona.app.box.com/file/389151422683")</f>
        <v>https://arizona.app.box.com/file/389151422683</v>
      </c>
    </row>
    <row r="61" spans="1:25" x14ac:dyDescent="0.2">
      <c r="A61">
        <v>1249</v>
      </c>
      <c r="B61" t="s">
        <v>127</v>
      </c>
      <c r="C61" t="s">
        <v>18</v>
      </c>
      <c r="D61" t="s">
        <v>135</v>
      </c>
      <c r="E61" t="s">
        <v>136</v>
      </c>
      <c r="F61" t="s">
        <v>23</v>
      </c>
      <c r="G61" t="s">
        <v>17</v>
      </c>
      <c r="H61" t="b">
        <v>0</v>
      </c>
      <c r="I61" t="b">
        <v>0</v>
      </c>
      <c r="L61" t="b">
        <v>0</v>
      </c>
    </row>
    <row r="62" spans="1:25" x14ac:dyDescent="0.2">
      <c r="A62">
        <v>1250</v>
      </c>
      <c r="B62" t="s">
        <v>127</v>
      </c>
      <c r="C62" t="s">
        <v>18</v>
      </c>
      <c r="D62" t="s">
        <v>137</v>
      </c>
      <c r="E62" t="s">
        <v>138</v>
      </c>
      <c r="F62" t="s">
        <v>78</v>
      </c>
      <c r="G62" t="s">
        <v>134</v>
      </c>
      <c r="H62" t="b">
        <v>0</v>
      </c>
      <c r="I62" t="b">
        <v>0</v>
      </c>
      <c r="L62" t="b">
        <v>0</v>
      </c>
      <c r="M62" t="str">
        <f>HYPERLINK("https://arizona.app.box.com/file/389163079509")</f>
        <v>https://arizona.app.box.com/file/389163079509</v>
      </c>
    </row>
    <row r="63" spans="1:25" x14ac:dyDescent="0.2">
      <c r="A63">
        <v>1251</v>
      </c>
      <c r="B63" t="s">
        <v>127</v>
      </c>
      <c r="C63" t="s">
        <v>18</v>
      </c>
      <c r="D63" t="s">
        <v>139</v>
      </c>
      <c r="E63" t="s">
        <v>140</v>
      </c>
      <c r="F63" t="s">
        <v>23</v>
      </c>
      <c r="G63" t="s">
        <v>17</v>
      </c>
      <c r="H63" t="b">
        <v>0</v>
      </c>
      <c r="I63" t="b">
        <v>0</v>
      </c>
      <c r="L63" t="b">
        <v>0</v>
      </c>
    </row>
    <row r="65" spans="1:25" x14ac:dyDescent="0.2">
      <c r="A65" s="2">
        <v>1554</v>
      </c>
      <c r="B65" s="2" t="s">
        <v>141</v>
      </c>
      <c r="C65" s="2" t="s">
        <v>13</v>
      </c>
      <c r="D65" s="2" t="s">
        <v>142</v>
      </c>
      <c r="E65" s="2" t="s">
        <v>143</v>
      </c>
      <c r="F65" s="2" t="s">
        <v>144</v>
      </c>
      <c r="G65" s="2" t="s">
        <v>62</v>
      </c>
      <c r="H65" s="2"/>
      <c r="I65" s="2"/>
      <c r="J65" s="2"/>
      <c r="K65" s="2"/>
      <c r="L65" s="2"/>
      <c r="M65" s="2"/>
      <c r="N65" s="2"/>
      <c r="O65" s="2"/>
      <c r="P65" s="2"/>
      <c r="Q65" s="2"/>
      <c r="R65" s="2"/>
      <c r="S65" s="2"/>
      <c r="T65" s="2"/>
      <c r="U65" s="2"/>
      <c r="V65" s="2"/>
      <c r="W65" s="2"/>
      <c r="X65" s="2"/>
      <c r="Y65" s="2"/>
    </row>
    <row r="66" spans="1:25" x14ac:dyDescent="0.2">
      <c r="A66">
        <v>1555</v>
      </c>
      <c r="B66" t="s">
        <v>141</v>
      </c>
      <c r="C66" t="s">
        <v>18</v>
      </c>
      <c r="D66" t="s">
        <v>142</v>
      </c>
      <c r="E66" t="s">
        <v>145</v>
      </c>
      <c r="F66" t="s">
        <v>144</v>
      </c>
      <c r="G66" t="s">
        <v>62</v>
      </c>
      <c r="H66" t="b">
        <v>1</v>
      </c>
      <c r="I66" t="b">
        <v>1</v>
      </c>
      <c r="L66" t="b">
        <v>1</v>
      </c>
      <c r="M66" t="str">
        <f>HYPERLINK("https://arizona.app.box.com/file/389174195762")</f>
        <v>https://arizona.app.box.com/file/389174195762</v>
      </c>
      <c r="N66" t="str">
        <f>HYPERLINK("https://arizona.app.box.com/file/386241036191")</f>
        <v>https://arizona.app.box.com/file/386241036191</v>
      </c>
    </row>
    <row r="67" spans="1:25" x14ac:dyDescent="0.2">
      <c r="A67">
        <v>1556</v>
      </c>
      <c r="B67" t="s">
        <v>141</v>
      </c>
      <c r="C67" t="s">
        <v>18</v>
      </c>
      <c r="D67" t="s">
        <v>146</v>
      </c>
      <c r="E67" t="s">
        <v>147</v>
      </c>
      <c r="F67" t="s">
        <v>148</v>
      </c>
      <c r="G67" t="s">
        <v>62</v>
      </c>
      <c r="H67" t="b">
        <v>0</v>
      </c>
      <c r="I67" t="b">
        <v>0</v>
      </c>
      <c r="L67" t="b">
        <v>0</v>
      </c>
      <c r="M67" t="str">
        <f>HYPERLINK("https://arizona.app.box.com/file/386240633435")</f>
        <v>https://arizona.app.box.com/file/386240633435</v>
      </c>
    </row>
    <row r="68" spans="1:25" x14ac:dyDescent="0.2">
      <c r="A68">
        <v>1557</v>
      </c>
      <c r="B68" t="s">
        <v>141</v>
      </c>
      <c r="C68" t="s">
        <v>18</v>
      </c>
      <c r="D68" t="s">
        <v>149</v>
      </c>
      <c r="E68" t="s">
        <v>150</v>
      </c>
      <c r="F68" t="s">
        <v>151</v>
      </c>
      <c r="G68" t="s">
        <v>62</v>
      </c>
      <c r="H68" t="b">
        <v>0</v>
      </c>
      <c r="I68" t="b">
        <v>0</v>
      </c>
      <c r="L68" t="b">
        <v>0</v>
      </c>
      <c r="M68" t="str">
        <f>HYPERLINK("https://arizona.app.box.com/file/386242972385")</f>
        <v>https://arizona.app.box.com/file/386242972385</v>
      </c>
    </row>
    <row r="69" spans="1:25" x14ac:dyDescent="0.2">
      <c r="A69">
        <v>1558</v>
      </c>
      <c r="B69" t="s">
        <v>141</v>
      </c>
      <c r="C69" t="s">
        <v>18</v>
      </c>
      <c r="D69" t="s">
        <v>152</v>
      </c>
      <c r="E69" t="s">
        <v>153</v>
      </c>
      <c r="F69" t="s">
        <v>71</v>
      </c>
      <c r="G69" t="s">
        <v>62</v>
      </c>
      <c r="H69" t="b">
        <v>0</v>
      </c>
      <c r="I69" t="b">
        <v>0</v>
      </c>
      <c r="L69" t="b">
        <v>0</v>
      </c>
      <c r="M69" t="str">
        <f>HYPERLINK("https://arizona.app.box.com/file/386214786832")</f>
        <v>https://arizona.app.box.com/file/386214786832</v>
      </c>
      <c r="N69" t="str">
        <f>HYPERLINK("https://arizona.app.box.com/file/386244965402")</f>
        <v>https://arizona.app.box.com/file/386244965402</v>
      </c>
    </row>
    <row r="70" spans="1:25" x14ac:dyDescent="0.2">
      <c r="A70">
        <v>1559</v>
      </c>
      <c r="B70" t="s">
        <v>141</v>
      </c>
      <c r="C70" t="s">
        <v>18</v>
      </c>
      <c r="D70" t="s">
        <v>154</v>
      </c>
      <c r="E70" t="s">
        <v>155</v>
      </c>
      <c r="F70" t="s">
        <v>151</v>
      </c>
      <c r="G70" t="s">
        <v>62</v>
      </c>
      <c r="H70" t="b">
        <v>0</v>
      </c>
      <c r="I70" t="b">
        <v>0</v>
      </c>
      <c r="L70" t="b">
        <v>0</v>
      </c>
      <c r="M70" t="str">
        <f>HYPERLINK("https://arizona.app.box.com/file/386238432026")</f>
        <v>https://arizona.app.box.com/file/386238432026</v>
      </c>
    </row>
    <row r="72" spans="1:25" x14ac:dyDescent="0.2">
      <c r="A72" s="2">
        <v>2002</v>
      </c>
      <c r="B72" s="2" t="s">
        <v>156</v>
      </c>
      <c r="C72" s="2" t="s">
        <v>13</v>
      </c>
      <c r="D72" s="2" t="s">
        <v>157</v>
      </c>
      <c r="E72" s="2" t="s">
        <v>158</v>
      </c>
      <c r="F72" s="2" t="s">
        <v>159</v>
      </c>
      <c r="G72" s="2" t="s">
        <v>24</v>
      </c>
      <c r="H72" s="2"/>
      <c r="I72" s="2"/>
      <c r="J72" s="2"/>
      <c r="K72" s="2"/>
      <c r="L72" s="2"/>
      <c r="M72" s="2"/>
      <c r="N72" s="2"/>
      <c r="O72" s="2"/>
      <c r="P72" s="2"/>
      <c r="Q72" s="2"/>
      <c r="R72" s="2"/>
      <c r="S72" s="2"/>
      <c r="T72" s="2"/>
      <c r="U72" s="2"/>
      <c r="V72" s="2"/>
      <c r="W72" s="2"/>
      <c r="X72" s="2"/>
      <c r="Y72" s="2"/>
    </row>
    <row r="73" spans="1:25" x14ac:dyDescent="0.2">
      <c r="A73">
        <v>2003</v>
      </c>
      <c r="B73" t="s">
        <v>156</v>
      </c>
      <c r="C73" t="s">
        <v>18</v>
      </c>
      <c r="D73" t="s">
        <v>157</v>
      </c>
      <c r="E73" t="s">
        <v>158</v>
      </c>
      <c r="F73" t="s">
        <v>160</v>
      </c>
      <c r="G73" t="s">
        <v>161</v>
      </c>
      <c r="H73" t="b">
        <v>1</v>
      </c>
      <c r="I73" t="b">
        <v>1</v>
      </c>
      <c r="L73" t="b">
        <v>1</v>
      </c>
      <c r="M73" t="str">
        <f>HYPERLINK("https://arizona.app.box.com/file/389263180916")</f>
        <v>https://arizona.app.box.com/file/389263180916</v>
      </c>
      <c r="N73" t="str">
        <f>HYPERLINK("https://arizona.app.box.com/file/386216449454")</f>
        <v>https://arizona.app.box.com/file/386216449454</v>
      </c>
    </row>
    <row r="74" spans="1:25" x14ac:dyDescent="0.2">
      <c r="A74">
        <v>2004</v>
      </c>
      <c r="B74" t="s">
        <v>156</v>
      </c>
      <c r="C74" t="s">
        <v>18</v>
      </c>
      <c r="D74" t="s">
        <v>162</v>
      </c>
      <c r="E74" t="s">
        <v>163</v>
      </c>
      <c r="F74" t="s">
        <v>16</v>
      </c>
      <c r="G74" t="s">
        <v>24</v>
      </c>
      <c r="H74" t="b">
        <v>1</v>
      </c>
      <c r="I74" t="b">
        <v>1</v>
      </c>
      <c r="L74" t="b">
        <v>1</v>
      </c>
      <c r="M74" t="str">
        <f>HYPERLINK("https://arizona.app.box.com/file/389255779743")</f>
        <v>https://arizona.app.box.com/file/389255779743</v>
      </c>
      <c r="N74" t="str">
        <f>HYPERLINK("https://arizona.app.box.com/file/389152310670")</f>
        <v>https://arizona.app.box.com/file/389152310670</v>
      </c>
    </row>
    <row r="75" spans="1:25" x14ac:dyDescent="0.2">
      <c r="A75">
        <v>2005</v>
      </c>
      <c r="B75" t="s">
        <v>156</v>
      </c>
      <c r="C75" t="s">
        <v>18</v>
      </c>
      <c r="D75" t="s">
        <v>164</v>
      </c>
      <c r="E75" t="s">
        <v>165</v>
      </c>
      <c r="F75" t="s">
        <v>122</v>
      </c>
      <c r="G75" t="s">
        <v>17</v>
      </c>
      <c r="H75" t="b">
        <v>1</v>
      </c>
      <c r="I75" t="b">
        <v>0</v>
      </c>
      <c r="L75" t="b">
        <v>0</v>
      </c>
      <c r="M75" t="str">
        <f>HYPERLINK("https://arizona.app.box.com/file/389174125441")</f>
        <v>https://arizona.app.box.com/file/389174125441</v>
      </c>
    </row>
    <row r="76" spans="1:25" x14ac:dyDescent="0.2">
      <c r="A76">
        <v>2006</v>
      </c>
      <c r="B76" t="s">
        <v>156</v>
      </c>
      <c r="C76" t="s">
        <v>18</v>
      </c>
      <c r="D76" t="s">
        <v>166</v>
      </c>
      <c r="E76" t="s">
        <v>167</v>
      </c>
      <c r="F76" t="s">
        <v>168</v>
      </c>
      <c r="G76" t="s">
        <v>24</v>
      </c>
      <c r="H76" t="b">
        <v>1</v>
      </c>
      <c r="I76" t="b">
        <v>0</v>
      </c>
      <c r="L76" t="b">
        <v>0</v>
      </c>
      <c r="M76" t="str">
        <f>HYPERLINK("https://arizona.app.box.com/file/389170381266")</f>
        <v>https://arizona.app.box.com/file/389170381266</v>
      </c>
      <c r="N76" t="str">
        <f>HYPERLINK("https://arizona.app.box.com/file/386216367225")</f>
        <v>https://arizona.app.box.com/file/386216367225</v>
      </c>
    </row>
    <row r="77" spans="1:25" x14ac:dyDescent="0.2">
      <c r="A77">
        <v>2007</v>
      </c>
      <c r="B77" t="s">
        <v>156</v>
      </c>
      <c r="C77" t="s">
        <v>18</v>
      </c>
      <c r="D77" t="s">
        <v>169</v>
      </c>
      <c r="E77" t="s">
        <v>170</v>
      </c>
      <c r="F77" t="s">
        <v>16</v>
      </c>
      <c r="G77" t="s">
        <v>24</v>
      </c>
      <c r="H77" t="b">
        <v>1</v>
      </c>
      <c r="I77" t="b">
        <v>0</v>
      </c>
      <c r="L77" t="b">
        <v>0</v>
      </c>
      <c r="M77" t="str">
        <f>HYPERLINK("https://arizona.app.box.com/file/389268280980")</f>
        <v>https://arizona.app.box.com/file/389268280980</v>
      </c>
      <c r="N77" t="str">
        <f>HYPERLINK("https://arizona.app.box.com/file/389160744467")</f>
        <v>https://arizona.app.box.com/file/389160744467</v>
      </c>
    </row>
    <row r="79" spans="1:25" x14ac:dyDescent="0.2">
      <c r="A79" s="2">
        <v>2058</v>
      </c>
      <c r="B79" s="2" t="s">
        <v>171</v>
      </c>
      <c r="C79" s="2" t="s">
        <v>13</v>
      </c>
      <c r="D79" s="2" t="s">
        <v>172</v>
      </c>
      <c r="E79" s="2" t="s">
        <v>173</v>
      </c>
      <c r="F79" s="2" t="s">
        <v>174</v>
      </c>
      <c r="G79" s="2" t="s">
        <v>17</v>
      </c>
      <c r="H79" s="2"/>
      <c r="I79" s="2"/>
      <c r="J79" s="2"/>
      <c r="K79" s="2"/>
      <c r="L79" s="2"/>
      <c r="M79" s="2"/>
      <c r="N79" s="2"/>
      <c r="O79" s="2"/>
      <c r="P79" s="2"/>
      <c r="Q79" s="2"/>
      <c r="R79" s="2"/>
      <c r="S79" s="2"/>
      <c r="T79" s="2"/>
      <c r="U79" s="2"/>
      <c r="V79" s="2"/>
      <c r="W79" s="2"/>
      <c r="X79" s="2"/>
      <c r="Y79" s="2"/>
    </row>
    <row r="80" spans="1:25" x14ac:dyDescent="0.2">
      <c r="A80">
        <v>2059</v>
      </c>
      <c r="B80" t="s">
        <v>171</v>
      </c>
      <c r="C80" t="s">
        <v>18</v>
      </c>
      <c r="D80" t="s">
        <v>172</v>
      </c>
      <c r="E80" t="s">
        <v>173</v>
      </c>
      <c r="F80" t="s">
        <v>174</v>
      </c>
      <c r="G80" t="s">
        <v>17</v>
      </c>
      <c r="H80" t="b">
        <v>1</v>
      </c>
      <c r="I80" t="b">
        <v>1</v>
      </c>
      <c r="L80" t="b">
        <v>1</v>
      </c>
      <c r="M80" t="str">
        <f>HYPERLINK("https://arizona.app.box.com/file/389161821407")</f>
        <v>https://arizona.app.box.com/file/389161821407</v>
      </c>
      <c r="N80" t="str">
        <f>HYPERLINK("https://arizona.app.box.com/file/389161441654")</f>
        <v>https://arizona.app.box.com/file/389161441654</v>
      </c>
    </row>
    <row r="81" spans="1:25" x14ac:dyDescent="0.2">
      <c r="A81">
        <v>2060</v>
      </c>
      <c r="B81" t="s">
        <v>171</v>
      </c>
      <c r="C81" t="s">
        <v>18</v>
      </c>
      <c r="D81" t="s">
        <v>175</v>
      </c>
      <c r="E81" t="s">
        <v>176</v>
      </c>
      <c r="F81" t="s">
        <v>174</v>
      </c>
      <c r="G81" t="s">
        <v>17</v>
      </c>
      <c r="H81" t="b">
        <v>0</v>
      </c>
      <c r="I81" t="b">
        <v>0</v>
      </c>
      <c r="L81" t="b">
        <v>0</v>
      </c>
      <c r="M81" t="str">
        <f>HYPERLINK("https://arizona.app.box.com/file/389255017609")</f>
        <v>https://arizona.app.box.com/file/389255017609</v>
      </c>
      <c r="N81" t="str">
        <f>HYPERLINK("https://arizona.app.box.com/file/389164327013")</f>
        <v>https://arizona.app.box.com/file/389164327013</v>
      </c>
    </row>
    <row r="82" spans="1:25" x14ac:dyDescent="0.2">
      <c r="A82">
        <v>2061</v>
      </c>
      <c r="B82" t="s">
        <v>171</v>
      </c>
      <c r="C82" t="s">
        <v>18</v>
      </c>
      <c r="D82" t="s">
        <v>177</v>
      </c>
      <c r="E82" t="s">
        <v>178</v>
      </c>
      <c r="F82" t="s">
        <v>174</v>
      </c>
      <c r="G82" t="s">
        <v>17</v>
      </c>
      <c r="H82" t="b">
        <v>1</v>
      </c>
      <c r="I82" t="b">
        <v>0</v>
      </c>
      <c r="L82" t="b">
        <v>0</v>
      </c>
      <c r="M82" t="str">
        <f>HYPERLINK("https://arizona.app.box.com/file/389162896137")</f>
        <v>https://arizona.app.box.com/file/389162896137</v>
      </c>
      <c r="N82" t="str">
        <f>HYPERLINK("https://arizona.app.box.com/file/386241113911")</f>
        <v>https://arizona.app.box.com/file/386241113911</v>
      </c>
    </row>
    <row r="83" spans="1:25" x14ac:dyDescent="0.2">
      <c r="A83">
        <v>2062</v>
      </c>
      <c r="B83" t="s">
        <v>171</v>
      </c>
      <c r="C83" t="s">
        <v>18</v>
      </c>
      <c r="D83" t="s">
        <v>179</v>
      </c>
      <c r="E83" t="s">
        <v>180</v>
      </c>
      <c r="F83" t="s">
        <v>174</v>
      </c>
      <c r="G83" t="s">
        <v>17</v>
      </c>
      <c r="H83" t="b">
        <v>0</v>
      </c>
      <c r="I83" t="b">
        <v>0</v>
      </c>
      <c r="L83" t="b">
        <v>0</v>
      </c>
      <c r="M83" t="str">
        <f>HYPERLINK("https://arizona.app.box.com/file/389163957661")</f>
        <v>https://arizona.app.box.com/file/389163957661</v>
      </c>
    </row>
    <row r="84" spans="1:25" x14ac:dyDescent="0.2">
      <c r="A84">
        <v>2063</v>
      </c>
      <c r="B84" t="s">
        <v>171</v>
      </c>
      <c r="C84" t="s">
        <v>18</v>
      </c>
      <c r="D84" t="s">
        <v>181</v>
      </c>
      <c r="E84" t="s">
        <v>182</v>
      </c>
      <c r="F84" t="s">
        <v>174</v>
      </c>
      <c r="G84" t="s">
        <v>17</v>
      </c>
      <c r="H84" t="b">
        <v>0</v>
      </c>
      <c r="I84" t="b">
        <v>0</v>
      </c>
      <c r="L84" t="b">
        <v>0</v>
      </c>
      <c r="M84" t="str">
        <f>HYPERLINK("https://arizona.app.box.com/file/389150617659")</f>
        <v>https://arizona.app.box.com/file/389150617659</v>
      </c>
      <c r="N84" t="str">
        <f>HYPERLINK("https://arizona.app.box.com/file/389162624328")</f>
        <v>https://arizona.app.box.com/file/389162624328</v>
      </c>
    </row>
    <row r="86" spans="1:25" x14ac:dyDescent="0.2">
      <c r="A86" s="2">
        <v>2352</v>
      </c>
      <c r="B86" s="2" t="s">
        <v>183</v>
      </c>
      <c r="C86" s="2" t="s">
        <v>13</v>
      </c>
      <c r="D86" s="2" t="s">
        <v>184</v>
      </c>
      <c r="E86" s="2" t="s">
        <v>185</v>
      </c>
      <c r="F86" s="2" t="s">
        <v>174</v>
      </c>
      <c r="G86" s="2" t="s">
        <v>17</v>
      </c>
      <c r="H86" s="2"/>
      <c r="I86" s="2"/>
      <c r="J86" s="2"/>
      <c r="K86" s="2"/>
      <c r="L86" s="2"/>
      <c r="M86" s="2"/>
      <c r="N86" s="2"/>
      <c r="O86" s="2"/>
      <c r="P86" s="2"/>
      <c r="Q86" s="2"/>
      <c r="R86" s="2"/>
      <c r="S86" s="2"/>
      <c r="T86" s="2"/>
      <c r="U86" s="2"/>
      <c r="V86" s="2"/>
      <c r="W86" s="2"/>
      <c r="X86" s="2"/>
      <c r="Y86" s="2"/>
    </row>
    <row r="87" spans="1:25" x14ac:dyDescent="0.2">
      <c r="A87">
        <v>2353</v>
      </c>
      <c r="B87" t="s">
        <v>183</v>
      </c>
      <c r="C87" t="s">
        <v>18</v>
      </c>
      <c r="D87" t="s">
        <v>184</v>
      </c>
      <c r="E87" t="s">
        <v>186</v>
      </c>
      <c r="F87" t="s">
        <v>174</v>
      </c>
      <c r="G87" t="s">
        <v>17</v>
      </c>
      <c r="H87" t="b">
        <v>1</v>
      </c>
      <c r="I87" t="b">
        <v>1</v>
      </c>
      <c r="L87" t="b">
        <v>1</v>
      </c>
      <c r="M87" t="str">
        <f>HYPERLINK("https://arizona.app.box.com/file/389138054131")</f>
        <v>https://arizona.app.box.com/file/389138054131</v>
      </c>
      <c r="N87" t="str">
        <f>HYPERLINK("https://arizona.app.box.com/file/386241113911")</f>
        <v>https://arizona.app.box.com/file/386241113911</v>
      </c>
    </row>
    <row r="88" spans="1:25" x14ac:dyDescent="0.2">
      <c r="A88">
        <v>2354</v>
      </c>
      <c r="B88" t="s">
        <v>183</v>
      </c>
      <c r="C88" t="s">
        <v>18</v>
      </c>
      <c r="D88" t="s">
        <v>187</v>
      </c>
      <c r="E88" t="s">
        <v>188</v>
      </c>
      <c r="F88" t="s">
        <v>31</v>
      </c>
      <c r="G88" t="s">
        <v>17</v>
      </c>
      <c r="H88" t="b">
        <v>0</v>
      </c>
      <c r="I88" t="b">
        <v>0</v>
      </c>
      <c r="L88" t="b">
        <v>0</v>
      </c>
      <c r="M88" t="str">
        <f>HYPERLINK("https://arizona.app.box.com/file/389170143575")</f>
        <v>https://arizona.app.box.com/file/389170143575</v>
      </c>
      <c r="N88" t="str">
        <f>HYPERLINK("https://arizona.app.box.com/file/386241227928")</f>
        <v>https://arizona.app.box.com/file/386241227928</v>
      </c>
    </row>
    <row r="89" spans="1:25" x14ac:dyDescent="0.2">
      <c r="A89">
        <v>2355</v>
      </c>
      <c r="B89" t="s">
        <v>183</v>
      </c>
      <c r="C89" t="s">
        <v>18</v>
      </c>
      <c r="D89" t="s">
        <v>189</v>
      </c>
      <c r="E89" t="s">
        <v>190</v>
      </c>
      <c r="F89" t="s">
        <v>31</v>
      </c>
      <c r="G89" t="s">
        <v>17</v>
      </c>
      <c r="H89" t="b">
        <v>0</v>
      </c>
      <c r="I89" t="b">
        <v>0</v>
      </c>
      <c r="L89" t="b">
        <v>0</v>
      </c>
      <c r="M89" t="str">
        <f>HYPERLINK("https://arizona.app.box.com/file/389260302381")</f>
        <v>https://arizona.app.box.com/file/389260302381</v>
      </c>
      <c r="N89" t="str">
        <f>HYPERLINK("https://arizona.app.box.com/file/389153301295")</f>
        <v>https://arizona.app.box.com/file/389153301295</v>
      </c>
    </row>
    <row r="90" spans="1:25" x14ac:dyDescent="0.2">
      <c r="A90">
        <v>2356</v>
      </c>
      <c r="B90" t="s">
        <v>183</v>
      </c>
      <c r="C90" t="s">
        <v>18</v>
      </c>
      <c r="D90" t="s">
        <v>191</v>
      </c>
      <c r="E90" t="s">
        <v>192</v>
      </c>
      <c r="F90" t="s">
        <v>159</v>
      </c>
      <c r="G90" t="s">
        <v>193</v>
      </c>
      <c r="H90" t="b">
        <v>0</v>
      </c>
      <c r="I90" t="b">
        <v>0</v>
      </c>
      <c r="L90" t="b">
        <v>0</v>
      </c>
      <c r="M90" t="str">
        <f>HYPERLINK("https://arizona.app.box.com/file/389172676474")</f>
        <v>https://arizona.app.box.com/file/389172676474</v>
      </c>
      <c r="N90" t="str">
        <f>HYPERLINK("https://arizona.app.box.com/file/386225995346")</f>
        <v>https://arizona.app.box.com/file/386225995346</v>
      </c>
    </row>
    <row r="91" spans="1:25" x14ac:dyDescent="0.2">
      <c r="A91">
        <v>2357</v>
      </c>
      <c r="B91" t="s">
        <v>183</v>
      </c>
      <c r="C91" t="s">
        <v>18</v>
      </c>
      <c r="D91" t="s">
        <v>194</v>
      </c>
      <c r="E91" t="s">
        <v>195</v>
      </c>
      <c r="F91" t="s">
        <v>196</v>
      </c>
      <c r="G91" t="s">
        <v>17</v>
      </c>
      <c r="H91" t="b">
        <v>0</v>
      </c>
      <c r="I91" t="b">
        <v>0</v>
      </c>
      <c r="L91" t="b">
        <v>0</v>
      </c>
      <c r="M91" t="str">
        <f>HYPERLINK("https://arizona.app.box.com/file/389259890773")</f>
        <v>https://arizona.app.box.com/file/389259890773</v>
      </c>
    </row>
    <row r="93" spans="1:25" x14ac:dyDescent="0.2">
      <c r="A93" s="2">
        <v>2877</v>
      </c>
      <c r="B93" s="2" t="s">
        <v>197</v>
      </c>
      <c r="C93" s="2" t="s">
        <v>13</v>
      </c>
      <c r="D93" s="2" t="s">
        <v>198</v>
      </c>
      <c r="E93" s="2" t="s">
        <v>199</v>
      </c>
      <c r="F93" s="2" t="s">
        <v>200</v>
      </c>
      <c r="G93" s="2" t="s">
        <v>201</v>
      </c>
      <c r="H93" s="2"/>
      <c r="I93" s="2"/>
      <c r="J93" s="2"/>
      <c r="K93" s="2"/>
      <c r="L93" s="2"/>
      <c r="M93" s="2"/>
      <c r="N93" s="2"/>
      <c r="O93" s="2"/>
      <c r="P93" s="2"/>
      <c r="Q93" s="2"/>
      <c r="R93" s="2"/>
      <c r="S93" s="2"/>
      <c r="T93" s="2"/>
      <c r="U93" s="2"/>
      <c r="V93" s="2"/>
      <c r="W93" s="2"/>
      <c r="X93" s="2"/>
      <c r="Y93" s="2"/>
    </row>
    <row r="94" spans="1:25" x14ac:dyDescent="0.2">
      <c r="A94">
        <v>2878</v>
      </c>
      <c r="B94" t="s">
        <v>197</v>
      </c>
      <c r="C94" t="s">
        <v>18</v>
      </c>
      <c r="D94" t="s">
        <v>198</v>
      </c>
      <c r="E94" t="s">
        <v>202</v>
      </c>
      <c r="F94" t="s">
        <v>200</v>
      </c>
      <c r="G94" t="s">
        <v>201</v>
      </c>
      <c r="H94" t="b">
        <v>1</v>
      </c>
      <c r="I94" t="b">
        <v>1</v>
      </c>
      <c r="L94" t="b">
        <v>1</v>
      </c>
      <c r="M94" t="str">
        <f>HYPERLINK("https://arizona.app.box.com/file/389264033488")</f>
        <v>https://arizona.app.box.com/file/389264033488</v>
      </c>
    </row>
    <row r="95" spans="1:25" x14ac:dyDescent="0.2">
      <c r="A95">
        <v>2879</v>
      </c>
      <c r="B95" t="s">
        <v>197</v>
      </c>
      <c r="C95" t="s">
        <v>18</v>
      </c>
      <c r="D95" t="s">
        <v>203</v>
      </c>
      <c r="E95" t="s">
        <v>204</v>
      </c>
      <c r="F95" t="s">
        <v>205</v>
      </c>
      <c r="G95" t="s">
        <v>201</v>
      </c>
      <c r="H95" t="b">
        <v>1</v>
      </c>
      <c r="I95" t="b">
        <v>1</v>
      </c>
      <c r="L95" t="b">
        <v>1</v>
      </c>
      <c r="M95" t="str">
        <f>HYPERLINK("https://arizona.app.box.com/file/389255053362")</f>
        <v>https://arizona.app.box.com/file/389255053362</v>
      </c>
      <c r="N95" t="str">
        <f>HYPERLINK("https://arizona.app.box.com/file/389163554550")</f>
        <v>https://arizona.app.box.com/file/389163554550</v>
      </c>
    </row>
    <row r="96" spans="1:25" x14ac:dyDescent="0.2">
      <c r="A96">
        <v>2880</v>
      </c>
      <c r="B96" t="s">
        <v>197</v>
      </c>
      <c r="C96" t="s">
        <v>18</v>
      </c>
      <c r="D96" t="s">
        <v>206</v>
      </c>
      <c r="E96" t="s">
        <v>207</v>
      </c>
      <c r="F96" t="s">
        <v>205</v>
      </c>
      <c r="G96" t="s">
        <v>201</v>
      </c>
      <c r="H96" t="b">
        <v>1</v>
      </c>
      <c r="I96" t="b">
        <v>1</v>
      </c>
      <c r="L96" t="b">
        <v>1</v>
      </c>
      <c r="M96" t="str">
        <f>HYPERLINK("https://arizona.app.box.com/file/389266459890")</f>
        <v>https://arizona.app.box.com/file/389266459890</v>
      </c>
      <c r="N96" t="str">
        <f>HYPERLINK("https://arizona.app.box.com/file/389162354854")</f>
        <v>https://arizona.app.box.com/file/389162354854</v>
      </c>
    </row>
    <row r="97" spans="1:25" x14ac:dyDescent="0.2">
      <c r="A97">
        <v>2881</v>
      </c>
      <c r="B97" t="s">
        <v>197</v>
      </c>
      <c r="C97" t="s">
        <v>18</v>
      </c>
      <c r="D97" t="s">
        <v>208</v>
      </c>
      <c r="E97" t="s">
        <v>209</v>
      </c>
      <c r="F97" t="s">
        <v>159</v>
      </c>
      <c r="G97" t="s">
        <v>201</v>
      </c>
      <c r="H97" t="b">
        <v>0</v>
      </c>
      <c r="I97" t="b">
        <v>0</v>
      </c>
      <c r="L97" t="b">
        <v>0</v>
      </c>
      <c r="M97" t="str">
        <f>HYPERLINK("https://arizona.app.box.com/file/389264776005")</f>
        <v>https://arizona.app.box.com/file/389264776005</v>
      </c>
      <c r="N97" t="str">
        <f>HYPERLINK("https://arizona.app.box.com/file/389138131286")</f>
        <v>https://arizona.app.box.com/file/389138131286</v>
      </c>
    </row>
    <row r="98" spans="1:25" x14ac:dyDescent="0.2">
      <c r="A98">
        <v>2882</v>
      </c>
      <c r="B98" t="s">
        <v>197</v>
      </c>
      <c r="C98" t="s">
        <v>18</v>
      </c>
      <c r="D98" t="s">
        <v>210</v>
      </c>
      <c r="E98" t="s">
        <v>211</v>
      </c>
      <c r="F98" t="s">
        <v>159</v>
      </c>
      <c r="G98" t="s">
        <v>201</v>
      </c>
      <c r="H98" t="b">
        <v>0</v>
      </c>
      <c r="I98" t="b">
        <v>0</v>
      </c>
      <c r="L98" t="b">
        <v>0</v>
      </c>
      <c r="M98" t="str">
        <f>HYPERLINK("https://arizona.app.box.com/file/389266347022")</f>
        <v>https://arizona.app.box.com/file/389266347022</v>
      </c>
      <c r="N98" t="str">
        <f>HYPERLINK("https://arizona.app.box.com/file/389152134689")</f>
        <v>https://arizona.app.box.com/file/389152134689</v>
      </c>
    </row>
    <row r="100" spans="1:25" x14ac:dyDescent="0.2">
      <c r="A100" s="2">
        <v>3115</v>
      </c>
      <c r="B100" s="2" t="s">
        <v>212</v>
      </c>
      <c r="C100" s="2" t="s">
        <v>13</v>
      </c>
      <c r="D100" s="2" t="s">
        <v>213</v>
      </c>
      <c r="E100" s="2" t="s">
        <v>214</v>
      </c>
      <c r="F100" s="2" t="s">
        <v>78</v>
      </c>
      <c r="G100" s="2" t="s">
        <v>17</v>
      </c>
      <c r="H100" s="2"/>
      <c r="I100" s="2"/>
      <c r="J100" s="2"/>
      <c r="K100" s="2"/>
      <c r="L100" s="2"/>
      <c r="M100" s="2"/>
      <c r="N100" s="2"/>
      <c r="O100" s="2"/>
      <c r="P100" s="2"/>
      <c r="Q100" s="2"/>
      <c r="R100" s="2"/>
      <c r="S100" s="2"/>
      <c r="T100" s="2"/>
      <c r="U100" s="2"/>
      <c r="V100" s="2"/>
      <c r="W100" s="2"/>
      <c r="X100" s="2"/>
      <c r="Y100" s="2"/>
    </row>
    <row r="101" spans="1:25" x14ac:dyDescent="0.2">
      <c r="A101">
        <v>3116</v>
      </c>
      <c r="B101" t="s">
        <v>212</v>
      </c>
      <c r="C101" t="s">
        <v>18</v>
      </c>
      <c r="D101" t="s">
        <v>213</v>
      </c>
      <c r="E101" t="s">
        <v>214</v>
      </c>
      <c r="F101" t="s">
        <v>78</v>
      </c>
      <c r="G101" t="s">
        <v>17</v>
      </c>
      <c r="H101" t="b">
        <v>1</v>
      </c>
      <c r="I101" t="b">
        <v>1</v>
      </c>
      <c r="L101" t="b">
        <v>1</v>
      </c>
      <c r="M101" t="str">
        <f>HYPERLINK("https://arizona.app.box.com/file/389161937825")</f>
        <v>https://arizona.app.box.com/file/389161937825</v>
      </c>
      <c r="N101" t="str">
        <f>HYPERLINK("https://arizona.app.box.com/file/386241113911")</f>
        <v>https://arizona.app.box.com/file/386241113911</v>
      </c>
    </row>
    <row r="102" spans="1:25" x14ac:dyDescent="0.2">
      <c r="A102">
        <v>3117</v>
      </c>
      <c r="B102" t="s">
        <v>212</v>
      </c>
      <c r="C102" t="s">
        <v>18</v>
      </c>
      <c r="D102" t="s">
        <v>215</v>
      </c>
      <c r="E102" t="s">
        <v>216</v>
      </c>
      <c r="F102" t="s">
        <v>78</v>
      </c>
      <c r="G102" t="s">
        <v>17</v>
      </c>
      <c r="H102" t="b">
        <v>0</v>
      </c>
      <c r="I102" t="b">
        <v>0</v>
      </c>
      <c r="L102" t="b">
        <v>0</v>
      </c>
      <c r="M102" t="str">
        <f>HYPERLINK("https://arizona.app.box.com/file/389161899953")</f>
        <v>https://arizona.app.box.com/file/389161899953</v>
      </c>
      <c r="N102" t="str">
        <f>HYPERLINK("https://arizona.app.box.com/file/389149413598")</f>
        <v>https://arizona.app.box.com/file/389149413598</v>
      </c>
    </row>
    <row r="103" spans="1:25" x14ac:dyDescent="0.2">
      <c r="A103">
        <v>3118</v>
      </c>
      <c r="B103" t="s">
        <v>212</v>
      </c>
      <c r="C103" t="s">
        <v>18</v>
      </c>
      <c r="D103" t="s">
        <v>217</v>
      </c>
      <c r="E103" t="s">
        <v>218</v>
      </c>
      <c r="F103" t="s">
        <v>78</v>
      </c>
      <c r="G103" t="s">
        <v>17</v>
      </c>
      <c r="H103" t="b">
        <v>0</v>
      </c>
      <c r="I103" t="b">
        <v>0</v>
      </c>
      <c r="L103" t="b">
        <v>0</v>
      </c>
      <c r="M103" t="str">
        <f>HYPERLINK("https://arizona.app.box.com/file/389165372678")</f>
        <v>https://arizona.app.box.com/file/389165372678</v>
      </c>
      <c r="N103" t="str">
        <f>HYPERLINK("https://arizona.app.box.com/file/389162389613")</f>
        <v>https://arizona.app.box.com/file/389162389613</v>
      </c>
    </row>
    <row r="104" spans="1:25" x14ac:dyDescent="0.2">
      <c r="A104">
        <v>3119</v>
      </c>
      <c r="B104" t="s">
        <v>212</v>
      </c>
      <c r="C104" t="s">
        <v>18</v>
      </c>
      <c r="D104" t="s">
        <v>219</v>
      </c>
      <c r="E104" t="s">
        <v>220</v>
      </c>
      <c r="F104" t="s">
        <v>78</v>
      </c>
      <c r="G104" t="s">
        <v>17</v>
      </c>
      <c r="H104" t="b">
        <v>0</v>
      </c>
      <c r="I104" t="b">
        <v>0</v>
      </c>
      <c r="L104" t="b">
        <v>0</v>
      </c>
      <c r="M104" t="str">
        <f>HYPERLINK("https://arizona.app.box.com/file/386265152058")</f>
        <v>https://arizona.app.box.com/file/386265152058</v>
      </c>
      <c r="N104" t="str">
        <f>HYPERLINK("https://arizona.app.box.com/file/389162173462")</f>
        <v>https://arizona.app.box.com/file/389162173462</v>
      </c>
    </row>
    <row r="105" spans="1:25" x14ac:dyDescent="0.2">
      <c r="A105">
        <v>3120</v>
      </c>
      <c r="B105" t="s">
        <v>212</v>
      </c>
      <c r="C105" t="s">
        <v>18</v>
      </c>
      <c r="D105" t="s">
        <v>221</v>
      </c>
      <c r="E105" t="s">
        <v>222</v>
      </c>
      <c r="F105" t="s">
        <v>82</v>
      </c>
      <c r="G105" t="s">
        <v>17</v>
      </c>
      <c r="H105" t="b">
        <v>0</v>
      </c>
      <c r="I105" t="b">
        <v>0</v>
      </c>
      <c r="L105" t="b">
        <v>0</v>
      </c>
    </row>
    <row r="107" spans="1:25" x14ac:dyDescent="0.2">
      <c r="A107" s="2">
        <v>3178</v>
      </c>
      <c r="B107" s="2" t="s">
        <v>223</v>
      </c>
      <c r="C107" s="2" t="s">
        <v>13</v>
      </c>
      <c r="D107" s="2" t="s">
        <v>224</v>
      </c>
      <c r="E107" s="2" t="s">
        <v>225</v>
      </c>
      <c r="F107" s="2" t="s">
        <v>151</v>
      </c>
      <c r="G107" s="2" t="s">
        <v>24</v>
      </c>
      <c r="H107" s="2"/>
      <c r="I107" s="2"/>
      <c r="J107" s="2"/>
      <c r="K107" s="2"/>
      <c r="L107" s="2"/>
      <c r="M107" s="2"/>
      <c r="N107" s="2"/>
      <c r="O107" s="2"/>
      <c r="P107" s="2"/>
      <c r="Q107" s="2"/>
      <c r="R107" s="2"/>
      <c r="S107" s="2"/>
      <c r="T107" s="2"/>
      <c r="U107" s="2"/>
      <c r="V107" s="2"/>
      <c r="W107" s="2"/>
      <c r="X107" s="2"/>
      <c r="Y107" s="2"/>
    </row>
    <row r="108" spans="1:25" x14ac:dyDescent="0.2">
      <c r="A108">
        <v>3179</v>
      </c>
      <c r="B108" t="s">
        <v>223</v>
      </c>
      <c r="C108" t="s">
        <v>18</v>
      </c>
      <c r="D108" t="s">
        <v>224</v>
      </c>
      <c r="E108" t="s">
        <v>225</v>
      </c>
      <c r="F108" t="s">
        <v>151</v>
      </c>
      <c r="G108" t="s">
        <v>24</v>
      </c>
      <c r="H108" t="b">
        <v>1</v>
      </c>
      <c r="I108" t="b">
        <v>1</v>
      </c>
      <c r="L108" t="b">
        <v>1</v>
      </c>
      <c r="M108" t="str">
        <f>HYPERLINK("https://arizona.app.box.com/file/386227138225")</f>
        <v>https://arizona.app.box.com/file/386227138225</v>
      </c>
      <c r="N108" t="str">
        <f>HYPERLINK("https://arizona.app.box.com/file/386240629060")</f>
        <v>https://arizona.app.box.com/file/386240629060</v>
      </c>
    </row>
    <row r="109" spans="1:25" x14ac:dyDescent="0.2">
      <c r="A109">
        <v>3180</v>
      </c>
      <c r="B109" t="s">
        <v>223</v>
      </c>
      <c r="C109" t="s">
        <v>18</v>
      </c>
      <c r="D109" t="s">
        <v>226</v>
      </c>
      <c r="E109" t="s">
        <v>227</v>
      </c>
      <c r="F109" t="s">
        <v>151</v>
      </c>
      <c r="G109" t="s">
        <v>24</v>
      </c>
      <c r="H109" t="b">
        <v>0</v>
      </c>
      <c r="I109" t="b">
        <v>0</v>
      </c>
      <c r="L109" t="b">
        <v>0</v>
      </c>
      <c r="M109" t="str">
        <f>HYPERLINK("https://arizona.app.box.com/file/386212466324")</f>
        <v>https://arizona.app.box.com/file/386212466324</v>
      </c>
    </row>
    <row r="110" spans="1:25" x14ac:dyDescent="0.2">
      <c r="A110">
        <v>3181</v>
      </c>
      <c r="B110" t="s">
        <v>223</v>
      </c>
      <c r="C110" t="s">
        <v>18</v>
      </c>
      <c r="D110" t="s">
        <v>228</v>
      </c>
      <c r="E110" t="s">
        <v>229</v>
      </c>
      <c r="F110" t="s">
        <v>151</v>
      </c>
      <c r="G110" t="s">
        <v>24</v>
      </c>
      <c r="H110" t="b">
        <v>0</v>
      </c>
      <c r="I110" t="b">
        <v>0</v>
      </c>
      <c r="L110" t="b">
        <v>0</v>
      </c>
      <c r="M110" t="str">
        <f>HYPERLINK("https://arizona.app.box.com/file/386237449550")</f>
        <v>https://arizona.app.box.com/file/386237449550</v>
      </c>
      <c r="N110" t="str">
        <f>HYPERLINK("https://arizona.app.box.com/file/386238349643")</f>
        <v>https://arizona.app.box.com/file/386238349643</v>
      </c>
    </row>
    <row r="111" spans="1:25" x14ac:dyDescent="0.2">
      <c r="A111">
        <v>3182</v>
      </c>
      <c r="B111" t="s">
        <v>223</v>
      </c>
      <c r="C111" t="s">
        <v>18</v>
      </c>
      <c r="D111" t="s">
        <v>230</v>
      </c>
      <c r="E111" t="s">
        <v>231</v>
      </c>
      <c r="F111" t="s">
        <v>151</v>
      </c>
      <c r="G111" t="s">
        <v>24</v>
      </c>
      <c r="H111" t="b">
        <v>0</v>
      </c>
      <c r="I111" t="b">
        <v>0</v>
      </c>
      <c r="L111" t="b">
        <v>0</v>
      </c>
      <c r="M111" t="str">
        <f>HYPERLINK("https://arizona.app.box.com/file/386217049584")</f>
        <v>https://arizona.app.box.com/file/386217049584</v>
      </c>
    </row>
    <row r="112" spans="1:25" x14ac:dyDescent="0.2">
      <c r="A112">
        <v>3183</v>
      </c>
      <c r="B112" t="s">
        <v>223</v>
      </c>
      <c r="C112" t="s">
        <v>18</v>
      </c>
      <c r="D112" t="s">
        <v>232</v>
      </c>
      <c r="E112" t="s">
        <v>233</v>
      </c>
      <c r="F112" t="s">
        <v>151</v>
      </c>
      <c r="G112" t="s">
        <v>24</v>
      </c>
      <c r="H112" t="b">
        <v>0</v>
      </c>
      <c r="I112" t="b">
        <v>0</v>
      </c>
      <c r="L112" t="b">
        <v>0</v>
      </c>
    </row>
    <row r="114" spans="1:25" x14ac:dyDescent="0.2">
      <c r="A114" s="2">
        <v>3577</v>
      </c>
      <c r="B114" s="2" t="s">
        <v>234</v>
      </c>
      <c r="C114" s="2" t="s">
        <v>13</v>
      </c>
      <c r="D114" s="2" t="s">
        <v>235</v>
      </c>
      <c r="E114" s="2" t="s">
        <v>236</v>
      </c>
      <c r="F114" s="2" t="s">
        <v>78</v>
      </c>
      <c r="G114" s="2" t="s">
        <v>17</v>
      </c>
      <c r="H114" s="2"/>
      <c r="I114" s="2"/>
      <c r="J114" s="2"/>
      <c r="K114" s="2"/>
      <c r="L114" s="2"/>
      <c r="M114" s="2"/>
      <c r="N114" s="2"/>
      <c r="O114" s="2"/>
      <c r="P114" s="2"/>
      <c r="Q114" s="2"/>
      <c r="R114" s="2"/>
      <c r="S114" s="2"/>
      <c r="T114" s="2"/>
      <c r="U114" s="2"/>
      <c r="V114" s="2"/>
      <c r="W114" s="2"/>
      <c r="X114" s="2"/>
      <c r="Y114" s="2"/>
    </row>
    <row r="115" spans="1:25" x14ac:dyDescent="0.2">
      <c r="A115">
        <v>3578</v>
      </c>
      <c r="B115" t="s">
        <v>234</v>
      </c>
      <c r="C115" t="s">
        <v>18</v>
      </c>
      <c r="D115" t="s">
        <v>235</v>
      </c>
      <c r="E115" t="s">
        <v>236</v>
      </c>
      <c r="F115" t="s">
        <v>78</v>
      </c>
      <c r="G115" t="s">
        <v>17</v>
      </c>
      <c r="H115" t="b">
        <v>1</v>
      </c>
      <c r="K115" t="b">
        <v>1</v>
      </c>
      <c r="L115" t="b">
        <v>1</v>
      </c>
      <c r="M115" t="str">
        <f>HYPERLINK("https://arizona.app.box.com/file/389137145012")</f>
        <v>https://arizona.app.box.com/file/389137145012</v>
      </c>
      <c r="N115" t="str">
        <f>HYPERLINK("https://arizona.app.box.com/file/389161935693")</f>
        <v>https://arizona.app.box.com/file/389161935693</v>
      </c>
    </row>
    <row r="116" spans="1:25" x14ac:dyDescent="0.2">
      <c r="A116">
        <v>3579</v>
      </c>
      <c r="B116" t="s">
        <v>234</v>
      </c>
      <c r="C116" t="s">
        <v>18</v>
      </c>
      <c r="D116" t="s">
        <v>237</v>
      </c>
      <c r="E116" t="s">
        <v>238</v>
      </c>
      <c r="F116" t="s">
        <v>78</v>
      </c>
      <c r="G116" t="s">
        <v>17</v>
      </c>
      <c r="H116" t="b">
        <v>0</v>
      </c>
      <c r="K116" t="b">
        <v>0</v>
      </c>
      <c r="L116" t="b">
        <v>0</v>
      </c>
      <c r="M116" t="str">
        <f>HYPERLINK("https://arizona.app.box.com/file/389152010019")</f>
        <v>https://arizona.app.box.com/file/389152010019</v>
      </c>
      <c r="N116" t="str">
        <f>HYPERLINK("https://arizona.app.box.com/file/389138298540")</f>
        <v>https://arizona.app.box.com/file/389138298540</v>
      </c>
    </row>
    <row r="117" spans="1:25" x14ac:dyDescent="0.2">
      <c r="A117">
        <v>3580</v>
      </c>
      <c r="B117" t="s">
        <v>234</v>
      </c>
      <c r="C117" t="s">
        <v>18</v>
      </c>
      <c r="D117" t="s">
        <v>239</v>
      </c>
      <c r="E117" t="s">
        <v>240</v>
      </c>
      <c r="F117" t="s">
        <v>78</v>
      </c>
      <c r="G117" t="s">
        <v>17</v>
      </c>
      <c r="H117" t="b">
        <v>0</v>
      </c>
      <c r="K117" t="b">
        <v>0</v>
      </c>
      <c r="L117" t="b">
        <v>0</v>
      </c>
      <c r="M117" t="str">
        <f>HYPERLINK("https://arizona.app.box.com/file/389264020874")</f>
        <v>https://arizona.app.box.com/file/389264020874</v>
      </c>
      <c r="N117" t="str">
        <f>HYPERLINK("https://arizona.app.box.com/file/389150327422")</f>
        <v>https://arizona.app.box.com/file/389150327422</v>
      </c>
    </row>
    <row r="118" spans="1:25" x14ac:dyDescent="0.2">
      <c r="A118">
        <v>3581</v>
      </c>
      <c r="B118" t="s">
        <v>234</v>
      </c>
      <c r="C118" t="s">
        <v>18</v>
      </c>
      <c r="D118" t="s">
        <v>241</v>
      </c>
      <c r="E118" t="s">
        <v>242</v>
      </c>
      <c r="F118" t="s">
        <v>78</v>
      </c>
      <c r="G118" t="s">
        <v>17</v>
      </c>
      <c r="H118" t="b">
        <v>0</v>
      </c>
      <c r="K118" t="b">
        <v>0</v>
      </c>
      <c r="L118" t="b">
        <v>0</v>
      </c>
    </row>
    <row r="119" spans="1:25" x14ac:dyDescent="0.2">
      <c r="A119">
        <v>3582</v>
      </c>
      <c r="B119" t="s">
        <v>234</v>
      </c>
      <c r="C119" t="s">
        <v>18</v>
      </c>
      <c r="D119" t="s">
        <v>243</v>
      </c>
      <c r="E119" t="s">
        <v>244</v>
      </c>
      <c r="F119" t="s">
        <v>78</v>
      </c>
      <c r="G119" t="s">
        <v>17</v>
      </c>
      <c r="H119" t="b">
        <v>0</v>
      </c>
      <c r="K119" t="b">
        <v>0</v>
      </c>
      <c r="L119" t="b">
        <v>0</v>
      </c>
      <c r="M119" t="str">
        <f>HYPERLINK("https://arizona.app.box.com/file/389164502204")</f>
        <v>https://arizona.app.box.com/file/389164502204</v>
      </c>
    </row>
    <row r="121" spans="1:25" x14ac:dyDescent="0.2">
      <c r="A121" s="2">
        <v>3633</v>
      </c>
      <c r="B121" s="2" t="s">
        <v>245</v>
      </c>
      <c r="C121" s="2" t="s">
        <v>13</v>
      </c>
      <c r="D121" s="2" t="s">
        <v>246</v>
      </c>
      <c r="E121" s="2" t="s">
        <v>247</v>
      </c>
      <c r="F121" s="2" t="s">
        <v>248</v>
      </c>
      <c r="G121" s="2" t="s">
        <v>17</v>
      </c>
      <c r="H121" s="2"/>
      <c r="I121" s="2"/>
      <c r="J121" s="2"/>
      <c r="K121" s="2"/>
      <c r="L121" s="2"/>
      <c r="M121" s="2"/>
      <c r="N121" s="2"/>
      <c r="O121" s="2"/>
      <c r="P121" s="2"/>
      <c r="Q121" s="2"/>
      <c r="R121" s="2"/>
      <c r="S121" s="2"/>
      <c r="T121" s="2"/>
      <c r="U121" s="2"/>
      <c r="V121" s="2"/>
      <c r="W121" s="2"/>
      <c r="X121" s="2"/>
      <c r="Y121" s="2"/>
    </row>
    <row r="122" spans="1:25" x14ac:dyDescent="0.2">
      <c r="A122">
        <v>3634</v>
      </c>
      <c r="B122" t="s">
        <v>245</v>
      </c>
      <c r="C122" t="s">
        <v>18</v>
      </c>
      <c r="D122" t="s">
        <v>246</v>
      </c>
      <c r="E122" t="s">
        <v>249</v>
      </c>
      <c r="F122" t="s">
        <v>248</v>
      </c>
      <c r="G122" t="s">
        <v>17</v>
      </c>
      <c r="H122" t="b">
        <v>1</v>
      </c>
      <c r="I122" t="b">
        <v>1</v>
      </c>
      <c r="L122" t="b">
        <v>1</v>
      </c>
      <c r="M122" t="str">
        <f>HYPERLINK("https://arizona.app.box.com/file/389266459927")</f>
        <v>https://arizona.app.box.com/file/389266459927</v>
      </c>
      <c r="N122" t="str">
        <f>HYPERLINK("https://arizona.app.box.com/file/389153496899")</f>
        <v>https://arizona.app.box.com/file/389153496899</v>
      </c>
    </row>
    <row r="123" spans="1:25" x14ac:dyDescent="0.2">
      <c r="A123">
        <v>3635</v>
      </c>
      <c r="B123" t="s">
        <v>245</v>
      </c>
      <c r="C123" t="s">
        <v>18</v>
      </c>
      <c r="D123" t="s">
        <v>250</v>
      </c>
      <c r="E123" t="s">
        <v>251</v>
      </c>
      <c r="F123" t="s">
        <v>87</v>
      </c>
      <c r="G123" t="s">
        <v>252</v>
      </c>
      <c r="H123" t="b">
        <v>0</v>
      </c>
      <c r="I123" t="b">
        <v>0</v>
      </c>
      <c r="L123" t="b">
        <v>0</v>
      </c>
      <c r="M123" t="str">
        <f>HYPERLINK("https://arizona.app.box.com/file/386230539497")</f>
        <v>https://arizona.app.box.com/file/386230539497</v>
      </c>
      <c r="N123" t="str">
        <f>HYPERLINK("https://arizona.app.box.com/file/386236013085")</f>
        <v>https://arizona.app.box.com/file/386236013085</v>
      </c>
    </row>
    <row r="124" spans="1:25" x14ac:dyDescent="0.2">
      <c r="A124">
        <v>3636</v>
      </c>
      <c r="B124" t="s">
        <v>245</v>
      </c>
      <c r="C124" t="s">
        <v>18</v>
      </c>
      <c r="D124" t="s">
        <v>253</v>
      </c>
      <c r="E124" t="s">
        <v>254</v>
      </c>
      <c r="F124" t="s">
        <v>248</v>
      </c>
      <c r="G124" t="s">
        <v>255</v>
      </c>
      <c r="H124" t="b">
        <v>0</v>
      </c>
      <c r="I124" t="b">
        <v>0</v>
      </c>
      <c r="L124" t="b">
        <v>0</v>
      </c>
      <c r="M124" t="str">
        <f>HYPERLINK("https://arizona.app.box.com/file/386245593317")</f>
        <v>https://arizona.app.box.com/file/386245593317</v>
      </c>
      <c r="N124" t="str">
        <f>HYPERLINK("https://arizona.app.box.com/file/386242837274")</f>
        <v>https://arizona.app.box.com/file/386242837274</v>
      </c>
    </row>
    <row r="125" spans="1:25" x14ac:dyDescent="0.2">
      <c r="A125">
        <v>3637</v>
      </c>
      <c r="B125" t="s">
        <v>245</v>
      </c>
      <c r="C125" t="s">
        <v>18</v>
      </c>
      <c r="D125" t="s">
        <v>256</v>
      </c>
      <c r="E125" t="s">
        <v>257</v>
      </c>
      <c r="F125" t="s">
        <v>248</v>
      </c>
      <c r="G125" t="s">
        <v>24</v>
      </c>
      <c r="H125" t="b">
        <v>0</v>
      </c>
      <c r="I125" t="b">
        <v>0</v>
      </c>
      <c r="L125" t="b">
        <v>0</v>
      </c>
    </row>
    <row r="126" spans="1:25" x14ac:dyDescent="0.2">
      <c r="A126">
        <v>3638</v>
      </c>
      <c r="B126" t="s">
        <v>245</v>
      </c>
      <c r="C126" t="s">
        <v>18</v>
      </c>
      <c r="D126" t="s">
        <v>258</v>
      </c>
      <c r="E126" t="s">
        <v>259</v>
      </c>
      <c r="F126" t="s">
        <v>260</v>
      </c>
      <c r="G126" t="s">
        <v>88</v>
      </c>
      <c r="H126" t="b">
        <v>0</v>
      </c>
      <c r="I126" t="b">
        <v>0</v>
      </c>
      <c r="L126" t="b">
        <v>0</v>
      </c>
    </row>
    <row r="128" spans="1:25" x14ac:dyDescent="0.2">
      <c r="A128" s="2">
        <v>3794</v>
      </c>
      <c r="B128" s="2" t="s">
        <v>261</v>
      </c>
      <c r="C128" s="2" t="s">
        <v>13</v>
      </c>
      <c r="D128" s="2" t="s">
        <v>262</v>
      </c>
      <c r="E128" s="2" t="s">
        <v>263</v>
      </c>
      <c r="F128" s="2" t="s">
        <v>264</v>
      </c>
      <c r="G128" s="2" t="s">
        <v>265</v>
      </c>
      <c r="H128" s="2"/>
      <c r="I128" s="2"/>
      <c r="J128" s="2"/>
      <c r="K128" s="2"/>
      <c r="L128" s="2"/>
      <c r="M128" s="2"/>
      <c r="N128" s="2"/>
      <c r="O128" s="2"/>
      <c r="P128" s="2"/>
      <c r="Q128" s="2"/>
      <c r="R128" s="2"/>
      <c r="S128" s="2"/>
      <c r="T128" s="2"/>
      <c r="U128" s="2"/>
      <c r="V128" s="2"/>
      <c r="W128" s="2"/>
      <c r="X128" s="2"/>
      <c r="Y128" s="2"/>
    </row>
    <row r="129" spans="1:25" x14ac:dyDescent="0.2">
      <c r="A129">
        <v>3795</v>
      </c>
      <c r="B129" t="s">
        <v>261</v>
      </c>
      <c r="C129" t="s">
        <v>18</v>
      </c>
      <c r="D129" t="s">
        <v>262</v>
      </c>
      <c r="E129" t="s">
        <v>263</v>
      </c>
      <c r="F129" t="s">
        <v>264</v>
      </c>
      <c r="G129" t="s">
        <v>265</v>
      </c>
      <c r="H129" t="b">
        <v>1</v>
      </c>
      <c r="I129" t="b">
        <v>1</v>
      </c>
      <c r="L129" t="b">
        <v>1</v>
      </c>
      <c r="M129" t="str">
        <f>HYPERLINK("https://arizona.app.box.com/file/386237118829")</f>
        <v>https://arizona.app.box.com/file/386237118829</v>
      </c>
      <c r="N129" t="str">
        <f>HYPERLINK("https://arizona.app.box.com/file/386242044429")</f>
        <v>https://arizona.app.box.com/file/386242044429</v>
      </c>
    </row>
    <row r="130" spans="1:25" x14ac:dyDescent="0.2">
      <c r="A130">
        <v>3796</v>
      </c>
      <c r="B130" t="s">
        <v>261</v>
      </c>
      <c r="C130" t="s">
        <v>18</v>
      </c>
      <c r="D130" t="s">
        <v>266</v>
      </c>
      <c r="E130" t="s">
        <v>267</v>
      </c>
      <c r="F130" t="s">
        <v>205</v>
      </c>
      <c r="G130" t="s">
        <v>265</v>
      </c>
      <c r="H130" t="b">
        <v>0</v>
      </c>
      <c r="I130" t="b">
        <v>0</v>
      </c>
      <c r="L130" t="b">
        <v>0</v>
      </c>
      <c r="M130" t="str">
        <f>HYPERLINK("https://arizona.app.box.com/file/386232100073")</f>
        <v>https://arizona.app.box.com/file/386232100073</v>
      </c>
      <c r="N130" t="str">
        <f>HYPERLINK("https://arizona.app.box.com/file/386239780568")</f>
        <v>https://arizona.app.box.com/file/386239780568</v>
      </c>
    </row>
    <row r="131" spans="1:25" x14ac:dyDescent="0.2">
      <c r="A131">
        <v>3797</v>
      </c>
      <c r="B131" t="s">
        <v>261</v>
      </c>
      <c r="C131" t="s">
        <v>18</v>
      </c>
      <c r="D131" t="s">
        <v>268</v>
      </c>
      <c r="E131" t="s">
        <v>269</v>
      </c>
      <c r="F131" t="s">
        <v>270</v>
      </c>
      <c r="G131" t="s">
        <v>265</v>
      </c>
      <c r="H131" t="b">
        <v>0</v>
      </c>
      <c r="I131" t="b">
        <v>0</v>
      </c>
      <c r="L131" t="b">
        <v>0</v>
      </c>
      <c r="M131" t="str">
        <f>HYPERLINK("https://arizona.app.box.com/file/389175755125")</f>
        <v>https://arizona.app.box.com/file/389175755125</v>
      </c>
      <c r="N131" t="str">
        <f>HYPERLINK("https://arizona.app.box.com/file/386216354432")</f>
        <v>https://arizona.app.box.com/file/386216354432</v>
      </c>
    </row>
    <row r="132" spans="1:25" x14ac:dyDescent="0.2">
      <c r="A132">
        <v>3798</v>
      </c>
      <c r="B132" t="s">
        <v>261</v>
      </c>
      <c r="C132" t="s">
        <v>18</v>
      </c>
      <c r="D132" t="s">
        <v>271</v>
      </c>
      <c r="E132" t="s">
        <v>272</v>
      </c>
      <c r="F132" t="s">
        <v>78</v>
      </c>
      <c r="G132" t="s">
        <v>134</v>
      </c>
      <c r="H132" t="b">
        <v>0</v>
      </c>
      <c r="I132" t="b">
        <v>0</v>
      </c>
      <c r="L132" t="b">
        <v>0</v>
      </c>
    </row>
    <row r="133" spans="1:25" x14ac:dyDescent="0.2">
      <c r="A133">
        <v>3799</v>
      </c>
      <c r="B133" t="s">
        <v>261</v>
      </c>
      <c r="C133" t="s">
        <v>18</v>
      </c>
      <c r="D133" t="s">
        <v>273</v>
      </c>
      <c r="E133" t="s">
        <v>274</v>
      </c>
      <c r="F133" t="s">
        <v>275</v>
      </c>
      <c r="G133" t="s">
        <v>265</v>
      </c>
      <c r="H133" t="b">
        <v>0</v>
      </c>
      <c r="I133" t="b">
        <v>0</v>
      </c>
      <c r="L133" t="b">
        <v>0</v>
      </c>
    </row>
    <row r="135" spans="1:25" x14ac:dyDescent="0.2">
      <c r="A135" s="2">
        <v>4200</v>
      </c>
      <c r="B135" s="2" t="s">
        <v>276</v>
      </c>
      <c r="C135" s="2" t="s">
        <v>13</v>
      </c>
      <c r="D135" s="2" t="s">
        <v>277</v>
      </c>
      <c r="E135" s="2" t="s">
        <v>278</v>
      </c>
      <c r="F135" s="2" t="s">
        <v>78</v>
      </c>
      <c r="G135" s="2" t="s">
        <v>279</v>
      </c>
      <c r="H135" s="2"/>
      <c r="I135" s="2"/>
      <c r="J135" s="2"/>
      <c r="K135" s="2"/>
      <c r="L135" s="2"/>
      <c r="M135" s="2"/>
      <c r="N135" s="2"/>
      <c r="O135" s="2"/>
      <c r="P135" s="2"/>
      <c r="Q135" s="2"/>
      <c r="R135" s="2"/>
      <c r="S135" s="2"/>
      <c r="T135" s="2"/>
      <c r="U135" s="2"/>
      <c r="V135" s="2"/>
      <c r="W135" s="2"/>
      <c r="X135" s="2"/>
      <c r="Y135" s="2"/>
    </row>
    <row r="136" spans="1:25" x14ac:dyDescent="0.2">
      <c r="A136">
        <v>4201</v>
      </c>
      <c r="B136" t="s">
        <v>276</v>
      </c>
      <c r="C136" t="s">
        <v>18</v>
      </c>
      <c r="D136" t="s">
        <v>277</v>
      </c>
      <c r="E136" t="s">
        <v>278</v>
      </c>
      <c r="F136" t="s">
        <v>78</v>
      </c>
      <c r="G136" t="s">
        <v>280</v>
      </c>
      <c r="H136" t="b">
        <v>1</v>
      </c>
      <c r="I136" t="b">
        <v>1</v>
      </c>
      <c r="L136" t="b">
        <v>1</v>
      </c>
      <c r="M136" t="str">
        <f>HYPERLINK("https://arizona.app.box.com/file/389138902828")</f>
        <v>https://arizona.app.box.com/file/389138902828</v>
      </c>
      <c r="N136" t="str">
        <f>HYPERLINK("https://arizona.app.box.com/file/389162879456")</f>
        <v>https://arizona.app.box.com/file/389162879456</v>
      </c>
    </row>
    <row r="137" spans="1:25" x14ac:dyDescent="0.2">
      <c r="A137">
        <v>4202</v>
      </c>
      <c r="B137" t="s">
        <v>276</v>
      </c>
      <c r="C137" t="s">
        <v>18</v>
      </c>
      <c r="D137" t="s">
        <v>281</v>
      </c>
      <c r="E137" t="s">
        <v>282</v>
      </c>
      <c r="F137" t="s">
        <v>78</v>
      </c>
      <c r="G137" t="s">
        <v>280</v>
      </c>
      <c r="H137" t="b">
        <v>1</v>
      </c>
      <c r="I137" t="b">
        <v>0</v>
      </c>
      <c r="L137" t="b">
        <v>0</v>
      </c>
      <c r="M137" t="str">
        <f>HYPERLINK("https://arizona.app.box.com/file/389168840849")</f>
        <v>https://arizona.app.box.com/file/389168840849</v>
      </c>
    </row>
    <row r="138" spans="1:25" x14ac:dyDescent="0.2">
      <c r="A138">
        <v>4203</v>
      </c>
      <c r="B138" t="s">
        <v>276</v>
      </c>
      <c r="C138" t="s">
        <v>18</v>
      </c>
      <c r="D138" t="s">
        <v>283</v>
      </c>
      <c r="E138" t="s">
        <v>284</v>
      </c>
      <c r="F138" t="s">
        <v>78</v>
      </c>
      <c r="G138" t="s">
        <v>280</v>
      </c>
      <c r="H138" t="b">
        <v>1</v>
      </c>
      <c r="I138" t="b">
        <v>0</v>
      </c>
      <c r="L138" t="b">
        <v>0</v>
      </c>
      <c r="M138" t="str">
        <f>HYPERLINK("https://arizona.app.box.com/file/389171860498")</f>
        <v>https://arizona.app.box.com/file/389171860498</v>
      </c>
    </row>
    <row r="139" spans="1:25" x14ac:dyDescent="0.2">
      <c r="A139">
        <v>4204</v>
      </c>
      <c r="B139" t="s">
        <v>276</v>
      </c>
      <c r="C139" t="s">
        <v>18</v>
      </c>
      <c r="D139" t="s">
        <v>285</v>
      </c>
      <c r="E139" t="s">
        <v>286</v>
      </c>
      <c r="F139" t="s">
        <v>78</v>
      </c>
      <c r="G139" t="s">
        <v>280</v>
      </c>
      <c r="H139" t="b">
        <v>0</v>
      </c>
      <c r="I139" t="b">
        <v>0</v>
      </c>
      <c r="L139" t="b">
        <v>0</v>
      </c>
      <c r="M139" t="str">
        <f>HYPERLINK("https://arizona.app.box.com/file/389171455219")</f>
        <v>https://arizona.app.box.com/file/389171455219</v>
      </c>
      <c r="N139" t="str">
        <f>HYPERLINK("https://arizona.app.box.com/file/389171733298")</f>
        <v>https://arizona.app.box.com/file/389171733298</v>
      </c>
    </row>
    <row r="140" spans="1:25" x14ac:dyDescent="0.2">
      <c r="A140">
        <v>4205</v>
      </c>
      <c r="B140" t="s">
        <v>276</v>
      </c>
      <c r="C140" t="s">
        <v>18</v>
      </c>
      <c r="D140" t="s">
        <v>287</v>
      </c>
      <c r="E140" t="s">
        <v>288</v>
      </c>
      <c r="F140" t="s">
        <v>78</v>
      </c>
      <c r="G140" t="s">
        <v>279</v>
      </c>
      <c r="H140" t="b">
        <v>0</v>
      </c>
      <c r="I140" t="b">
        <v>0</v>
      </c>
      <c r="L140" t="b">
        <v>0</v>
      </c>
    </row>
    <row r="142" spans="1:25" x14ac:dyDescent="0.2">
      <c r="A142" s="2">
        <v>4270</v>
      </c>
      <c r="B142" s="2" t="s">
        <v>289</v>
      </c>
      <c r="C142" s="2" t="s">
        <v>13</v>
      </c>
      <c r="D142" s="2" t="s">
        <v>290</v>
      </c>
      <c r="E142" s="2" t="s">
        <v>291</v>
      </c>
      <c r="F142" s="2" t="s">
        <v>23</v>
      </c>
      <c r="G142" s="2" t="s">
        <v>292</v>
      </c>
      <c r="H142" s="2"/>
      <c r="I142" s="2"/>
      <c r="J142" s="2"/>
      <c r="K142" s="2"/>
      <c r="L142" s="2"/>
      <c r="M142" s="2"/>
      <c r="N142" s="2"/>
      <c r="O142" s="2"/>
      <c r="P142" s="2"/>
      <c r="Q142" s="2"/>
      <c r="R142" s="2"/>
      <c r="S142" s="2"/>
      <c r="T142" s="2"/>
      <c r="U142" s="2"/>
      <c r="V142" s="2"/>
      <c r="W142" s="2"/>
      <c r="X142" s="2"/>
      <c r="Y142" s="2"/>
    </row>
    <row r="143" spans="1:25" x14ac:dyDescent="0.2">
      <c r="A143">
        <v>4271</v>
      </c>
      <c r="B143" t="s">
        <v>289</v>
      </c>
      <c r="C143" t="s">
        <v>18</v>
      </c>
      <c r="D143" t="s">
        <v>290</v>
      </c>
      <c r="E143" t="s">
        <v>293</v>
      </c>
      <c r="F143" t="s">
        <v>23</v>
      </c>
      <c r="G143" t="s">
        <v>292</v>
      </c>
      <c r="H143" t="b">
        <v>1</v>
      </c>
      <c r="I143" t="b">
        <v>1</v>
      </c>
      <c r="L143" t="b">
        <v>1</v>
      </c>
      <c r="M143" t="str">
        <f>HYPERLINK("https://arizona.app.box.com/file/389176425906")</f>
        <v>https://arizona.app.box.com/file/389176425906</v>
      </c>
      <c r="N143" t="str">
        <f>HYPERLINK("https://arizona.app.box.com/file/386237935267")</f>
        <v>https://arizona.app.box.com/file/386237935267</v>
      </c>
    </row>
    <row r="144" spans="1:25" x14ac:dyDescent="0.2">
      <c r="A144">
        <v>4272</v>
      </c>
      <c r="B144" t="s">
        <v>289</v>
      </c>
      <c r="C144" t="s">
        <v>18</v>
      </c>
      <c r="D144" t="s">
        <v>294</v>
      </c>
      <c r="E144" t="s">
        <v>295</v>
      </c>
      <c r="F144" t="s">
        <v>23</v>
      </c>
      <c r="G144" t="s">
        <v>292</v>
      </c>
      <c r="H144" t="b">
        <v>1</v>
      </c>
      <c r="I144" t="b">
        <v>1</v>
      </c>
      <c r="L144" t="b">
        <v>1</v>
      </c>
      <c r="M144" t="str">
        <f>HYPERLINK("https://arizona.app.box.com/file/389164881424")</f>
        <v>https://arizona.app.box.com/file/389164881424</v>
      </c>
      <c r="N144" t="str">
        <f>HYPERLINK("https://arizona.app.box.com/file/386241282660")</f>
        <v>https://arizona.app.box.com/file/386241282660</v>
      </c>
    </row>
    <row r="145" spans="1:25" x14ac:dyDescent="0.2">
      <c r="A145">
        <v>4273</v>
      </c>
      <c r="B145" t="s">
        <v>289</v>
      </c>
      <c r="C145" t="s">
        <v>18</v>
      </c>
      <c r="D145" t="s">
        <v>296</v>
      </c>
      <c r="E145" t="s">
        <v>297</v>
      </c>
      <c r="F145" t="s">
        <v>174</v>
      </c>
      <c r="G145" t="s">
        <v>292</v>
      </c>
      <c r="H145" t="b">
        <v>0</v>
      </c>
      <c r="I145" t="b">
        <v>0</v>
      </c>
      <c r="L145" t="b">
        <v>0</v>
      </c>
      <c r="M145" t="str">
        <f>HYPERLINK("https://arizona.app.box.com/file/389267543898")</f>
        <v>https://arizona.app.box.com/file/389267543898</v>
      </c>
      <c r="N145" t="str">
        <f>HYPERLINK("https://arizona.app.box.com/file/389153171018")</f>
        <v>https://arizona.app.box.com/file/389153171018</v>
      </c>
    </row>
    <row r="146" spans="1:25" x14ac:dyDescent="0.2">
      <c r="A146">
        <v>4274</v>
      </c>
      <c r="B146" t="s">
        <v>289</v>
      </c>
      <c r="C146" t="s">
        <v>18</v>
      </c>
      <c r="D146" t="s">
        <v>298</v>
      </c>
      <c r="E146" t="s">
        <v>299</v>
      </c>
      <c r="F146" t="s">
        <v>168</v>
      </c>
      <c r="G146" t="s">
        <v>292</v>
      </c>
      <c r="H146" t="b">
        <v>0</v>
      </c>
      <c r="I146" t="b">
        <v>0</v>
      </c>
      <c r="L146" t="b">
        <v>0</v>
      </c>
      <c r="M146" t="str">
        <f>HYPERLINK("https://arizona.app.box.com/file/389164632065")</f>
        <v>https://arizona.app.box.com/file/389164632065</v>
      </c>
      <c r="N146" t="str">
        <f>HYPERLINK("https://arizona.app.box.com/file/386212019707")</f>
        <v>https://arizona.app.box.com/file/386212019707</v>
      </c>
    </row>
    <row r="147" spans="1:25" x14ac:dyDescent="0.2">
      <c r="A147">
        <v>4275</v>
      </c>
      <c r="B147" t="s">
        <v>289</v>
      </c>
      <c r="C147" t="s">
        <v>18</v>
      </c>
      <c r="D147" t="s">
        <v>300</v>
      </c>
      <c r="E147" t="s">
        <v>301</v>
      </c>
      <c r="F147" t="s">
        <v>23</v>
      </c>
      <c r="G147" t="s">
        <v>32</v>
      </c>
      <c r="H147" t="b">
        <v>0</v>
      </c>
      <c r="I147" t="b">
        <v>0</v>
      </c>
      <c r="L147" t="b">
        <v>0</v>
      </c>
      <c r="M147" t="str">
        <f>HYPERLINK("https://arizona.app.box.com/file/386239413623")</f>
        <v>https://arizona.app.box.com/file/386239413623</v>
      </c>
    </row>
    <row r="149" spans="1:25" x14ac:dyDescent="0.2">
      <c r="A149" s="2">
        <v>4326</v>
      </c>
      <c r="B149" s="2" t="s">
        <v>302</v>
      </c>
      <c r="C149" s="2" t="s">
        <v>13</v>
      </c>
      <c r="D149" s="2" t="s">
        <v>303</v>
      </c>
      <c r="E149" s="2" t="s">
        <v>304</v>
      </c>
      <c r="F149" s="2" t="s">
        <v>151</v>
      </c>
      <c r="G149" s="2" t="s">
        <v>17</v>
      </c>
      <c r="H149" s="2"/>
      <c r="I149" s="2"/>
      <c r="J149" s="2"/>
      <c r="K149" s="2"/>
      <c r="L149" s="2"/>
      <c r="M149" s="2"/>
      <c r="N149" s="2"/>
      <c r="O149" s="2"/>
      <c r="P149" s="2"/>
      <c r="Q149" s="2"/>
      <c r="R149" s="2"/>
      <c r="S149" s="2"/>
      <c r="T149" s="2"/>
      <c r="U149" s="2"/>
      <c r="V149" s="2"/>
      <c r="W149" s="2"/>
      <c r="X149" s="2"/>
      <c r="Y149" s="2"/>
    </row>
    <row r="150" spans="1:25" x14ac:dyDescent="0.2">
      <c r="A150">
        <v>4327</v>
      </c>
      <c r="B150" t="s">
        <v>302</v>
      </c>
      <c r="C150" t="s">
        <v>18</v>
      </c>
      <c r="D150" t="s">
        <v>303</v>
      </c>
      <c r="E150" t="s">
        <v>304</v>
      </c>
      <c r="F150" t="s">
        <v>151</v>
      </c>
      <c r="G150" t="s">
        <v>17</v>
      </c>
      <c r="H150" t="b">
        <v>1</v>
      </c>
      <c r="I150" t="b">
        <v>1</v>
      </c>
      <c r="L150" t="b">
        <v>1</v>
      </c>
      <c r="M150" t="str">
        <f>HYPERLINK("https://arizona.app.box.com/file/389169504288")</f>
        <v>https://arizona.app.box.com/file/389169504288</v>
      </c>
      <c r="N150" t="str">
        <f>HYPERLINK("https://arizona.app.box.com/file/389151812005")</f>
        <v>https://arizona.app.box.com/file/389151812005</v>
      </c>
    </row>
    <row r="151" spans="1:25" x14ac:dyDescent="0.2">
      <c r="A151">
        <v>4328</v>
      </c>
      <c r="B151" t="s">
        <v>302</v>
      </c>
      <c r="C151" t="s">
        <v>18</v>
      </c>
      <c r="D151" t="s">
        <v>305</v>
      </c>
      <c r="E151" t="s">
        <v>306</v>
      </c>
      <c r="F151" t="s">
        <v>151</v>
      </c>
      <c r="G151" t="s">
        <v>17</v>
      </c>
      <c r="H151" t="b">
        <v>0</v>
      </c>
      <c r="I151" t="b">
        <v>0</v>
      </c>
      <c r="L151" t="b">
        <v>0</v>
      </c>
      <c r="M151" t="str">
        <f>HYPERLINK("https://arizona.app.box.com/file/386260227217")</f>
        <v>https://arizona.app.box.com/file/386260227217</v>
      </c>
      <c r="N151" t="str">
        <f>HYPERLINK("https://arizona.app.box.com/file/386241113911")</f>
        <v>https://arizona.app.box.com/file/386241113911</v>
      </c>
    </row>
    <row r="152" spans="1:25" x14ac:dyDescent="0.2">
      <c r="A152">
        <v>4329</v>
      </c>
      <c r="B152" t="s">
        <v>302</v>
      </c>
      <c r="C152" t="s">
        <v>18</v>
      </c>
      <c r="D152" t="s">
        <v>307</v>
      </c>
      <c r="E152" t="s">
        <v>308</v>
      </c>
      <c r="F152" t="s">
        <v>151</v>
      </c>
      <c r="G152" t="s">
        <v>17</v>
      </c>
      <c r="H152" t="b">
        <v>0</v>
      </c>
      <c r="I152" t="b">
        <v>0</v>
      </c>
      <c r="L152" t="b">
        <v>0</v>
      </c>
      <c r="M152" t="str">
        <f>HYPERLINK("https://arizona.app.box.com/file/389151851695")</f>
        <v>https://arizona.app.box.com/file/389151851695</v>
      </c>
    </row>
    <row r="153" spans="1:25" x14ac:dyDescent="0.2">
      <c r="A153">
        <v>4330</v>
      </c>
      <c r="B153" t="s">
        <v>302</v>
      </c>
      <c r="C153" t="s">
        <v>18</v>
      </c>
      <c r="D153" t="s">
        <v>309</v>
      </c>
      <c r="E153" t="s">
        <v>310</v>
      </c>
      <c r="F153" t="s">
        <v>151</v>
      </c>
      <c r="G153" t="s">
        <v>17</v>
      </c>
      <c r="H153" t="b">
        <v>0</v>
      </c>
      <c r="I153" t="b">
        <v>0</v>
      </c>
      <c r="L153" t="b">
        <v>0</v>
      </c>
      <c r="M153" t="str">
        <f>HYPERLINK("https://arizona.app.box.com/file/389137341462")</f>
        <v>https://arizona.app.box.com/file/389137341462</v>
      </c>
      <c r="N153" t="str">
        <f>HYPERLINK("https://arizona.app.box.com/file/389137774140")</f>
        <v>https://arizona.app.box.com/file/389137774140</v>
      </c>
    </row>
    <row r="154" spans="1:25" x14ac:dyDescent="0.2">
      <c r="A154">
        <v>4331</v>
      </c>
      <c r="B154" t="s">
        <v>302</v>
      </c>
      <c r="C154" t="s">
        <v>18</v>
      </c>
      <c r="D154" t="s">
        <v>311</v>
      </c>
      <c r="E154" t="s">
        <v>312</v>
      </c>
      <c r="F154" t="s">
        <v>151</v>
      </c>
      <c r="G154" t="s">
        <v>17</v>
      </c>
      <c r="H154" t="b">
        <v>0</v>
      </c>
      <c r="I154" t="b">
        <v>0</v>
      </c>
      <c r="L154" t="b">
        <v>0</v>
      </c>
    </row>
    <row r="156" spans="1:25" x14ac:dyDescent="0.2">
      <c r="A156" s="2">
        <v>4438</v>
      </c>
      <c r="B156" s="2" t="s">
        <v>313</v>
      </c>
      <c r="C156" s="2" t="s">
        <v>13</v>
      </c>
      <c r="D156" s="2" t="s">
        <v>314</v>
      </c>
      <c r="E156" s="2" t="s">
        <v>315</v>
      </c>
      <c r="F156" s="2" t="s">
        <v>316</v>
      </c>
      <c r="G156" s="2" t="s">
        <v>252</v>
      </c>
      <c r="H156" s="2"/>
      <c r="I156" s="2"/>
      <c r="J156" s="2"/>
      <c r="K156" s="2"/>
      <c r="L156" s="2"/>
      <c r="M156" s="2"/>
      <c r="N156" s="2"/>
      <c r="O156" s="2"/>
      <c r="P156" s="2"/>
      <c r="Q156" s="2"/>
      <c r="R156" s="2"/>
      <c r="S156" s="2"/>
      <c r="T156" s="2"/>
      <c r="U156" s="2"/>
      <c r="V156" s="2"/>
      <c r="W156" s="2"/>
      <c r="X156" s="2"/>
      <c r="Y156" s="2"/>
    </row>
    <row r="157" spans="1:25" x14ac:dyDescent="0.2">
      <c r="A157">
        <v>4439</v>
      </c>
      <c r="B157" t="s">
        <v>313</v>
      </c>
      <c r="C157" t="s">
        <v>18</v>
      </c>
      <c r="D157" t="s">
        <v>314</v>
      </c>
      <c r="E157" t="s">
        <v>315</v>
      </c>
      <c r="F157" t="s">
        <v>316</v>
      </c>
      <c r="G157" t="s">
        <v>317</v>
      </c>
      <c r="H157" t="b">
        <v>1</v>
      </c>
      <c r="I157" t="b">
        <v>1</v>
      </c>
      <c r="L157" t="b">
        <v>1</v>
      </c>
      <c r="M157" t="str">
        <f>HYPERLINK("https://arizona.app.box.com/file/386239277266")</f>
        <v>https://arizona.app.box.com/file/386239277266</v>
      </c>
      <c r="N157" t="str">
        <f>HYPERLINK("https://arizona.app.box.com/file/386217473228")</f>
        <v>https://arizona.app.box.com/file/386217473228</v>
      </c>
    </row>
    <row r="158" spans="1:25" x14ac:dyDescent="0.2">
      <c r="A158">
        <v>4440</v>
      </c>
      <c r="B158" t="s">
        <v>313</v>
      </c>
      <c r="C158" t="s">
        <v>18</v>
      </c>
      <c r="D158" t="s">
        <v>318</v>
      </c>
      <c r="E158" t="s">
        <v>319</v>
      </c>
      <c r="F158" t="s">
        <v>316</v>
      </c>
      <c r="G158" t="s">
        <v>252</v>
      </c>
      <c r="H158" t="b">
        <v>0</v>
      </c>
      <c r="I158" t="b">
        <v>0</v>
      </c>
      <c r="L158" t="b">
        <v>0</v>
      </c>
    </row>
    <row r="159" spans="1:25" x14ac:dyDescent="0.2">
      <c r="A159">
        <v>4441</v>
      </c>
      <c r="B159" t="s">
        <v>313</v>
      </c>
      <c r="C159" t="s">
        <v>18</v>
      </c>
      <c r="D159" t="s">
        <v>250</v>
      </c>
      <c r="E159" t="s">
        <v>251</v>
      </c>
      <c r="F159" t="s">
        <v>87</v>
      </c>
      <c r="G159" t="s">
        <v>252</v>
      </c>
      <c r="H159" t="b">
        <v>0</v>
      </c>
      <c r="I159" t="b">
        <v>0</v>
      </c>
      <c r="L159" t="b">
        <v>0</v>
      </c>
      <c r="M159" t="str">
        <f>HYPERLINK("https://arizona.app.box.com/file/386230539497")</f>
        <v>https://arizona.app.box.com/file/386230539497</v>
      </c>
      <c r="N159" t="str">
        <f>HYPERLINK("https://arizona.app.box.com/file/386236013085")</f>
        <v>https://arizona.app.box.com/file/386236013085</v>
      </c>
    </row>
    <row r="160" spans="1:25" x14ac:dyDescent="0.2">
      <c r="A160">
        <v>4442</v>
      </c>
      <c r="B160" t="s">
        <v>313</v>
      </c>
      <c r="C160" t="s">
        <v>18</v>
      </c>
      <c r="D160" t="s">
        <v>320</v>
      </c>
      <c r="E160" t="s">
        <v>321</v>
      </c>
      <c r="F160" t="s">
        <v>316</v>
      </c>
      <c r="G160" t="s">
        <v>252</v>
      </c>
      <c r="H160" t="b">
        <v>0</v>
      </c>
      <c r="I160" t="b">
        <v>0</v>
      </c>
      <c r="L160" t="b">
        <v>0</v>
      </c>
      <c r="M160" t="str">
        <f>HYPERLINK("https://arizona.app.box.com/file/389262004413")</f>
        <v>https://arizona.app.box.com/file/389262004413</v>
      </c>
      <c r="N160" t="str">
        <f>HYPERLINK("https://arizona.app.box.com/file/389160834971")</f>
        <v>https://arizona.app.box.com/file/389160834971</v>
      </c>
    </row>
    <row r="161" spans="1:25" x14ac:dyDescent="0.2">
      <c r="A161">
        <v>4443</v>
      </c>
      <c r="B161" t="s">
        <v>313</v>
      </c>
      <c r="C161" t="s">
        <v>18</v>
      </c>
      <c r="D161" t="s">
        <v>322</v>
      </c>
      <c r="E161" t="s">
        <v>323</v>
      </c>
      <c r="F161" t="s">
        <v>87</v>
      </c>
      <c r="G161" t="s">
        <v>252</v>
      </c>
      <c r="H161" t="b">
        <v>0</v>
      </c>
      <c r="I161" t="b">
        <v>0</v>
      </c>
      <c r="L161" t="b">
        <v>0</v>
      </c>
      <c r="M161" t="str">
        <f>HYPERLINK("https://arizona.app.box.com/file/389263679984")</f>
        <v>https://arizona.app.box.com/file/389263679984</v>
      </c>
      <c r="N161" t="str">
        <f>HYPERLINK("https://arizona.app.box.com/file/389164405868")</f>
        <v>https://arizona.app.box.com/file/389164405868</v>
      </c>
    </row>
    <row r="163" spans="1:25" x14ac:dyDescent="0.2">
      <c r="A163" s="2">
        <v>4522</v>
      </c>
      <c r="B163" s="2" t="s">
        <v>324</v>
      </c>
      <c r="C163" s="2" t="s">
        <v>13</v>
      </c>
      <c r="D163" s="2" t="s">
        <v>325</v>
      </c>
      <c r="E163" s="2" t="s">
        <v>326</v>
      </c>
      <c r="F163" s="2" t="s">
        <v>200</v>
      </c>
      <c r="G163" s="2" t="s">
        <v>88</v>
      </c>
      <c r="H163" s="2"/>
      <c r="I163" s="2"/>
      <c r="J163" s="2"/>
      <c r="K163" s="2"/>
      <c r="L163" s="2"/>
      <c r="M163" s="2"/>
      <c r="N163" s="2"/>
      <c r="O163" s="2"/>
      <c r="P163" s="2"/>
      <c r="Q163" s="2"/>
      <c r="R163" s="2"/>
      <c r="S163" s="2"/>
      <c r="T163" s="2"/>
      <c r="U163" s="2"/>
      <c r="V163" s="2"/>
      <c r="W163" s="2"/>
      <c r="X163" s="2"/>
      <c r="Y163" s="2"/>
    </row>
    <row r="164" spans="1:25" x14ac:dyDescent="0.2">
      <c r="A164">
        <v>4523</v>
      </c>
      <c r="B164" t="s">
        <v>324</v>
      </c>
      <c r="C164" t="s">
        <v>18</v>
      </c>
      <c r="D164" t="s">
        <v>325</v>
      </c>
      <c r="E164" t="s">
        <v>327</v>
      </c>
      <c r="F164" t="s">
        <v>200</v>
      </c>
      <c r="G164" t="s">
        <v>88</v>
      </c>
      <c r="H164" t="b">
        <v>1</v>
      </c>
      <c r="I164" t="b">
        <v>1</v>
      </c>
      <c r="L164" t="b">
        <v>1</v>
      </c>
      <c r="M164" t="str">
        <f>HYPERLINK("https://arizona.app.box.com/file/389262667474")</f>
        <v>https://arizona.app.box.com/file/389262667474</v>
      </c>
      <c r="N164" t="str">
        <f>HYPERLINK("https://arizona.app.box.com/file/386270979169")</f>
        <v>https://arizona.app.box.com/file/386270979169</v>
      </c>
    </row>
    <row r="165" spans="1:25" x14ac:dyDescent="0.2">
      <c r="A165">
        <v>4524</v>
      </c>
      <c r="B165" t="s">
        <v>324</v>
      </c>
      <c r="C165" t="s">
        <v>18</v>
      </c>
      <c r="D165" t="s">
        <v>328</v>
      </c>
      <c r="E165" t="s">
        <v>329</v>
      </c>
      <c r="F165" t="s">
        <v>200</v>
      </c>
      <c r="G165" t="s">
        <v>88</v>
      </c>
      <c r="H165" t="b">
        <v>1</v>
      </c>
      <c r="I165" t="b">
        <v>1</v>
      </c>
      <c r="L165" t="b">
        <v>1</v>
      </c>
      <c r="M165" t="str">
        <f>HYPERLINK("https://arizona.app.box.com/file/389262530195")</f>
        <v>https://arizona.app.box.com/file/389262530195</v>
      </c>
      <c r="N165" t="str">
        <f>HYPERLINK("https://arizona.app.box.com/file/389162302333")</f>
        <v>https://arizona.app.box.com/file/389162302333</v>
      </c>
    </row>
    <row r="166" spans="1:25" x14ac:dyDescent="0.2">
      <c r="A166">
        <v>4525</v>
      </c>
      <c r="B166" t="s">
        <v>324</v>
      </c>
      <c r="C166" t="s">
        <v>18</v>
      </c>
      <c r="D166" t="s">
        <v>330</v>
      </c>
      <c r="E166" t="s">
        <v>331</v>
      </c>
      <c r="F166" t="s">
        <v>200</v>
      </c>
      <c r="G166" t="s">
        <v>88</v>
      </c>
      <c r="H166" t="b">
        <v>0</v>
      </c>
      <c r="I166" t="b">
        <v>0</v>
      </c>
      <c r="L166" t="b">
        <v>0</v>
      </c>
      <c r="M166" t="str">
        <f>HYPERLINK("https://arizona.app.box.com/file/389262415725")</f>
        <v>https://arizona.app.box.com/file/389262415725</v>
      </c>
      <c r="N166" t="str">
        <f>HYPERLINK("https://arizona.app.box.com/file/389153271870")</f>
        <v>https://arizona.app.box.com/file/389153271870</v>
      </c>
    </row>
    <row r="167" spans="1:25" x14ac:dyDescent="0.2">
      <c r="A167">
        <v>4526</v>
      </c>
      <c r="B167" t="s">
        <v>324</v>
      </c>
      <c r="C167" t="s">
        <v>18</v>
      </c>
      <c r="D167" t="s">
        <v>332</v>
      </c>
      <c r="E167" t="s">
        <v>333</v>
      </c>
      <c r="F167" t="s">
        <v>200</v>
      </c>
      <c r="G167" t="s">
        <v>88</v>
      </c>
      <c r="H167" t="b">
        <v>0</v>
      </c>
      <c r="I167" t="b">
        <v>0</v>
      </c>
      <c r="L167" t="b">
        <v>0</v>
      </c>
    </row>
    <row r="168" spans="1:25" x14ac:dyDescent="0.2">
      <c r="A168">
        <v>4527</v>
      </c>
      <c r="B168" t="s">
        <v>324</v>
      </c>
      <c r="C168" t="s">
        <v>18</v>
      </c>
      <c r="D168" t="s">
        <v>334</v>
      </c>
      <c r="E168" t="s">
        <v>335</v>
      </c>
      <c r="F168" t="s">
        <v>82</v>
      </c>
      <c r="G168" t="s">
        <v>88</v>
      </c>
      <c r="H168" t="b">
        <v>0</v>
      </c>
      <c r="I168" t="b">
        <v>0</v>
      </c>
      <c r="L168" t="b">
        <v>0</v>
      </c>
    </row>
    <row r="170" spans="1:25" x14ac:dyDescent="0.2">
      <c r="A170" s="2">
        <v>4529</v>
      </c>
      <c r="B170" s="2" t="s">
        <v>336</v>
      </c>
      <c r="C170" s="2" t="s">
        <v>13</v>
      </c>
      <c r="D170" s="2" t="s">
        <v>337</v>
      </c>
      <c r="E170" s="2" t="s">
        <v>338</v>
      </c>
      <c r="F170" s="2" t="s">
        <v>151</v>
      </c>
      <c r="G170" s="2" t="s">
        <v>24</v>
      </c>
      <c r="H170" s="2"/>
      <c r="I170" s="2"/>
      <c r="J170" s="2"/>
      <c r="K170" s="2"/>
      <c r="L170" s="2"/>
      <c r="M170" s="2"/>
      <c r="N170" s="2"/>
      <c r="O170" s="2"/>
      <c r="P170" s="2"/>
      <c r="Q170" s="2"/>
      <c r="R170" s="2"/>
      <c r="S170" s="2"/>
      <c r="T170" s="2"/>
      <c r="U170" s="2"/>
      <c r="V170" s="2"/>
      <c r="W170" s="2"/>
      <c r="X170" s="2"/>
      <c r="Y170" s="2"/>
    </row>
    <row r="171" spans="1:25" x14ac:dyDescent="0.2">
      <c r="A171">
        <v>4530</v>
      </c>
      <c r="B171" t="s">
        <v>336</v>
      </c>
      <c r="C171" t="s">
        <v>18</v>
      </c>
      <c r="D171" t="s">
        <v>337</v>
      </c>
      <c r="E171" t="s">
        <v>339</v>
      </c>
      <c r="F171" t="s">
        <v>151</v>
      </c>
      <c r="G171" t="s">
        <v>24</v>
      </c>
      <c r="H171" t="b">
        <v>1</v>
      </c>
      <c r="I171" t="b">
        <v>1</v>
      </c>
      <c r="L171" t="b">
        <v>1</v>
      </c>
      <c r="M171" t="str">
        <f>HYPERLINK("https://arizona.app.box.com/file/389170758636")</f>
        <v>https://arizona.app.box.com/file/389170758636</v>
      </c>
      <c r="N171" t="str">
        <f>HYPERLINK("https://arizona.app.box.com/file/386216569038")</f>
        <v>https://arizona.app.box.com/file/386216569038</v>
      </c>
    </row>
    <row r="172" spans="1:25" x14ac:dyDescent="0.2">
      <c r="A172">
        <v>4531</v>
      </c>
      <c r="B172" t="s">
        <v>336</v>
      </c>
      <c r="C172" t="s">
        <v>18</v>
      </c>
      <c r="D172" t="s">
        <v>340</v>
      </c>
      <c r="E172" t="s">
        <v>284</v>
      </c>
      <c r="F172" t="s">
        <v>151</v>
      </c>
      <c r="G172" t="s">
        <v>24</v>
      </c>
      <c r="H172" t="b">
        <v>1</v>
      </c>
      <c r="I172" t="b">
        <v>1</v>
      </c>
      <c r="L172" t="b">
        <v>1</v>
      </c>
      <c r="M172" t="str">
        <f>HYPERLINK("https://arizona.app.box.com/file/386243295545")</f>
        <v>https://arizona.app.box.com/file/386243295545</v>
      </c>
    </row>
    <row r="173" spans="1:25" x14ac:dyDescent="0.2">
      <c r="A173">
        <v>4532</v>
      </c>
      <c r="B173" t="s">
        <v>336</v>
      </c>
      <c r="C173" t="s">
        <v>18</v>
      </c>
      <c r="D173" t="s">
        <v>341</v>
      </c>
      <c r="E173" t="s">
        <v>342</v>
      </c>
      <c r="F173" t="s">
        <v>151</v>
      </c>
      <c r="G173" t="s">
        <v>24</v>
      </c>
      <c r="H173" t="b">
        <v>0</v>
      </c>
      <c r="I173" t="b">
        <v>0</v>
      </c>
      <c r="L173" t="b">
        <v>0</v>
      </c>
    </row>
    <row r="174" spans="1:25" x14ac:dyDescent="0.2">
      <c r="A174">
        <v>4533</v>
      </c>
      <c r="B174" t="s">
        <v>336</v>
      </c>
      <c r="C174" t="s">
        <v>18</v>
      </c>
      <c r="D174" t="s">
        <v>343</v>
      </c>
      <c r="E174" t="s">
        <v>344</v>
      </c>
      <c r="F174" t="s">
        <v>148</v>
      </c>
      <c r="G174" t="s">
        <v>345</v>
      </c>
      <c r="H174" t="b">
        <v>0</v>
      </c>
      <c r="I174" t="b">
        <v>0</v>
      </c>
      <c r="L174" t="b">
        <v>0</v>
      </c>
    </row>
    <row r="175" spans="1:25" x14ac:dyDescent="0.2">
      <c r="A175">
        <v>4534</v>
      </c>
      <c r="B175" t="s">
        <v>336</v>
      </c>
      <c r="C175" t="s">
        <v>18</v>
      </c>
      <c r="D175" t="s">
        <v>346</v>
      </c>
      <c r="E175" t="s">
        <v>347</v>
      </c>
      <c r="F175" t="s">
        <v>151</v>
      </c>
      <c r="G175" t="s">
        <v>24</v>
      </c>
      <c r="H175" t="b">
        <v>0</v>
      </c>
      <c r="I175" t="b">
        <v>0</v>
      </c>
      <c r="L175" t="b">
        <v>0</v>
      </c>
      <c r="M175" t="str">
        <f>HYPERLINK("https://arizona.app.box.com/file/386213057742")</f>
        <v>https://arizona.app.box.com/file/386213057742</v>
      </c>
    </row>
    <row r="177" spans="1:25" x14ac:dyDescent="0.2">
      <c r="A177" s="2">
        <v>4816</v>
      </c>
      <c r="B177" s="2" t="s">
        <v>348</v>
      </c>
      <c r="C177" s="2" t="s">
        <v>13</v>
      </c>
      <c r="D177" s="2" t="s">
        <v>349</v>
      </c>
      <c r="E177" s="2" t="s">
        <v>350</v>
      </c>
      <c r="F177" s="2" t="s">
        <v>174</v>
      </c>
      <c r="G177" s="2" t="s">
        <v>62</v>
      </c>
      <c r="H177" s="2"/>
      <c r="I177" s="2"/>
      <c r="J177" s="2"/>
      <c r="K177" s="2"/>
      <c r="L177" s="2"/>
      <c r="M177" s="2"/>
      <c r="N177" s="2"/>
      <c r="O177" s="2"/>
      <c r="P177" s="2"/>
      <c r="Q177" s="2"/>
      <c r="R177" s="2"/>
      <c r="S177" s="2"/>
      <c r="T177" s="2"/>
      <c r="U177" s="2"/>
      <c r="V177" s="2"/>
      <c r="W177" s="2"/>
      <c r="X177" s="2"/>
      <c r="Y177" s="2"/>
    </row>
    <row r="178" spans="1:25" x14ac:dyDescent="0.2">
      <c r="A178">
        <v>4817</v>
      </c>
      <c r="B178" t="s">
        <v>348</v>
      </c>
      <c r="C178" t="s">
        <v>18</v>
      </c>
      <c r="D178" t="s">
        <v>349</v>
      </c>
      <c r="E178" t="s">
        <v>350</v>
      </c>
      <c r="F178" t="s">
        <v>174</v>
      </c>
      <c r="G178" t="s">
        <v>62</v>
      </c>
      <c r="H178" t="b">
        <v>1</v>
      </c>
      <c r="I178" t="b">
        <v>1</v>
      </c>
      <c r="L178" t="b">
        <v>1</v>
      </c>
      <c r="M178" t="str">
        <f>HYPERLINK("https://arizona.app.box.com/file/386239322625")</f>
        <v>https://arizona.app.box.com/file/386239322625</v>
      </c>
      <c r="N178" t="str">
        <f>HYPERLINK("https://arizona.app.box.com/file/386242874260")</f>
        <v>https://arizona.app.box.com/file/386242874260</v>
      </c>
    </row>
    <row r="179" spans="1:25" x14ac:dyDescent="0.2">
      <c r="A179">
        <v>4818</v>
      </c>
      <c r="B179" t="s">
        <v>348</v>
      </c>
      <c r="C179" t="s">
        <v>18</v>
      </c>
      <c r="D179" t="s">
        <v>351</v>
      </c>
      <c r="E179" t="s">
        <v>352</v>
      </c>
      <c r="F179" t="s">
        <v>174</v>
      </c>
      <c r="G179" t="s">
        <v>62</v>
      </c>
      <c r="H179" t="b">
        <v>0</v>
      </c>
      <c r="I179" t="b">
        <v>0</v>
      </c>
      <c r="L179" t="b">
        <v>0</v>
      </c>
      <c r="M179" t="str">
        <f>HYPERLINK("https://arizona.app.box.com/file/386215044458")</f>
        <v>https://arizona.app.box.com/file/386215044458</v>
      </c>
    </row>
    <row r="180" spans="1:25" x14ac:dyDescent="0.2">
      <c r="A180">
        <v>4819</v>
      </c>
      <c r="B180" t="s">
        <v>348</v>
      </c>
      <c r="C180" t="s">
        <v>18</v>
      </c>
      <c r="D180" t="s">
        <v>353</v>
      </c>
      <c r="E180" t="s">
        <v>354</v>
      </c>
      <c r="F180" t="s">
        <v>174</v>
      </c>
      <c r="G180" t="s">
        <v>62</v>
      </c>
      <c r="H180" t="b">
        <v>0</v>
      </c>
      <c r="I180" t="b">
        <v>0</v>
      </c>
      <c r="L180" t="b">
        <v>0</v>
      </c>
      <c r="M180" t="str">
        <f>HYPERLINK("https://arizona.app.box.com/file/386216092167")</f>
        <v>https://arizona.app.box.com/file/386216092167</v>
      </c>
    </row>
    <row r="181" spans="1:25" x14ac:dyDescent="0.2">
      <c r="A181">
        <v>4820</v>
      </c>
      <c r="B181" t="s">
        <v>348</v>
      </c>
      <c r="C181" t="s">
        <v>18</v>
      </c>
      <c r="D181" t="s">
        <v>355</v>
      </c>
      <c r="E181" t="s">
        <v>356</v>
      </c>
      <c r="F181" t="s">
        <v>174</v>
      </c>
      <c r="G181" t="s">
        <v>62</v>
      </c>
      <c r="H181" t="b">
        <v>0</v>
      </c>
      <c r="I181" t="b">
        <v>0</v>
      </c>
      <c r="L181" t="b">
        <v>0</v>
      </c>
      <c r="M181" t="str">
        <f>HYPERLINK("https://arizona.app.box.com/file/386216943536")</f>
        <v>https://arizona.app.box.com/file/386216943536</v>
      </c>
    </row>
    <row r="182" spans="1:25" x14ac:dyDescent="0.2">
      <c r="A182">
        <v>4821</v>
      </c>
      <c r="B182" t="s">
        <v>348</v>
      </c>
      <c r="C182" t="s">
        <v>18</v>
      </c>
      <c r="D182" t="s">
        <v>357</v>
      </c>
      <c r="E182" t="s">
        <v>358</v>
      </c>
      <c r="F182" t="s">
        <v>174</v>
      </c>
      <c r="G182" t="s">
        <v>62</v>
      </c>
      <c r="H182" t="b">
        <v>0</v>
      </c>
      <c r="I182" t="b">
        <v>0</v>
      </c>
      <c r="L182" t="b">
        <v>0</v>
      </c>
    </row>
    <row r="184" spans="1:25" x14ac:dyDescent="0.2">
      <c r="A184" s="2">
        <v>5782</v>
      </c>
      <c r="B184" s="2" t="s">
        <v>359</v>
      </c>
      <c r="C184" s="2" t="s">
        <v>13</v>
      </c>
      <c r="D184" s="2" t="s">
        <v>360</v>
      </c>
      <c r="E184" s="2" t="s">
        <v>361</v>
      </c>
      <c r="F184" s="2" t="s">
        <v>159</v>
      </c>
      <c r="G184" s="2" t="s">
        <v>24</v>
      </c>
      <c r="H184" s="2"/>
      <c r="I184" s="2"/>
      <c r="J184" s="2"/>
      <c r="K184" s="2"/>
      <c r="L184" s="2"/>
      <c r="M184" s="2"/>
      <c r="N184" s="2"/>
      <c r="O184" s="2"/>
      <c r="P184" s="2"/>
      <c r="Q184" s="2"/>
      <c r="R184" s="2"/>
      <c r="S184" s="2"/>
      <c r="T184" s="2"/>
      <c r="U184" s="2"/>
      <c r="V184" s="2"/>
      <c r="W184" s="2"/>
      <c r="X184" s="2"/>
      <c r="Y184" s="2"/>
    </row>
    <row r="185" spans="1:25" x14ac:dyDescent="0.2">
      <c r="A185">
        <v>5783</v>
      </c>
      <c r="B185" t="s">
        <v>359</v>
      </c>
      <c r="C185" t="s">
        <v>18</v>
      </c>
      <c r="D185" t="s">
        <v>362</v>
      </c>
      <c r="E185" t="s">
        <v>363</v>
      </c>
      <c r="F185" t="s">
        <v>159</v>
      </c>
      <c r="G185" t="s">
        <v>17</v>
      </c>
      <c r="H185" t="b">
        <v>0</v>
      </c>
      <c r="K185" t="b">
        <v>0</v>
      </c>
      <c r="L185" t="b">
        <v>0</v>
      </c>
      <c r="M185" t="str">
        <f>HYPERLINK("https://arizona.app.box.com/file/389165311998")</f>
        <v>https://arizona.app.box.com/file/389165311998</v>
      </c>
    </row>
    <row r="186" spans="1:25" x14ac:dyDescent="0.2">
      <c r="A186">
        <v>5784</v>
      </c>
      <c r="B186" t="s">
        <v>359</v>
      </c>
      <c r="C186" t="s">
        <v>18</v>
      </c>
      <c r="D186" t="s">
        <v>364</v>
      </c>
      <c r="E186" t="s">
        <v>365</v>
      </c>
      <c r="F186" t="s">
        <v>159</v>
      </c>
      <c r="G186" t="s">
        <v>366</v>
      </c>
      <c r="H186" t="b">
        <v>0</v>
      </c>
      <c r="K186" t="b">
        <v>0</v>
      </c>
      <c r="L186" t="b">
        <v>0</v>
      </c>
      <c r="M186" t="str">
        <f>HYPERLINK("https://arizona.app.box.com/file/389172731077")</f>
        <v>https://arizona.app.box.com/file/389172731077</v>
      </c>
      <c r="N186" t="str">
        <f>HYPERLINK("https://arizona.app.box.com/file/386215889956")</f>
        <v>https://arizona.app.box.com/file/386215889956</v>
      </c>
    </row>
    <row r="187" spans="1:25" x14ac:dyDescent="0.2">
      <c r="A187">
        <v>5785</v>
      </c>
      <c r="B187" t="s">
        <v>359</v>
      </c>
      <c r="C187" t="s">
        <v>18</v>
      </c>
      <c r="D187" t="s">
        <v>367</v>
      </c>
      <c r="E187" t="s">
        <v>368</v>
      </c>
      <c r="F187" t="s">
        <v>369</v>
      </c>
      <c r="G187" t="s">
        <v>17</v>
      </c>
      <c r="H187" t="b">
        <v>0</v>
      </c>
      <c r="K187" t="b">
        <v>0</v>
      </c>
      <c r="L187" t="b">
        <v>0</v>
      </c>
      <c r="M187" t="str">
        <f>HYPERLINK("https://arizona.app.box.com/file/389170159606")</f>
        <v>https://arizona.app.box.com/file/389170159606</v>
      </c>
    </row>
    <row r="188" spans="1:25" x14ac:dyDescent="0.2">
      <c r="A188">
        <v>5786</v>
      </c>
      <c r="B188" t="s">
        <v>359</v>
      </c>
      <c r="C188" t="s">
        <v>18</v>
      </c>
      <c r="D188" t="s">
        <v>370</v>
      </c>
      <c r="E188" t="s">
        <v>371</v>
      </c>
      <c r="F188" t="s">
        <v>82</v>
      </c>
      <c r="G188" t="s">
        <v>24</v>
      </c>
      <c r="H188" t="b">
        <v>1</v>
      </c>
      <c r="K188" t="b">
        <v>0</v>
      </c>
      <c r="L188" t="b">
        <v>0</v>
      </c>
      <c r="M188" t="str">
        <f>HYPERLINK("https://arizona.app.box.com/file/386238874235")</f>
        <v>https://arizona.app.box.com/file/386238874235</v>
      </c>
    </row>
    <row r="189" spans="1:25" x14ac:dyDescent="0.2">
      <c r="A189">
        <v>5787</v>
      </c>
      <c r="B189" t="s">
        <v>359</v>
      </c>
      <c r="C189" t="s">
        <v>18</v>
      </c>
      <c r="D189" t="s">
        <v>372</v>
      </c>
      <c r="E189" t="s">
        <v>373</v>
      </c>
      <c r="F189" t="s">
        <v>78</v>
      </c>
      <c r="G189" t="s">
        <v>134</v>
      </c>
      <c r="H189" t="b">
        <v>0</v>
      </c>
      <c r="K189" t="b">
        <v>0</v>
      </c>
      <c r="L189" t="b">
        <v>0</v>
      </c>
      <c r="M189" t="str">
        <f>HYPERLINK("https://arizona.app.box.com/file/389166891779")</f>
        <v>https://arizona.app.box.com/file/389166891779</v>
      </c>
      <c r="N189" t="str">
        <f>HYPERLINK("https://arizona.app.box.com/file/386241451510")</f>
        <v>https://arizona.app.box.com/file/386241451510</v>
      </c>
    </row>
    <row r="191" spans="1:25" x14ac:dyDescent="0.2">
      <c r="A191" s="2">
        <v>5838</v>
      </c>
      <c r="B191" s="2" t="s">
        <v>374</v>
      </c>
      <c r="C191" s="2" t="s">
        <v>13</v>
      </c>
      <c r="D191" s="2" t="s">
        <v>375</v>
      </c>
      <c r="E191" s="2" t="s">
        <v>376</v>
      </c>
      <c r="F191" s="2" t="s">
        <v>369</v>
      </c>
      <c r="G191" s="2" t="s">
        <v>24</v>
      </c>
      <c r="H191" s="2"/>
      <c r="I191" s="2"/>
      <c r="J191" s="2"/>
      <c r="K191" s="2"/>
      <c r="L191" s="2"/>
      <c r="M191" s="2"/>
      <c r="N191" s="2"/>
      <c r="O191" s="2"/>
      <c r="P191" s="2"/>
      <c r="Q191" s="2"/>
      <c r="R191" s="2"/>
      <c r="S191" s="2"/>
      <c r="T191" s="2"/>
      <c r="U191" s="2"/>
      <c r="V191" s="2"/>
      <c r="W191" s="2"/>
      <c r="X191" s="2"/>
      <c r="Y191" s="2"/>
    </row>
    <row r="192" spans="1:25" x14ac:dyDescent="0.2">
      <c r="A192">
        <v>5839</v>
      </c>
      <c r="B192" t="s">
        <v>374</v>
      </c>
      <c r="C192" t="s">
        <v>18</v>
      </c>
      <c r="D192" t="s">
        <v>375</v>
      </c>
      <c r="E192" t="s">
        <v>377</v>
      </c>
      <c r="F192" t="s">
        <v>369</v>
      </c>
      <c r="G192" t="s">
        <v>24</v>
      </c>
      <c r="H192" t="b">
        <v>1</v>
      </c>
      <c r="K192" t="b">
        <v>1</v>
      </c>
      <c r="L192" t="b">
        <v>1</v>
      </c>
      <c r="M192" t="str">
        <f>HYPERLINK("https://arizona.app.box.com/file/389265338274")</f>
        <v>https://arizona.app.box.com/file/389265338274</v>
      </c>
      <c r="N192" t="str">
        <f>HYPERLINK("https://arizona.app.box.com/file/389162873435")</f>
        <v>https://arizona.app.box.com/file/389162873435</v>
      </c>
    </row>
    <row r="193" spans="1:25" x14ac:dyDescent="0.2">
      <c r="A193">
        <v>5840</v>
      </c>
      <c r="B193" t="s">
        <v>374</v>
      </c>
      <c r="C193" t="s">
        <v>18</v>
      </c>
      <c r="D193" t="s">
        <v>378</v>
      </c>
      <c r="E193" t="s">
        <v>379</v>
      </c>
      <c r="F193" t="s">
        <v>369</v>
      </c>
      <c r="G193" t="s">
        <v>24</v>
      </c>
      <c r="H193" t="b">
        <v>1</v>
      </c>
      <c r="K193" t="b">
        <v>1</v>
      </c>
      <c r="L193" t="b">
        <v>1</v>
      </c>
      <c r="M193" t="str">
        <f>HYPERLINK("https://arizona.app.box.com/file/386238035103")</f>
        <v>https://arizona.app.box.com/file/386238035103</v>
      </c>
    </row>
    <row r="194" spans="1:25" x14ac:dyDescent="0.2">
      <c r="A194">
        <v>5841</v>
      </c>
      <c r="B194" t="s">
        <v>374</v>
      </c>
      <c r="C194" t="s">
        <v>18</v>
      </c>
      <c r="D194" t="s">
        <v>380</v>
      </c>
      <c r="E194" t="s">
        <v>381</v>
      </c>
      <c r="F194" t="s">
        <v>31</v>
      </c>
      <c r="G194" t="s">
        <v>24</v>
      </c>
      <c r="H194" t="b">
        <v>0</v>
      </c>
      <c r="K194" t="b">
        <v>0</v>
      </c>
      <c r="L194" t="b">
        <v>0</v>
      </c>
      <c r="M194" t="str">
        <f>HYPERLINK("https://arizona.app.box.com/file/389172430439")</f>
        <v>https://arizona.app.box.com/file/389172430439</v>
      </c>
      <c r="N194" t="str">
        <f>HYPERLINK("https://arizona.app.box.com/file/386238663428")</f>
        <v>https://arizona.app.box.com/file/386238663428</v>
      </c>
    </row>
    <row r="195" spans="1:25" x14ac:dyDescent="0.2">
      <c r="A195">
        <v>5842</v>
      </c>
      <c r="B195" t="s">
        <v>374</v>
      </c>
      <c r="C195" t="s">
        <v>18</v>
      </c>
      <c r="D195" t="s">
        <v>382</v>
      </c>
      <c r="E195" t="s">
        <v>381</v>
      </c>
      <c r="F195" t="s">
        <v>20</v>
      </c>
      <c r="G195" t="s">
        <v>24</v>
      </c>
      <c r="H195" t="b">
        <v>0</v>
      </c>
      <c r="K195" t="b">
        <v>0</v>
      </c>
      <c r="L195" t="b">
        <v>0</v>
      </c>
      <c r="M195" t="str">
        <f>HYPERLINK("https://arizona.app.box.com/file/386237350867")</f>
        <v>https://arizona.app.box.com/file/386237350867</v>
      </c>
    </row>
    <row r="196" spans="1:25" x14ac:dyDescent="0.2">
      <c r="A196">
        <v>5843</v>
      </c>
      <c r="B196" t="s">
        <v>374</v>
      </c>
      <c r="C196" t="s">
        <v>18</v>
      </c>
      <c r="D196" t="s">
        <v>383</v>
      </c>
      <c r="E196" t="s">
        <v>384</v>
      </c>
      <c r="F196" t="s">
        <v>369</v>
      </c>
      <c r="G196" t="s">
        <v>24</v>
      </c>
      <c r="H196" t="b">
        <v>0</v>
      </c>
      <c r="K196" t="b">
        <v>0</v>
      </c>
      <c r="L196" t="b">
        <v>0</v>
      </c>
      <c r="M196" t="str">
        <f>HYPERLINK("https://arizona.app.box.com/file/389264577078")</f>
        <v>https://arizona.app.box.com/file/389264577078</v>
      </c>
      <c r="N196" t="str">
        <f>HYPERLINK("https://arizona.app.box.com/file/389153133767")</f>
        <v>https://arizona.app.box.com/file/389153133767</v>
      </c>
    </row>
    <row r="198" spans="1:25" x14ac:dyDescent="0.2">
      <c r="A198" s="2">
        <v>6034</v>
      </c>
      <c r="B198" s="2" t="s">
        <v>385</v>
      </c>
      <c r="C198" s="2" t="s">
        <v>13</v>
      </c>
      <c r="D198" s="2" t="s">
        <v>386</v>
      </c>
      <c r="E198" s="2" t="s">
        <v>387</v>
      </c>
      <c r="F198" s="2" t="s">
        <v>78</v>
      </c>
      <c r="G198" s="2" t="s">
        <v>252</v>
      </c>
      <c r="H198" s="2"/>
      <c r="I198" s="2"/>
      <c r="J198" s="2"/>
      <c r="K198" s="2"/>
      <c r="L198" s="2"/>
      <c r="M198" s="2"/>
      <c r="N198" s="2"/>
      <c r="O198" s="2"/>
      <c r="P198" s="2"/>
      <c r="Q198" s="2"/>
      <c r="R198" s="2"/>
      <c r="S198" s="2"/>
      <c r="T198" s="2"/>
      <c r="U198" s="2"/>
      <c r="V198" s="2"/>
      <c r="W198" s="2"/>
      <c r="X198" s="2"/>
      <c r="Y198" s="2"/>
    </row>
    <row r="199" spans="1:25" x14ac:dyDescent="0.2">
      <c r="A199">
        <v>6035</v>
      </c>
      <c r="B199" t="s">
        <v>385</v>
      </c>
      <c r="C199" t="s">
        <v>18</v>
      </c>
      <c r="D199" t="s">
        <v>386</v>
      </c>
      <c r="E199" t="s">
        <v>387</v>
      </c>
      <c r="F199" t="s">
        <v>78</v>
      </c>
      <c r="G199" t="s">
        <v>252</v>
      </c>
      <c r="H199" t="b">
        <v>1</v>
      </c>
      <c r="I199" t="b">
        <v>1</v>
      </c>
      <c r="L199" t="b">
        <v>1</v>
      </c>
      <c r="M199" t="str">
        <f>HYPERLINK("https://arizona.app.box.com/file/389267448706")</f>
        <v>https://arizona.app.box.com/file/389267448706</v>
      </c>
      <c r="N199" t="s">
        <v>388</v>
      </c>
    </row>
    <row r="200" spans="1:25" x14ac:dyDescent="0.2">
      <c r="A200">
        <v>6036</v>
      </c>
      <c r="B200" t="s">
        <v>385</v>
      </c>
      <c r="C200" t="s">
        <v>18</v>
      </c>
      <c r="D200" t="s">
        <v>389</v>
      </c>
      <c r="E200" t="s">
        <v>390</v>
      </c>
      <c r="F200" t="s">
        <v>78</v>
      </c>
      <c r="G200" t="s">
        <v>17</v>
      </c>
      <c r="H200" t="b">
        <v>0</v>
      </c>
      <c r="I200" t="b">
        <v>0</v>
      </c>
      <c r="L200" t="b">
        <v>0</v>
      </c>
      <c r="M200" t="str">
        <f>HYPERLINK("https://arizona.app.box.com/file/389151193705")</f>
        <v>https://arizona.app.box.com/file/389151193705</v>
      </c>
    </row>
    <row r="201" spans="1:25" x14ac:dyDescent="0.2">
      <c r="A201">
        <v>6037</v>
      </c>
      <c r="B201" t="s">
        <v>385</v>
      </c>
      <c r="C201" t="s">
        <v>18</v>
      </c>
      <c r="D201" t="s">
        <v>391</v>
      </c>
      <c r="E201" t="s">
        <v>392</v>
      </c>
      <c r="F201" t="s">
        <v>78</v>
      </c>
      <c r="G201" t="s">
        <v>17</v>
      </c>
      <c r="H201" t="b">
        <v>1</v>
      </c>
      <c r="I201" t="b">
        <v>0</v>
      </c>
      <c r="L201" t="b">
        <v>0</v>
      </c>
      <c r="M201" t="str">
        <f>HYPERLINK("https://arizona.app.box.com/file/389137483194")</f>
        <v>https://arizona.app.box.com/file/389137483194</v>
      </c>
    </row>
    <row r="202" spans="1:25" x14ac:dyDescent="0.2">
      <c r="A202">
        <v>6038</v>
      </c>
      <c r="B202" t="s">
        <v>385</v>
      </c>
      <c r="C202" t="s">
        <v>18</v>
      </c>
      <c r="D202" t="s">
        <v>393</v>
      </c>
      <c r="E202" t="s">
        <v>394</v>
      </c>
      <c r="F202" t="s">
        <v>78</v>
      </c>
      <c r="G202" t="s">
        <v>17</v>
      </c>
      <c r="H202" t="b">
        <v>1</v>
      </c>
      <c r="I202" t="b">
        <v>0</v>
      </c>
      <c r="L202" t="b">
        <v>0</v>
      </c>
      <c r="M202" t="str">
        <f>HYPERLINK("https://arizona.app.box.com/file/389150068222")</f>
        <v>https://arizona.app.box.com/file/389150068222</v>
      </c>
      <c r="N202" t="str">
        <f>HYPERLINK("https://arizona.app.box.com/file/386270528787")</f>
        <v>https://arizona.app.box.com/file/386270528787</v>
      </c>
    </row>
    <row r="203" spans="1:25" x14ac:dyDescent="0.2">
      <c r="A203">
        <v>6039</v>
      </c>
      <c r="B203" t="s">
        <v>385</v>
      </c>
      <c r="C203" t="s">
        <v>18</v>
      </c>
      <c r="D203" t="s">
        <v>395</v>
      </c>
      <c r="E203" t="s">
        <v>396</v>
      </c>
      <c r="F203" t="s">
        <v>78</v>
      </c>
      <c r="G203" t="s">
        <v>252</v>
      </c>
      <c r="H203" t="b">
        <v>0</v>
      </c>
      <c r="I203" t="b">
        <v>0</v>
      </c>
      <c r="L203" t="b">
        <v>0</v>
      </c>
    </row>
    <row r="205" spans="1:25" x14ac:dyDescent="0.2">
      <c r="A205" s="2">
        <v>6426</v>
      </c>
      <c r="B205" s="2" t="s">
        <v>397</v>
      </c>
      <c r="C205" s="2" t="s">
        <v>13</v>
      </c>
      <c r="D205" s="2" t="s">
        <v>398</v>
      </c>
      <c r="E205" s="2" t="s">
        <v>399</v>
      </c>
      <c r="F205" s="2" t="s">
        <v>205</v>
      </c>
      <c r="G205" s="2" t="s">
        <v>62</v>
      </c>
      <c r="H205" s="2"/>
      <c r="I205" s="2"/>
      <c r="J205" s="2"/>
      <c r="K205" s="2"/>
      <c r="L205" s="2"/>
      <c r="M205" s="2"/>
      <c r="N205" s="2"/>
      <c r="O205" s="2"/>
      <c r="P205" s="2"/>
      <c r="Q205" s="2"/>
      <c r="R205" s="2"/>
      <c r="S205" s="2"/>
      <c r="T205" s="2"/>
      <c r="U205" s="2"/>
      <c r="V205" s="2"/>
      <c r="W205" s="2"/>
      <c r="X205" s="2"/>
      <c r="Y205" s="2"/>
    </row>
    <row r="206" spans="1:25" x14ac:dyDescent="0.2">
      <c r="A206">
        <v>6427</v>
      </c>
      <c r="B206" t="s">
        <v>397</v>
      </c>
      <c r="C206" t="s">
        <v>18</v>
      </c>
      <c r="D206" t="s">
        <v>398</v>
      </c>
      <c r="E206" t="s">
        <v>399</v>
      </c>
      <c r="F206" t="s">
        <v>205</v>
      </c>
      <c r="G206" t="s">
        <v>62</v>
      </c>
      <c r="H206" t="b">
        <v>1</v>
      </c>
      <c r="I206" t="b">
        <v>1</v>
      </c>
      <c r="L206" t="b">
        <v>1</v>
      </c>
      <c r="M206" t="str">
        <f>HYPERLINK("https://arizona.app.box.com/file/389267756255")</f>
        <v>https://arizona.app.box.com/file/389267756255</v>
      </c>
      <c r="N206" t="str">
        <f>HYPERLINK("https://arizona.app.box.com/file/389164485529")</f>
        <v>https://arizona.app.box.com/file/389164485529</v>
      </c>
      <c r="O206" t="str">
        <f>HYPERLINK("https://arizona.app.box.com/file/389171457480")</f>
        <v>https://arizona.app.box.com/file/389171457480</v>
      </c>
    </row>
    <row r="207" spans="1:25" x14ac:dyDescent="0.2">
      <c r="A207">
        <v>6428</v>
      </c>
      <c r="B207" t="s">
        <v>397</v>
      </c>
      <c r="C207" t="s">
        <v>18</v>
      </c>
      <c r="D207" t="s">
        <v>400</v>
      </c>
      <c r="E207" t="s">
        <v>401</v>
      </c>
      <c r="F207" t="s">
        <v>205</v>
      </c>
      <c r="G207" t="s">
        <v>62</v>
      </c>
      <c r="H207" t="b">
        <v>0</v>
      </c>
      <c r="I207" t="b">
        <v>0</v>
      </c>
      <c r="L207" t="b">
        <v>0</v>
      </c>
      <c r="M207" t="str">
        <f>HYPERLINK("https://arizona.app.box.com/file/386247708110")</f>
        <v>https://arizona.app.box.com/file/386247708110</v>
      </c>
    </row>
    <row r="208" spans="1:25" x14ac:dyDescent="0.2">
      <c r="A208">
        <v>6429</v>
      </c>
      <c r="B208" t="s">
        <v>397</v>
      </c>
      <c r="C208" t="s">
        <v>18</v>
      </c>
      <c r="D208" t="s">
        <v>402</v>
      </c>
      <c r="E208" t="s">
        <v>403</v>
      </c>
      <c r="F208" t="s">
        <v>205</v>
      </c>
      <c r="G208" t="s">
        <v>62</v>
      </c>
      <c r="H208" t="b">
        <v>0</v>
      </c>
      <c r="I208" t="b">
        <v>0</v>
      </c>
      <c r="L208" t="b">
        <v>0</v>
      </c>
    </row>
    <row r="209" spans="1:25" x14ac:dyDescent="0.2">
      <c r="A209">
        <v>6430</v>
      </c>
      <c r="B209" t="s">
        <v>397</v>
      </c>
      <c r="C209" t="s">
        <v>18</v>
      </c>
      <c r="D209" t="s">
        <v>404</v>
      </c>
      <c r="E209" t="s">
        <v>405</v>
      </c>
      <c r="F209" t="s">
        <v>205</v>
      </c>
      <c r="G209" t="s">
        <v>62</v>
      </c>
      <c r="H209" t="b">
        <v>0</v>
      </c>
      <c r="I209" t="b">
        <v>0</v>
      </c>
      <c r="L209" t="b">
        <v>0</v>
      </c>
      <c r="M209" t="str">
        <f>HYPERLINK("https://arizona.app.box.com/file/389177317029")</f>
        <v>https://arizona.app.box.com/file/389177317029</v>
      </c>
      <c r="N209" t="str">
        <f>HYPERLINK("https://arizona.app.box.com/file/386241388208")</f>
        <v>https://arizona.app.box.com/file/386241388208</v>
      </c>
    </row>
    <row r="210" spans="1:25" x14ac:dyDescent="0.2">
      <c r="A210">
        <v>6431</v>
      </c>
      <c r="B210" t="s">
        <v>397</v>
      </c>
      <c r="C210" t="s">
        <v>18</v>
      </c>
      <c r="D210" t="s">
        <v>406</v>
      </c>
      <c r="E210" t="s">
        <v>407</v>
      </c>
      <c r="F210" t="s">
        <v>205</v>
      </c>
      <c r="G210" t="s">
        <v>62</v>
      </c>
      <c r="H210" t="b">
        <v>0</v>
      </c>
      <c r="I210" t="b">
        <v>0</v>
      </c>
      <c r="L210" t="b">
        <v>0</v>
      </c>
      <c r="M210" t="str">
        <f>HYPERLINK("https://arizona.app.box.com/file/389263541925")</f>
        <v>https://arizona.app.box.com/file/389263541925</v>
      </c>
      <c r="N210" t="str">
        <f>HYPERLINK("https://arizona.app.box.com/file/389138174039")</f>
        <v>https://arizona.app.box.com/file/389138174039</v>
      </c>
    </row>
    <row r="212" spans="1:25" x14ac:dyDescent="0.2">
      <c r="A212" s="2">
        <v>6748</v>
      </c>
      <c r="B212" s="2" t="s">
        <v>408</v>
      </c>
      <c r="C212" s="2" t="s">
        <v>13</v>
      </c>
      <c r="D212" s="2" t="s">
        <v>409</v>
      </c>
      <c r="E212" s="2" t="s">
        <v>410</v>
      </c>
      <c r="F212" s="2" t="s">
        <v>174</v>
      </c>
      <c r="G212" s="2" t="s">
        <v>411</v>
      </c>
      <c r="H212" s="2"/>
      <c r="I212" s="2"/>
      <c r="J212" s="2"/>
      <c r="K212" s="2"/>
      <c r="L212" s="2"/>
      <c r="M212" s="2"/>
      <c r="N212" s="2"/>
      <c r="O212" s="2"/>
      <c r="P212" s="2"/>
      <c r="Q212" s="2"/>
      <c r="R212" s="2"/>
      <c r="S212" s="2"/>
      <c r="T212" s="2"/>
      <c r="U212" s="2"/>
      <c r="V212" s="2"/>
      <c r="W212" s="2"/>
      <c r="X212" s="2"/>
      <c r="Y212" s="2"/>
    </row>
    <row r="213" spans="1:25" x14ac:dyDescent="0.2">
      <c r="A213">
        <v>6749</v>
      </c>
      <c r="B213" t="s">
        <v>408</v>
      </c>
      <c r="C213" t="s">
        <v>18</v>
      </c>
      <c r="D213" t="s">
        <v>409</v>
      </c>
      <c r="E213" t="s">
        <v>412</v>
      </c>
      <c r="F213" t="s">
        <v>174</v>
      </c>
      <c r="G213" t="s">
        <v>411</v>
      </c>
      <c r="H213" t="b">
        <v>1</v>
      </c>
      <c r="I213" t="b">
        <v>1</v>
      </c>
      <c r="L213" t="b">
        <v>1</v>
      </c>
      <c r="M213" t="str">
        <f>HYPERLINK("https://arizona.app.box.com/file/389162800174")</f>
        <v>https://arizona.app.box.com/file/389162800174</v>
      </c>
      <c r="N213" t="str">
        <f>HYPERLINK("https://arizona.app.box.com/file/386225274121")</f>
        <v>https://arizona.app.box.com/file/386225274121</v>
      </c>
    </row>
    <row r="214" spans="1:25" x14ac:dyDescent="0.2">
      <c r="A214">
        <v>6750</v>
      </c>
      <c r="B214" t="s">
        <v>408</v>
      </c>
      <c r="C214" t="s">
        <v>18</v>
      </c>
      <c r="D214" t="s">
        <v>413</v>
      </c>
      <c r="E214" t="s">
        <v>414</v>
      </c>
      <c r="F214" t="s">
        <v>174</v>
      </c>
      <c r="G214" t="s">
        <v>265</v>
      </c>
      <c r="H214" t="b">
        <v>1</v>
      </c>
      <c r="I214" t="b">
        <v>1</v>
      </c>
      <c r="L214" t="b">
        <v>1</v>
      </c>
      <c r="M214" t="str">
        <f>HYPERLINK("https://arizona.app.box.com/file/389174269244")</f>
        <v>https://arizona.app.box.com/file/389174269244</v>
      </c>
    </row>
    <row r="215" spans="1:25" x14ac:dyDescent="0.2">
      <c r="A215">
        <v>6751</v>
      </c>
      <c r="B215" t="s">
        <v>408</v>
      </c>
      <c r="C215" t="s">
        <v>18</v>
      </c>
      <c r="D215" t="s">
        <v>415</v>
      </c>
      <c r="E215" t="s">
        <v>416</v>
      </c>
      <c r="F215" t="s">
        <v>159</v>
      </c>
      <c r="G215" t="s">
        <v>417</v>
      </c>
      <c r="H215" t="b">
        <v>0</v>
      </c>
      <c r="I215" t="b">
        <v>0</v>
      </c>
      <c r="L215" t="b">
        <v>0</v>
      </c>
      <c r="M215" t="str">
        <f>HYPERLINK("https://arizona.app.box.com/file/389164645836")</f>
        <v>https://arizona.app.box.com/file/389164645836</v>
      </c>
      <c r="N215" t="str">
        <f>HYPERLINK("https://arizona.app.box.com/file/386217021755")</f>
        <v>https://arizona.app.box.com/file/386217021755</v>
      </c>
    </row>
    <row r="216" spans="1:25" x14ac:dyDescent="0.2">
      <c r="A216">
        <v>6752</v>
      </c>
      <c r="B216" t="s">
        <v>408</v>
      </c>
      <c r="C216" t="s">
        <v>18</v>
      </c>
      <c r="D216" t="s">
        <v>418</v>
      </c>
      <c r="E216" t="s">
        <v>419</v>
      </c>
      <c r="F216" t="s">
        <v>420</v>
      </c>
      <c r="G216" t="s">
        <v>88</v>
      </c>
      <c r="H216" t="b">
        <v>0</v>
      </c>
      <c r="I216" t="b">
        <v>0</v>
      </c>
      <c r="L216" t="b">
        <v>0</v>
      </c>
      <c r="M216" t="str">
        <f>HYPERLINK("https://arizona.app.box.com/file/386219107463")</f>
        <v>https://arizona.app.box.com/file/386219107463</v>
      </c>
    </row>
    <row r="217" spans="1:25" x14ac:dyDescent="0.2">
      <c r="A217">
        <v>6753</v>
      </c>
      <c r="B217" t="s">
        <v>408</v>
      </c>
      <c r="C217" t="s">
        <v>18</v>
      </c>
      <c r="D217" t="s">
        <v>421</v>
      </c>
      <c r="E217" t="s">
        <v>422</v>
      </c>
      <c r="F217" t="s">
        <v>420</v>
      </c>
      <c r="G217" t="s">
        <v>88</v>
      </c>
      <c r="H217" t="b">
        <v>0</v>
      </c>
      <c r="I217" t="b">
        <v>0</v>
      </c>
      <c r="L217" t="b">
        <v>0</v>
      </c>
      <c r="M217" t="str">
        <f>HYPERLINK("https://arizona.app.box.com/file/386231497255")</f>
        <v>https://arizona.app.box.com/file/386231497255</v>
      </c>
    </row>
    <row r="219" spans="1:25" x14ac:dyDescent="0.2">
      <c r="A219" s="2">
        <v>6776</v>
      </c>
      <c r="B219" s="2" t="s">
        <v>423</v>
      </c>
      <c r="C219" s="2" t="s">
        <v>13</v>
      </c>
      <c r="D219" s="2" t="s">
        <v>424</v>
      </c>
      <c r="E219" s="2" t="s">
        <v>425</v>
      </c>
      <c r="F219" s="2" t="s">
        <v>27</v>
      </c>
      <c r="G219" s="2" t="s">
        <v>417</v>
      </c>
      <c r="H219" s="2"/>
      <c r="I219" s="2"/>
      <c r="J219" s="2"/>
      <c r="K219" s="2"/>
      <c r="L219" s="2"/>
      <c r="M219" s="2"/>
      <c r="N219" s="2"/>
      <c r="O219" s="2"/>
      <c r="P219" s="2"/>
      <c r="Q219" s="2"/>
      <c r="R219" s="2"/>
      <c r="S219" s="2"/>
      <c r="T219" s="2"/>
      <c r="U219" s="2"/>
      <c r="V219" s="2"/>
      <c r="W219" s="2"/>
      <c r="X219" s="2"/>
      <c r="Y219" s="2"/>
    </row>
    <row r="220" spans="1:25" x14ac:dyDescent="0.2">
      <c r="A220">
        <v>6777</v>
      </c>
      <c r="B220" t="s">
        <v>423</v>
      </c>
      <c r="C220" t="s">
        <v>18</v>
      </c>
      <c r="D220" t="s">
        <v>426</v>
      </c>
      <c r="E220" t="s">
        <v>427</v>
      </c>
      <c r="F220" t="s">
        <v>27</v>
      </c>
      <c r="G220" t="s">
        <v>417</v>
      </c>
      <c r="H220" t="b">
        <v>1</v>
      </c>
      <c r="I220" t="b">
        <v>1</v>
      </c>
      <c r="L220" t="b">
        <v>1</v>
      </c>
      <c r="M220" t="str">
        <f>HYPERLINK("https://arizona.app.box.com/file/389258810495")</f>
        <v>https://arizona.app.box.com/file/389258810495</v>
      </c>
      <c r="N220" t="str">
        <f>HYPERLINK("https://arizona.app.box.com/file/386240966394")</f>
        <v>https://arizona.app.box.com/file/386240966394</v>
      </c>
    </row>
    <row r="221" spans="1:25" x14ac:dyDescent="0.2">
      <c r="A221">
        <v>6778</v>
      </c>
      <c r="B221" t="s">
        <v>423</v>
      </c>
      <c r="C221" t="s">
        <v>18</v>
      </c>
      <c r="D221" t="s">
        <v>428</v>
      </c>
      <c r="E221" t="s">
        <v>429</v>
      </c>
      <c r="F221" t="s">
        <v>174</v>
      </c>
      <c r="G221" t="s">
        <v>417</v>
      </c>
      <c r="H221" t="b">
        <v>0</v>
      </c>
      <c r="I221" t="b">
        <v>0</v>
      </c>
      <c r="L221" t="b">
        <v>0</v>
      </c>
      <c r="M221" t="str">
        <f>HYPERLINK("https://arizona.app.box.com/file/389168809881")</f>
        <v>https://arizona.app.box.com/file/389168809881</v>
      </c>
      <c r="N221" t="str">
        <f>HYPERLINK("https://arizona.app.box.com/file/386216543312")</f>
        <v>https://arizona.app.box.com/file/386216543312</v>
      </c>
    </row>
    <row r="222" spans="1:25" x14ac:dyDescent="0.2">
      <c r="A222">
        <v>6779</v>
      </c>
      <c r="B222" t="s">
        <v>423</v>
      </c>
      <c r="C222" t="s">
        <v>18</v>
      </c>
      <c r="D222" t="s">
        <v>430</v>
      </c>
      <c r="E222" t="s">
        <v>431</v>
      </c>
      <c r="F222" t="s">
        <v>316</v>
      </c>
      <c r="G222" t="s">
        <v>417</v>
      </c>
      <c r="H222" t="b">
        <v>0</v>
      </c>
      <c r="I222" t="b">
        <v>0</v>
      </c>
      <c r="L222" t="b">
        <v>0</v>
      </c>
      <c r="M222" t="str">
        <f>HYPERLINK("https://arizona.app.box.com/file/389263789899")</f>
        <v>https://arizona.app.box.com/file/389263789899</v>
      </c>
      <c r="N222" t="str">
        <f>HYPERLINK("https://arizona.app.box.com/file/386218508025")</f>
        <v>https://arizona.app.box.com/file/386218508025</v>
      </c>
    </row>
    <row r="223" spans="1:25" x14ac:dyDescent="0.2">
      <c r="A223">
        <v>6780</v>
      </c>
      <c r="B223" t="s">
        <v>423</v>
      </c>
      <c r="C223" t="s">
        <v>18</v>
      </c>
      <c r="D223" t="s">
        <v>432</v>
      </c>
      <c r="E223" t="s">
        <v>433</v>
      </c>
      <c r="F223" t="s">
        <v>122</v>
      </c>
      <c r="G223" t="s">
        <v>417</v>
      </c>
      <c r="H223" t="b">
        <v>0</v>
      </c>
      <c r="I223" t="b">
        <v>0</v>
      </c>
      <c r="L223" t="b">
        <v>0</v>
      </c>
      <c r="M223" t="str">
        <f>HYPERLINK("https://arizona.app.box.com/file/386244352385")</f>
        <v>https://arizona.app.box.com/file/386244352385</v>
      </c>
      <c r="N223" t="str">
        <f>HYPERLINK("https://arizona.app.box.com/file/386240272062")</f>
        <v>https://arizona.app.box.com/file/386240272062</v>
      </c>
    </row>
    <row r="224" spans="1:25" x14ac:dyDescent="0.2">
      <c r="A224">
        <v>6781</v>
      </c>
      <c r="B224" t="s">
        <v>423</v>
      </c>
      <c r="C224" t="s">
        <v>18</v>
      </c>
      <c r="D224" t="s">
        <v>434</v>
      </c>
      <c r="E224" t="s">
        <v>435</v>
      </c>
      <c r="F224" t="s">
        <v>23</v>
      </c>
      <c r="G224" t="s">
        <v>417</v>
      </c>
      <c r="H224" t="b">
        <v>0</v>
      </c>
      <c r="I224" t="b">
        <v>0</v>
      </c>
      <c r="L224" t="b">
        <v>0</v>
      </c>
      <c r="M224" t="str">
        <f>HYPERLINK("https://arizona.app.box.com/file/389174160395")</f>
        <v>https://arizona.app.box.com/file/389174160395</v>
      </c>
      <c r="N224" t="str">
        <f>HYPERLINK("https://arizona.app.box.com/file/386238023358")</f>
        <v>https://arizona.app.box.com/file/386238023358</v>
      </c>
    </row>
    <row r="226" spans="1:25" x14ac:dyDescent="0.2">
      <c r="A226" s="2">
        <v>6832</v>
      </c>
      <c r="B226" s="2" t="s">
        <v>436</v>
      </c>
      <c r="C226" s="2" t="s">
        <v>13</v>
      </c>
      <c r="D226" s="2" t="s">
        <v>437</v>
      </c>
      <c r="E226" s="2" t="s">
        <v>438</v>
      </c>
      <c r="F226" s="2" t="s">
        <v>420</v>
      </c>
      <c r="G226" s="2" t="s">
        <v>88</v>
      </c>
      <c r="H226" s="2"/>
      <c r="I226" s="2"/>
      <c r="J226" s="2"/>
      <c r="K226" s="2"/>
      <c r="L226" s="2"/>
      <c r="M226" s="2"/>
      <c r="N226" s="2"/>
      <c r="O226" s="2"/>
      <c r="P226" s="2"/>
      <c r="Q226" s="2"/>
      <c r="R226" s="2"/>
      <c r="S226" s="2"/>
      <c r="T226" s="2"/>
      <c r="U226" s="2"/>
      <c r="V226" s="2"/>
      <c r="W226" s="2"/>
      <c r="X226" s="2"/>
      <c r="Y226" s="2"/>
    </row>
    <row r="227" spans="1:25" x14ac:dyDescent="0.2">
      <c r="A227">
        <v>6833</v>
      </c>
      <c r="B227" t="s">
        <v>436</v>
      </c>
      <c r="C227" t="s">
        <v>18</v>
      </c>
      <c r="D227" t="s">
        <v>437</v>
      </c>
      <c r="E227" t="s">
        <v>439</v>
      </c>
      <c r="F227" t="s">
        <v>420</v>
      </c>
      <c r="G227" t="s">
        <v>88</v>
      </c>
      <c r="H227" t="b">
        <v>1</v>
      </c>
      <c r="I227" t="b">
        <v>1</v>
      </c>
      <c r="L227" t="b">
        <v>1</v>
      </c>
      <c r="M227" t="str">
        <f>HYPERLINK("https://arizona.app.box.com/file/386232537263")</f>
        <v>https://arizona.app.box.com/file/386232537263</v>
      </c>
    </row>
    <row r="228" spans="1:25" x14ac:dyDescent="0.2">
      <c r="A228">
        <v>6834</v>
      </c>
      <c r="B228" t="s">
        <v>436</v>
      </c>
      <c r="C228" t="s">
        <v>18</v>
      </c>
      <c r="D228" t="s">
        <v>440</v>
      </c>
      <c r="E228" t="s">
        <v>441</v>
      </c>
      <c r="F228" t="s">
        <v>420</v>
      </c>
      <c r="G228" t="s">
        <v>88</v>
      </c>
      <c r="H228" t="b">
        <v>1</v>
      </c>
      <c r="I228" t="b">
        <v>1</v>
      </c>
      <c r="L228" t="b">
        <v>1</v>
      </c>
      <c r="M228" t="str">
        <f>HYPERLINK("https://arizona.app.box.com/file/386232709110")</f>
        <v>https://arizona.app.box.com/file/386232709110</v>
      </c>
    </row>
    <row r="229" spans="1:25" x14ac:dyDescent="0.2">
      <c r="A229">
        <v>6835</v>
      </c>
      <c r="B229" t="s">
        <v>436</v>
      </c>
      <c r="C229" t="s">
        <v>18</v>
      </c>
      <c r="D229" t="s">
        <v>442</v>
      </c>
      <c r="E229" t="s">
        <v>443</v>
      </c>
      <c r="F229" t="s">
        <v>420</v>
      </c>
      <c r="G229" t="s">
        <v>88</v>
      </c>
      <c r="H229" t="b">
        <v>0</v>
      </c>
      <c r="I229" t="b">
        <v>0</v>
      </c>
      <c r="L229" t="b">
        <v>0</v>
      </c>
    </row>
    <row r="230" spans="1:25" x14ac:dyDescent="0.2">
      <c r="A230">
        <v>6836</v>
      </c>
      <c r="B230" t="s">
        <v>436</v>
      </c>
      <c r="C230" t="s">
        <v>18</v>
      </c>
      <c r="D230" t="s">
        <v>444</v>
      </c>
      <c r="E230" t="s">
        <v>445</v>
      </c>
      <c r="F230" t="s">
        <v>275</v>
      </c>
      <c r="G230" t="s">
        <v>88</v>
      </c>
      <c r="H230" t="b">
        <v>0</v>
      </c>
      <c r="I230" t="b">
        <v>0</v>
      </c>
      <c r="L230" t="b">
        <v>0</v>
      </c>
      <c r="M230" t="str">
        <f>HYPERLINK("https://arizona.app.box.com/file/386246209606")</f>
        <v>https://arizona.app.box.com/file/386246209606</v>
      </c>
    </row>
    <row r="231" spans="1:25" x14ac:dyDescent="0.2">
      <c r="A231">
        <v>6837</v>
      </c>
      <c r="B231" t="s">
        <v>436</v>
      </c>
      <c r="C231" t="s">
        <v>18</v>
      </c>
      <c r="D231" t="s">
        <v>446</v>
      </c>
      <c r="E231" t="s">
        <v>447</v>
      </c>
      <c r="F231" t="s">
        <v>420</v>
      </c>
      <c r="G231" t="s">
        <v>88</v>
      </c>
      <c r="H231" t="b">
        <v>0</v>
      </c>
      <c r="I231" t="b">
        <v>0</v>
      </c>
      <c r="L231" t="b">
        <v>0</v>
      </c>
    </row>
    <row r="233" spans="1:25" x14ac:dyDescent="0.2">
      <c r="A233" s="2">
        <v>700</v>
      </c>
      <c r="B233" s="2" t="s">
        <v>448</v>
      </c>
      <c r="C233" s="2" t="s">
        <v>13</v>
      </c>
      <c r="D233" s="2" t="s">
        <v>449</v>
      </c>
      <c r="E233" s="2" t="s">
        <v>450</v>
      </c>
      <c r="F233" s="2" t="s">
        <v>451</v>
      </c>
      <c r="G233" s="2" t="s">
        <v>255</v>
      </c>
      <c r="H233" s="2"/>
      <c r="I233" s="2"/>
      <c r="J233" s="2"/>
      <c r="K233" s="2"/>
      <c r="L233" s="2"/>
      <c r="M233" s="2"/>
      <c r="N233" s="2"/>
      <c r="O233" s="2"/>
      <c r="P233" s="2"/>
      <c r="Q233" s="2"/>
      <c r="R233" s="2"/>
      <c r="S233" s="2"/>
      <c r="T233" s="2"/>
      <c r="U233" s="2"/>
      <c r="V233" s="2"/>
      <c r="W233" s="2"/>
      <c r="X233" s="2"/>
      <c r="Y233" s="2"/>
    </row>
    <row r="234" spans="1:25" x14ac:dyDescent="0.2">
      <c r="A234">
        <v>701</v>
      </c>
      <c r="B234" t="s">
        <v>448</v>
      </c>
      <c r="C234" t="s">
        <v>18</v>
      </c>
      <c r="D234" t="s">
        <v>449</v>
      </c>
      <c r="E234" t="s">
        <v>450</v>
      </c>
      <c r="F234" t="s">
        <v>451</v>
      </c>
      <c r="G234" t="s">
        <v>255</v>
      </c>
      <c r="H234" t="b">
        <v>1</v>
      </c>
      <c r="K234" t="b">
        <v>1</v>
      </c>
      <c r="L234" t="b">
        <v>1</v>
      </c>
      <c r="M234" t="s">
        <v>452</v>
      </c>
      <c r="N234" t="s">
        <v>453</v>
      </c>
    </row>
    <row r="235" spans="1:25" x14ac:dyDescent="0.2">
      <c r="A235">
        <v>702</v>
      </c>
      <c r="B235" t="s">
        <v>448</v>
      </c>
      <c r="C235" t="s">
        <v>18</v>
      </c>
      <c r="D235" t="s">
        <v>454</v>
      </c>
      <c r="E235" t="s">
        <v>455</v>
      </c>
      <c r="F235" t="s">
        <v>456</v>
      </c>
      <c r="G235" t="s">
        <v>255</v>
      </c>
      <c r="H235" t="b">
        <v>0</v>
      </c>
      <c r="K235" t="b">
        <v>0</v>
      </c>
      <c r="L235" t="b">
        <v>0</v>
      </c>
      <c r="M235" t="s">
        <v>457</v>
      </c>
    </row>
    <row r="236" spans="1:25" x14ac:dyDescent="0.2">
      <c r="A236">
        <v>703</v>
      </c>
      <c r="B236" t="s">
        <v>448</v>
      </c>
      <c r="C236" t="s">
        <v>18</v>
      </c>
      <c r="D236" t="s">
        <v>458</v>
      </c>
      <c r="E236" t="s">
        <v>459</v>
      </c>
      <c r="F236" t="s">
        <v>78</v>
      </c>
      <c r="G236" t="s">
        <v>32</v>
      </c>
      <c r="H236" t="b">
        <v>0</v>
      </c>
      <c r="K236" t="b">
        <v>0</v>
      </c>
      <c r="L236" t="b">
        <v>0</v>
      </c>
    </row>
    <row r="237" spans="1:25" x14ac:dyDescent="0.2">
      <c r="A237">
        <v>704</v>
      </c>
      <c r="B237" t="s">
        <v>448</v>
      </c>
      <c r="C237" t="s">
        <v>18</v>
      </c>
      <c r="D237" t="s">
        <v>460</v>
      </c>
      <c r="E237" t="s">
        <v>461</v>
      </c>
      <c r="F237" t="s">
        <v>23</v>
      </c>
      <c r="G237" t="s">
        <v>345</v>
      </c>
      <c r="H237" t="b">
        <v>0</v>
      </c>
      <c r="K237" t="b">
        <v>0</v>
      </c>
      <c r="L237" t="b">
        <v>0</v>
      </c>
      <c r="M237" t="s">
        <v>462</v>
      </c>
    </row>
    <row r="238" spans="1:25" x14ac:dyDescent="0.2">
      <c r="A238">
        <v>705</v>
      </c>
      <c r="B238" t="s">
        <v>448</v>
      </c>
      <c r="C238" t="s">
        <v>18</v>
      </c>
      <c r="D238" t="s">
        <v>463</v>
      </c>
      <c r="E238" t="s">
        <v>464</v>
      </c>
      <c r="F238" t="s">
        <v>23</v>
      </c>
      <c r="G238" t="s">
        <v>345</v>
      </c>
      <c r="H238" t="b">
        <v>0</v>
      </c>
      <c r="K238" t="b">
        <v>0</v>
      </c>
      <c r="L238" t="b">
        <v>0</v>
      </c>
      <c r="M238" t="s">
        <v>465</v>
      </c>
    </row>
    <row r="240" spans="1:25" x14ac:dyDescent="0.2">
      <c r="A240" s="2">
        <v>7000</v>
      </c>
      <c r="B240" s="2" t="s">
        <v>466</v>
      </c>
      <c r="C240" s="2" t="s">
        <v>13</v>
      </c>
      <c r="D240" s="2" t="s">
        <v>467</v>
      </c>
      <c r="E240" s="2" t="s">
        <v>468</v>
      </c>
      <c r="F240" s="2" t="s">
        <v>168</v>
      </c>
      <c r="G240" s="2" t="s">
        <v>345</v>
      </c>
      <c r="H240" s="2"/>
      <c r="I240" s="2"/>
      <c r="J240" s="2"/>
      <c r="K240" s="2"/>
      <c r="L240" s="2"/>
      <c r="M240" s="2"/>
      <c r="N240" s="2"/>
      <c r="O240" s="2"/>
      <c r="P240" s="2"/>
      <c r="Q240" s="2"/>
      <c r="R240" s="2"/>
      <c r="S240" s="2"/>
      <c r="T240" s="2"/>
      <c r="U240" s="2"/>
      <c r="V240" s="2"/>
      <c r="W240" s="2"/>
      <c r="X240" s="2"/>
      <c r="Y240" s="2"/>
    </row>
    <row r="241" spans="1:25" x14ac:dyDescent="0.2">
      <c r="A241">
        <v>7001</v>
      </c>
      <c r="B241" t="s">
        <v>466</v>
      </c>
      <c r="C241" t="s">
        <v>18</v>
      </c>
      <c r="D241" t="s">
        <v>467</v>
      </c>
      <c r="E241" t="s">
        <v>468</v>
      </c>
      <c r="F241" t="s">
        <v>168</v>
      </c>
      <c r="G241" t="s">
        <v>345</v>
      </c>
      <c r="H241" t="b">
        <v>1</v>
      </c>
      <c r="K241" t="b">
        <v>1</v>
      </c>
      <c r="L241" t="b">
        <v>1</v>
      </c>
      <c r="M241" t="s">
        <v>469</v>
      </c>
      <c r="N241" t="s">
        <v>470</v>
      </c>
    </row>
    <row r="242" spans="1:25" x14ac:dyDescent="0.2">
      <c r="A242">
        <v>7002</v>
      </c>
      <c r="B242" t="s">
        <v>466</v>
      </c>
      <c r="C242" t="s">
        <v>18</v>
      </c>
      <c r="D242" t="s">
        <v>471</v>
      </c>
      <c r="E242" t="s">
        <v>472</v>
      </c>
      <c r="F242" t="s">
        <v>168</v>
      </c>
      <c r="G242" t="s">
        <v>345</v>
      </c>
      <c r="H242" t="b">
        <v>0</v>
      </c>
      <c r="K242" t="b">
        <v>0</v>
      </c>
      <c r="L242" t="b">
        <v>0</v>
      </c>
      <c r="M242" t="s">
        <v>473</v>
      </c>
    </row>
    <row r="243" spans="1:25" x14ac:dyDescent="0.2">
      <c r="A243">
        <v>7003</v>
      </c>
      <c r="B243" t="s">
        <v>466</v>
      </c>
      <c r="C243" t="s">
        <v>18</v>
      </c>
      <c r="D243" t="s">
        <v>474</v>
      </c>
      <c r="E243" t="s">
        <v>475</v>
      </c>
      <c r="F243" t="s">
        <v>168</v>
      </c>
      <c r="G243" t="s">
        <v>345</v>
      </c>
      <c r="H243" t="b">
        <v>0</v>
      </c>
      <c r="K243" t="b">
        <v>0</v>
      </c>
      <c r="L243" t="b">
        <v>0</v>
      </c>
      <c r="M243" t="s">
        <v>476</v>
      </c>
    </row>
    <row r="244" spans="1:25" x14ac:dyDescent="0.2">
      <c r="A244">
        <v>7004</v>
      </c>
      <c r="B244" t="s">
        <v>466</v>
      </c>
      <c r="C244" t="s">
        <v>18</v>
      </c>
      <c r="D244" t="s">
        <v>477</v>
      </c>
      <c r="E244" t="s">
        <v>478</v>
      </c>
      <c r="F244" t="s">
        <v>168</v>
      </c>
      <c r="G244" t="s">
        <v>345</v>
      </c>
      <c r="H244" t="b">
        <v>0</v>
      </c>
      <c r="K244" t="b">
        <v>0</v>
      </c>
      <c r="L244" t="b">
        <v>0</v>
      </c>
    </row>
    <row r="245" spans="1:25" x14ac:dyDescent="0.2">
      <c r="A245">
        <v>7005</v>
      </c>
      <c r="B245" t="s">
        <v>466</v>
      </c>
      <c r="C245" t="s">
        <v>18</v>
      </c>
      <c r="D245" t="s">
        <v>479</v>
      </c>
      <c r="E245" t="s">
        <v>480</v>
      </c>
      <c r="F245" t="s">
        <v>168</v>
      </c>
      <c r="G245" t="s">
        <v>24</v>
      </c>
      <c r="H245" t="b">
        <v>0</v>
      </c>
      <c r="K245" t="b">
        <v>0</v>
      </c>
      <c r="L245" t="b">
        <v>0</v>
      </c>
      <c r="M245" t="s">
        <v>481</v>
      </c>
      <c r="N245" t="s">
        <v>482</v>
      </c>
    </row>
    <row r="247" spans="1:25" x14ac:dyDescent="0.2">
      <c r="A247" s="2">
        <v>7014</v>
      </c>
      <c r="B247" s="2" t="s">
        <v>483</v>
      </c>
      <c r="C247" s="2" t="s">
        <v>13</v>
      </c>
      <c r="D247" s="2" t="s">
        <v>484</v>
      </c>
      <c r="E247" s="2" t="s">
        <v>485</v>
      </c>
      <c r="F247" s="2" t="s">
        <v>78</v>
      </c>
      <c r="G247" s="2" t="s">
        <v>17</v>
      </c>
      <c r="H247" s="2"/>
      <c r="I247" s="2"/>
      <c r="J247" s="2"/>
      <c r="K247" s="2"/>
      <c r="L247" s="2"/>
      <c r="M247" s="2"/>
      <c r="N247" s="2"/>
      <c r="O247" s="2"/>
      <c r="P247" s="2"/>
      <c r="Q247" s="2"/>
      <c r="R247" s="2"/>
      <c r="S247" s="2"/>
      <c r="T247" s="2"/>
      <c r="U247" s="2"/>
      <c r="V247" s="2"/>
      <c r="W247" s="2"/>
      <c r="X247" s="2"/>
      <c r="Y247" s="2"/>
    </row>
    <row r="248" spans="1:25" x14ac:dyDescent="0.2">
      <c r="A248">
        <v>7015</v>
      </c>
      <c r="B248" t="s">
        <v>483</v>
      </c>
      <c r="C248" t="s">
        <v>18</v>
      </c>
      <c r="D248" t="s">
        <v>484</v>
      </c>
      <c r="E248" t="s">
        <v>486</v>
      </c>
      <c r="F248" t="s">
        <v>78</v>
      </c>
      <c r="G248" t="s">
        <v>17</v>
      </c>
      <c r="H248" t="b">
        <v>1</v>
      </c>
      <c r="I248" t="b">
        <v>1</v>
      </c>
      <c r="L248" t="b">
        <v>1</v>
      </c>
      <c r="M248" t="s">
        <v>487</v>
      </c>
    </row>
    <row r="249" spans="1:25" x14ac:dyDescent="0.2">
      <c r="A249">
        <v>7016</v>
      </c>
      <c r="B249" t="s">
        <v>483</v>
      </c>
      <c r="C249" t="s">
        <v>18</v>
      </c>
      <c r="D249" t="s">
        <v>488</v>
      </c>
      <c r="E249" t="s">
        <v>489</v>
      </c>
      <c r="F249" t="s">
        <v>78</v>
      </c>
      <c r="G249" t="s">
        <v>17</v>
      </c>
      <c r="H249" t="b">
        <v>1</v>
      </c>
      <c r="I249" t="b">
        <v>1</v>
      </c>
      <c r="L249" t="b">
        <v>1</v>
      </c>
      <c r="M249" t="s">
        <v>490</v>
      </c>
    </row>
    <row r="250" spans="1:25" x14ac:dyDescent="0.2">
      <c r="A250">
        <v>7017</v>
      </c>
      <c r="B250" t="s">
        <v>483</v>
      </c>
      <c r="C250" t="s">
        <v>18</v>
      </c>
      <c r="D250" t="s">
        <v>491</v>
      </c>
      <c r="E250" t="s">
        <v>492</v>
      </c>
      <c r="F250" t="s">
        <v>78</v>
      </c>
      <c r="G250" t="s">
        <v>17</v>
      </c>
      <c r="H250" t="b">
        <v>1</v>
      </c>
      <c r="I250" t="b">
        <v>1</v>
      </c>
      <c r="L250" t="b">
        <v>1</v>
      </c>
      <c r="M250" t="s">
        <v>493</v>
      </c>
    </row>
    <row r="251" spans="1:25" x14ac:dyDescent="0.2">
      <c r="A251">
        <v>7018</v>
      </c>
      <c r="B251" t="s">
        <v>483</v>
      </c>
      <c r="C251" t="s">
        <v>18</v>
      </c>
      <c r="D251" t="s">
        <v>494</v>
      </c>
      <c r="E251" t="s">
        <v>495</v>
      </c>
      <c r="F251" t="s">
        <v>78</v>
      </c>
      <c r="G251" t="s">
        <v>17</v>
      </c>
      <c r="H251" t="b">
        <v>0</v>
      </c>
      <c r="I251" t="b">
        <v>0</v>
      </c>
      <c r="L251" t="b">
        <v>0</v>
      </c>
    </row>
    <row r="252" spans="1:25" x14ac:dyDescent="0.2">
      <c r="A252">
        <v>7019</v>
      </c>
      <c r="B252" t="s">
        <v>483</v>
      </c>
      <c r="C252" t="s">
        <v>18</v>
      </c>
      <c r="D252" t="s">
        <v>496</v>
      </c>
      <c r="E252" t="s">
        <v>497</v>
      </c>
      <c r="F252" t="s">
        <v>78</v>
      </c>
      <c r="G252" t="s">
        <v>17</v>
      </c>
      <c r="H252" t="b">
        <v>0</v>
      </c>
      <c r="I252" t="b">
        <v>0</v>
      </c>
      <c r="L252" t="b">
        <v>0</v>
      </c>
      <c r="M252" t="s">
        <v>498</v>
      </c>
    </row>
    <row r="254" spans="1:25" x14ac:dyDescent="0.2">
      <c r="A254" s="2">
        <v>7021</v>
      </c>
      <c r="B254" s="2" t="s">
        <v>499</v>
      </c>
      <c r="C254" s="2" t="s">
        <v>13</v>
      </c>
      <c r="D254" s="2" t="s">
        <v>500</v>
      </c>
      <c r="E254" s="2" t="s">
        <v>501</v>
      </c>
      <c r="F254" s="2" t="s">
        <v>45</v>
      </c>
      <c r="G254" s="2" t="s">
        <v>502</v>
      </c>
      <c r="H254" s="2"/>
      <c r="I254" s="2"/>
      <c r="J254" s="2"/>
      <c r="K254" s="2"/>
      <c r="L254" s="2"/>
      <c r="M254" s="2"/>
      <c r="N254" s="2"/>
      <c r="O254" s="2"/>
      <c r="P254" s="2"/>
      <c r="Q254" s="2"/>
      <c r="R254" s="2"/>
      <c r="S254" s="2"/>
      <c r="T254" s="2"/>
      <c r="U254" s="2"/>
      <c r="V254" s="2"/>
      <c r="W254" s="2"/>
      <c r="X254" s="2"/>
      <c r="Y254" s="2"/>
    </row>
    <row r="255" spans="1:25" x14ac:dyDescent="0.2">
      <c r="A255">
        <v>7022</v>
      </c>
      <c r="B255" t="s">
        <v>499</v>
      </c>
      <c r="C255" t="s">
        <v>18</v>
      </c>
      <c r="D255" t="s">
        <v>500</v>
      </c>
      <c r="E255" t="s">
        <v>455</v>
      </c>
      <c r="F255" t="s">
        <v>45</v>
      </c>
      <c r="G255" t="s">
        <v>502</v>
      </c>
      <c r="H255" t="b">
        <v>1</v>
      </c>
      <c r="K255" t="b">
        <v>1</v>
      </c>
      <c r="L255" t="b">
        <v>1</v>
      </c>
    </row>
    <row r="256" spans="1:25" x14ac:dyDescent="0.2">
      <c r="A256">
        <v>7023</v>
      </c>
      <c r="B256" t="s">
        <v>499</v>
      </c>
      <c r="C256" t="s">
        <v>18</v>
      </c>
      <c r="D256" t="s">
        <v>503</v>
      </c>
      <c r="E256" t="s">
        <v>504</v>
      </c>
      <c r="F256" t="s">
        <v>45</v>
      </c>
      <c r="G256" t="s">
        <v>502</v>
      </c>
      <c r="H256" t="b">
        <v>1</v>
      </c>
      <c r="K256" t="b">
        <v>1</v>
      </c>
      <c r="L256" t="b">
        <v>1</v>
      </c>
      <c r="M256" t="s">
        <v>505</v>
      </c>
    </row>
    <row r="257" spans="1:25" x14ac:dyDescent="0.2">
      <c r="A257">
        <v>7024</v>
      </c>
      <c r="B257" t="s">
        <v>499</v>
      </c>
      <c r="C257" t="s">
        <v>18</v>
      </c>
      <c r="D257" t="s">
        <v>506</v>
      </c>
      <c r="E257" t="s">
        <v>507</v>
      </c>
      <c r="F257" t="s">
        <v>45</v>
      </c>
      <c r="G257" t="s">
        <v>24</v>
      </c>
      <c r="H257" t="b">
        <v>0</v>
      </c>
      <c r="K257" t="b">
        <v>0</v>
      </c>
      <c r="L257" t="b">
        <v>0</v>
      </c>
    </row>
    <row r="258" spans="1:25" x14ac:dyDescent="0.2">
      <c r="A258">
        <v>7025</v>
      </c>
      <c r="B258" t="s">
        <v>499</v>
      </c>
      <c r="C258" t="s">
        <v>18</v>
      </c>
      <c r="D258" t="s">
        <v>508</v>
      </c>
      <c r="E258" t="s">
        <v>509</v>
      </c>
      <c r="F258" t="s">
        <v>510</v>
      </c>
      <c r="G258" t="s">
        <v>502</v>
      </c>
      <c r="H258" t="b">
        <v>0</v>
      </c>
      <c r="K258" t="b">
        <v>0</v>
      </c>
      <c r="L258" t="b">
        <v>0</v>
      </c>
    </row>
    <row r="259" spans="1:25" x14ac:dyDescent="0.2">
      <c r="A259">
        <v>7026</v>
      </c>
      <c r="B259" t="s">
        <v>499</v>
      </c>
      <c r="C259" t="s">
        <v>18</v>
      </c>
      <c r="D259" t="s">
        <v>511</v>
      </c>
      <c r="E259" t="s">
        <v>512</v>
      </c>
      <c r="F259" t="s">
        <v>45</v>
      </c>
      <c r="G259" t="s">
        <v>24</v>
      </c>
      <c r="H259" t="b">
        <v>0</v>
      </c>
      <c r="K259" t="b">
        <v>0</v>
      </c>
      <c r="L259" t="b">
        <v>0</v>
      </c>
    </row>
    <row r="261" spans="1:25" x14ac:dyDescent="0.2">
      <c r="A261" s="2">
        <v>7035</v>
      </c>
      <c r="B261" s="2" t="s">
        <v>513</v>
      </c>
      <c r="C261" s="2" t="s">
        <v>13</v>
      </c>
      <c r="D261" s="2" t="s">
        <v>514</v>
      </c>
      <c r="E261" s="2" t="s">
        <v>515</v>
      </c>
      <c r="F261" s="2" t="s">
        <v>45</v>
      </c>
      <c r="G261" s="2" t="s">
        <v>17</v>
      </c>
      <c r="H261" s="2"/>
      <c r="I261" s="2"/>
      <c r="J261" s="2"/>
      <c r="K261" s="2"/>
      <c r="L261" s="2"/>
      <c r="M261" s="2"/>
      <c r="N261" s="2"/>
      <c r="O261" s="2"/>
      <c r="P261" s="2"/>
      <c r="Q261" s="2"/>
      <c r="R261" s="2"/>
      <c r="S261" s="2"/>
      <c r="T261" s="2"/>
      <c r="U261" s="2"/>
      <c r="V261" s="2"/>
      <c r="W261" s="2"/>
      <c r="X261" s="2"/>
      <c r="Y261" s="2"/>
    </row>
    <row r="262" spans="1:25" x14ac:dyDescent="0.2">
      <c r="A262">
        <v>7036</v>
      </c>
      <c r="B262" t="s">
        <v>513</v>
      </c>
      <c r="C262" t="s">
        <v>18</v>
      </c>
      <c r="D262" t="s">
        <v>514</v>
      </c>
      <c r="E262" t="s">
        <v>392</v>
      </c>
      <c r="F262" t="s">
        <v>45</v>
      </c>
      <c r="G262" t="s">
        <v>17</v>
      </c>
      <c r="H262" t="b">
        <v>1</v>
      </c>
      <c r="K262" t="b">
        <v>1</v>
      </c>
      <c r="L262" t="b">
        <v>1</v>
      </c>
    </row>
    <row r="263" spans="1:25" x14ac:dyDescent="0.2">
      <c r="A263">
        <v>7037</v>
      </c>
      <c r="B263" t="s">
        <v>513</v>
      </c>
      <c r="C263" t="s">
        <v>18</v>
      </c>
      <c r="D263" t="s">
        <v>516</v>
      </c>
      <c r="E263" t="s">
        <v>517</v>
      </c>
      <c r="F263" t="s">
        <v>45</v>
      </c>
      <c r="G263" t="s">
        <v>17</v>
      </c>
      <c r="H263" t="b">
        <v>1</v>
      </c>
      <c r="K263" t="b">
        <v>1</v>
      </c>
      <c r="L263" t="b">
        <v>1</v>
      </c>
      <c r="M263" t="s">
        <v>518</v>
      </c>
    </row>
    <row r="264" spans="1:25" x14ac:dyDescent="0.2">
      <c r="A264">
        <v>7038</v>
      </c>
      <c r="B264" t="s">
        <v>513</v>
      </c>
      <c r="C264" t="s">
        <v>18</v>
      </c>
      <c r="D264" t="s">
        <v>519</v>
      </c>
      <c r="E264" t="s">
        <v>520</v>
      </c>
      <c r="F264" t="s">
        <v>45</v>
      </c>
      <c r="G264" t="s">
        <v>17</v>
      </c>
      <c r="H264" t="b">
        <v>0</v>
      </c>
      <c r="K264" t="b">
        <v>0</v>
      </c>
      <c r="L264" t="b">
        <v>0</v>
      </c>
    </row>
    <row r="265" spans="1:25" x14ac:dyDescent="0.2">
      <c r="A265">
        <v>7039</v>
      </c>
      <c r="B265" t="s">
        <v>513</v>
      </c>
      <c r="C265" t="s">
        <v>18</v>
      </c>
      <c r="D265" t="s">
        <v>521</v>
      </c>
      <c r="E265" t="s">
        <v>522</v>
      </c>
      <c r="F265" t="s">
        <v>45</v>
      </c>
      <c r="G265" t="s">
        <v>17</v>
      </c>
      <c r="H265" t="b">
        <v>0</v>
      </c>
      <c r="K265" t="b">
        <v>0</v>
      </c>
      <c r="L265" t="b">
        <v>0</v>
      </c>
      <c r="M265" t="s">
        <v>523</v>
      </c>
    </row>
    <row r="266" spans="1:25" x14ac:dyDescent="0.2">
      <c r="A266">
        <v>7040</v>
      </c>
      <c r="B266" t="s">
        <v>513</v>
      </c>
      <c r="C266" t="s">
        <v>18</v>
      </c>
      <c r="D266" t="s">
        <v>506</v>
      </c>
      <c r="E266" t="s">
        <v>507</v>
      </c>
      <c r="F266" t="s">
        <v>45</v>
      </c>
      <c r="G266" t="s">
        <v>24</v>
      </c>
      <c r="H266" t="b">
        <v>0</v>
      </c>
      <c r="K266" t="b">
        <v>0</v>
      </c>
      <c r="L266" t="b">
        <v>0</v>
      </c>
    </row>
    <row r="268" spans="1:25" x14ac:dyDescent="0.2">
      <c r="A268" s="2">
        <v>7042</v>
      </c>
      <c r="B268" s="2" t="s">
        <v>524</v>
      </c>
      <c r="C268" s="2" t="s">
        <v>13</v>
      </c>
      <c r="D268" s="2" t="s">
        <v>525</v>
      </c>
      <c r="E268" s="2" t="s">
        <v>526</v>
      </c>
      <c r="F268" s="2" t="s">
        <v>144</v>
      </c>
      <c r="G268" s="2" t="s">
        <v>62</v>
      </c>
      <c r="H268" s="2"/>
      <c r="I268" s="2"/>
      <c r="J268" s="2"/>
      <c r="K268" s="2"/>
      <c r="L268" s="2"/>
      <c r="M268" s="2"/>
      <c r="N268" s="2"/>
      <c r="O268" s="2"/>
      <c r="P268" s="2"/>
      <c r="Q268" s="2"/>
      <c r="R268" s="2"/>
      <c r="S268" s="2"/>
      <c r="T268" s="2"/>
      <c r="U268" s="2"/>
      <c r="V268" s="2"/>
      <c r="W268" s="2"/>
      <c r="X268" s="2"/>
      <c r="Y268" s="2"/>
    </row>
    <row r="269" spans="1:25" x14ac:dyDescent="0.2">
      <c r="A269">
        <v>7043</v>
      </c>
      <c r="B269" t="s">
        <v>524</v>
      </c>
      <c r="C269" t="s">
        <v>18</v>
      </c>
      <c r="D269" t="s">
        <v>525</v>
      </c>
      <c r="E269" t="s">
        <v>527</v>
      </c>
      <c r="F269" t="s">
        <v>144</v>
      </c>
      <c r="G269" t="s">
        <v>62</v>
      </c>
      <c r="H269" t="b">
        <v>1</v>
      </c>
      <c r="K269" t="b">
        <v>1</v>
      </c>
      <c r="L269" t="b">
        <v>1</v>
      </c>
      <c r="M269" t="s">
        <v>528</v>
      </c>
    </row>
    <row r="270" spans="1:25" x14ac:dyDescent="0.2">
      <c r="A270">
        <v>7044</v>
      </c>
      <c r="B270" t="s">
        <v>524</v>
      </c>
      <c r="C270" t="s">
        <v>18</v>
      </c>
      <c r="D270" t="s">
        <v>529</v>
      </c>
      <c r="E270" t="s">
        <v>530</v>
      </c>
      <c r="F270" t="s">
        <v>144</v>
      </c>
      <c r="G270" t="s">
        <v>62</v>
      </c>
      <c r="H270" t="b">
        <v>1</v>
      </c>
      <c r="K270" t="b">
        <v>1</v>
      </c>
      <c r="L270" t="b">
        <v>1</v>
      </c>
      <c r="M270" t="s">
        <v>531</v>
      </c>
    </row>
    <row r="271" spans="1:25" x14ac:dyDescent="0.2">
      <c r="A271">
        <v>7045</v>
      </c>
      <c r="B271" t="s">
        <v>524</v>
      </c>
      <c r="C271" t="s">
        <v>18</v>
      </c>
      <c r="D271" t="s">
        <v>532</v>
      </c>
      <c r="E271" t="s">
        <v>533</v>
      </c>
      <c r="F271" t="s">
        <v>144</v>
      </c>
      <c r="G271" t="s">
        <v>62</v>
      </c>
      <c r="H271" t="b">
        <v>0</v>
      </c>
      <c r="K271" t="b">
        <v>0</v>
      </c>
      <c r="L271" t="b">
        <v>0</v>
      </c>
    </row>
    <row r="272" spans="1:25" x14ac:dyDescent="0.2">
      <c r="A272">
        <v>7046</v>
      </c>
      <c r="B272" t="s">
        <v>524</v>
      </c>
      <c r="C272" t="s">
        <v>18</v>
      </c>
      <c r="D272" t="s">
        <v>355</v>
      </c>
      <c r="E272" t="s">
        <v>356</v>
      </c>
      <c r="F272" t="s">
        <v>174</v>
      </c>
      <c r="G272" t="s">
        <v>62</v>
      </c>
      <c r="H272" t="b">
        <v>0</v>
      </c>
      <c r="K272" t="b">
        <v>0</v>
      </c>
      <c r="L272" t="b">
        <v>0</v>
      </c>
      <c r="M272" t="s">
        <v>534</v>
      </c>
    </row>
    <row r="273" spans="1:25" x14ac:dyDescent="0.2">
      <c r="A273">
        <v>7047</v>
      </c>
      <c r="B273" t="s">
        <v>524</v>
      </c>
      <c r="C273" t="s">
        <v>18</v>
      </c>
      <c r="D273" t="s">
        <v>535</v>
      </c>
      <c r="E273" t="s">
        <v>536</v>
      </c>
      <c r="F273" t="s">
        <v>82</v>
      </c>
      <c r="G273" t="s">
        <v>88</v>
      </c>
      <c r="H273" t="b">
        <v>0</v>
      </c>
      <c r="K273" t="b">
        <v>0</v>
      </c>
      <c r="L273" t="b">
        <v>0</v>
      </c>
    </row>
    <row r="275" spans="1:25" x14ac:dyDescent="0.2">
      <c r="A275" s="2">
        <v>7070</v>
      </c>
      <c r="B275" s="2" t="s">
        <v>537</v>
      </c>
      <c r="C275" s="2" t="s">
        <v>13</v>
      </c>
      <c r="D275" s="2" t="s">
        <v>538</v>
      </c>
      <c r="E275" s="2" t="s">
        <v>539</v>
      </c>
      <c r="F275" s="2" t="s">
        <v>31</v>
      </c>
      <c r="G275" s="2" t="s">
        <v>17</v>
      </c>
      <c r="H275" s="2"/>
      <c r="I275" s="2"/>
      <c r="J275" s="2"/>
      <c r="K275" s="2"/>
      <c r="L275" s="2"/>
      <c r="M275" s="2"/>
      <c r="N275" s="2"/>
      <c r="O275" s="2"/>
      <c r="P275" s="2"/>
      <c r="Q275" s="2"/>
      <c r="R275" s="2"/>
      <c r="S275" s="2"/>
      <c r="T275" s="2"/>
      <c r="U275" s="2"/>
      <c r="V275" s="2"/>
      <c r="W275" s="2"/>
      <c r="X275" s="2"/>
      <c r="Y275" s="2"/>
    </row>
    <row r="276" spans="1:25" x14ac:dyDescent="0.2">
      <c r="A276">
        <v>7071</v>
      </c>
      <c r="B276" t="s">
        <v>537</v>
      </c>
      <c r="C276" t="s">
        <v>18</v>
      </c>
      <c r="D276" t="s">
        <v>538</v>
      </c>
      <c r="E276" t="s">
        <v>540</v>
      </c>
      <c r="F276" t="s">
        <v>31</v>
      </c>
      <c r="G276" t="s">
        <v>17</v>
      </c>
      <c r="H276" t="b">
        <v>1</v>
      </c>
      <c r="K276" t="b">
        <v>1</v>
      </c>
      <c r="L276" t="b">
        <v>1</v>
      </c>
      <c r="M276" t="s">
        <v>541</v>
      </c>
      <c r="N276" t="s">
        <v>542</v>
      </c>
    </row>
    <row r="277" spans="1:25" x14ac:dyDescent="0.2">
      <c r="A277">
        <v>7072</v>
      </c>
      <c r="B277" t="s">
        <v>537</v>
      </c>
      <c r="C277" t="s">
        <v>18</v>
      </c>
      <c r="D277" t="s">
        <v>543</v>
      </c>
      <c r="E277" t="s">
        <v>544</v>
      </c>
      <c r="F277" t="s">
        <v>20</v>
      </c>
      <c r="G277" t="s">
        <v>17</v>
      </c>
      <c r="H277" t="b">
        <v>0</v>
      </c>
      <c r="K277" t="b">
        <v>0</v>
      </c>
      <c r="L277" t="b">
        <v>0</v>
      </c>
      <c r="M277" t="s">
        <v>545</v>
      </c>
      <c r="N277" t="s">
        <v>546</v>
      </c>
    </row>
    <row r="278" spans="1:25" x14ac:dyDescent="0.2">
      <c r="A278">
        <v>7073</v>
      </c>
      <c r="B278" t="s">
        <v>537</v>
      </c>
      <c r="C278" t="s">
        <v>18</v>
      </c>
      <c r="D278" t="s">
        <v>547</v>
      </c>
      <c r="E278" t="s">
        <v>548</v>
      </c>
      <c r="F278" t="s">
        <v>78</v>
      </c>
      <c r="G278" t="s">
        <v>17</v>
      </c>
      <c r="H278" t="b">
        <v>0</v>
      </c>
      <c r="K278" t="b">
        <v>0</v>
      </c>
      <c r="L278" t="b">
        <v>0</v>
      </c>
      <c r="M278" t="s">
        <v>549</v>
      </c>
      <c r="N278" t="s">
        <v>550</v>
      </c>
      <c r="O278" t="s">
        <v>551</v>
      </c>
    </row>
    <row r="279" spans="1:25" x14ac:dyDescent="0.2">
      <c r="A279">
        <v>7074</v>
      </c>
      <c r="B279" t="s">
        <v>537</v>
      </c>
      <c r="C279" t="s">
        <v>18</v>
      </c>
      <c r="D279" t="s">
        <v>552</v>
      </c>
      <c r="E279" t="s">
        <v>553</v>
      </c>
      <c r="F279" t="s">
        <v>174</v>
      </c>
      <c r="G279" t="s">
        <v>17</v>
      </c>
      <c r="H279" t="b">
        <v>0</v>
      </c>
      <c r="K279" t="b">
        <v>0</v>
      </c>
      <c r="L279" t="b">
        <v>0</v>
      </c>
      <c r="M279" t="s">
        <v>554</v>
      </c>
    </row>
    <row r="280" spans="1:25" x14ac:dyDescent="0.2">
      <c r="A280">
        <v>7075</v>
      </c>
      <c r="B280" t="s">
        <v>537</v>
      </c>
      <c r="C280" t="s">
        <v>18</v>
      </c>
      <c r="D280" t="s">
        <v>555</v>
      </c>
      <c r="E280" t="s">
        <v>556</v>
      </c>
      <c r="F280" t="s">
        <v>78</v>
      </c>
      <c r="G280" t="s">
        <v>17</v>
      </c>
      <c r="H280" t="b">
        <v>0</v>
      </c>
      <c r="K280" t="b">
        <v>0</v>
      </c>
      <c r="L280" t="b">
        <v>0</v>
      </c>
      <c r="M280" t="s">
        <v>557</v>
      </c>
    </row>
    <row r="282" spans="1:25" x14ac:dyDescent="0.2">
      <c r="A282" s="2">
        <v>7084</v>
      </c>
      <c r="B282" s="2" t="s">
        <v>558</v>
      </c>
      <c r="C282" s="2" t="s">
        <v>13</v>
      </c>
      <c r="D282" s="2" t="s">
        <v>559</v>
      </c>
      <c r="E282" s="2" t="s">
        <v>560</v>
      </c>
      <c r="F282" s="2" t="s">
        <v>561</v>
      </c>
      <c r="G282" s="2" t="s">
        <v>193</v>
      </c>
      <c r="H282" s="2"/>
      <c r="I282" s="2"/>
      <c r="J282" s="2"/>
      <c r="K282" s="2"/>
      <c r="L282" s="2"/>
      <c r="M282" s="2"/>
      <c r="N282" s="2"/>
      <c r="O282" s="2"/>
      <c r="P282" s="2"/>
      <c r="Q282" s="2"/>
      <c r="R282" s="2"/>
      <c r="S282" s="2"/>
      <c r="T282" s="2"/>
      <c r="U282" s="2"/>
      <c r="V282" s="2"/>
      <c r="W282" s="2"/>
      <c r="X282" s="2"/>
      <c r="Y282" s="2"/>
    </row>
    <row r="283" spans="1:25" x14ac:dyDescent="0.2">
      <c r="A283">
        <v>7085</v>
      </c>
      <c r="B283" t="s">
        <v>558</v>
      </c>
      <c r="C283" t="s">
        <v>18</v>
      </c>
      <c r="D283" t="s">
        <v>559</v>
      </c>
      <c r="E283" t="s">
        <v>560</v>
      </c>
      <c r="F283" t="s">
        <v>561</v>
      </c>
      <c r="G283" t="s">
        <v>193</v>
      </c>
      <c r="H283" t="b">
        <v>1</v>
      </c>
      <c r="I283" t="b">
        <v>1</v>
      </c>
      <c r="L283" t="b">
        <v>1</v>
      </c>
      <c r="M283" t="s">
        <v>562</v>
      </c>
      <c r="N283" t="s">
        <v>563</v>
      </c>
    </row>
    <row r="284" spans="1:25" x14ac:dyDescent="0.2">
      <c r="A284">
        <v>7086</v>
      </c>
      <c r="B284" t="s">
        <v>558</v>
      </c>
      <c r="C284" t="s">
        <v>18</v>
      </c>
      <c r="D284" t="s">
        <v>564</v>
      </c>
      <c r="E284" t="s">
        <v>565</v>
      </c>
      <c r="F284" t="s">
        <v>566</v>
      </c>
      <c r="G284" t="s">
        <v>193</v>
      </c>
      <c r="H284" t="b">
        <v>0</v>
      </c>
      <c r="I284" t="b">
        <v>0</v>
      </c>
      <c r="L284" t="b">
        <v>0</v>
      </c>
      <c r="M284" t="s">
        <v>567</v>
      </c>
      <c r="N284" t="s">
        <v>568</v>
      </c>
    </row>
    <row r="285" spans="1:25" x14ac:dyDescent="0.2">
      <c r="A285">
        <v>7087</v>
      </c>
      <c r="B285" t="s">
        <v>558</v>
      </c>
      <c r="C285" t="s">
        <v>18</v>
      </c>
      <c r="D285" t="s">
        <v>569</v>
      </c>
      <c r="E285" t="s">
        <v>570</v>
      </c>
      <c r="F285" t="s">
        <v>561</v>
      </c>
      <c r="G285" t="s">
        <v>17</v>
      </c>
      <c r="H285" t="b">
        <v>0</v>
      </c>
      <c r="I285" t="b">
        <v>0</v>
      </c>
      <c r="L285" t="b">
        <v>0</v>
      </c>
      <c r="M285" t="s">
        <v>571</v>
      </c>
    </row>
    <row r="286" spans="1:25" x14ac:dyDescent="0.2">
      <c r="A286">
        <v>7088</v>
      </c>
      <c r="B286" t="s">
        <v>558</v>
      </c>
      <c r="C286" t="s">
        <v>18</v>
      </c>
      <c r="D286" t="s">
        <v>572</v>
      </c>
      <c r="E286" t="s">
        <v>573</v>
      </c>
      <c r="F286" t="s">
        <v>574</v>
      </c>
      <c r="G286" t="s">
        <v>193</v>
      </c>
      <c r="H286" t="b">
        <v>0</v>
      </c>
      <c r="I286" t="b">
        <v>0</v>
      </c>
      <c r="L286" t="b">
        <v>0</v>
      </c>
    </row>
    <row r="287" spans="1:25" x14ac:dyDescent="0.2">
      <c r="A287">
        <v>7089</v>
      </c>
      <c r="B287" t="s">
        <v>558</v>
      </c>
      <c r="C287" t="s">
        <v>18</v>
      </c>
      <c r="D287" t="s">
        <v>575</v>
      </c>
      <c r="E287" t="s">
        <v>576</v>
      </c>
      <c r="F287" t="s">
        <v>561</v>
      </c>
      <c r="G287" t="s">
        <v>62</v>
      </c>
      <c r="H287" t="b">
        <v>0</v>
      </c>
      <c r="I287" t="b">
        <v>0</v>
      </c>
      <c r="L287" t="b">
        <v>0</v>
      </c>
      <c r="M287" t="s">
        <v>577</v>
      </c>
      <c r="N287" t="s">
        <v>578</v>
      </c>
    </row>
    <row r="289" spans="1:25" x14ac:dyDescent="0.2">
      <c r="A289" s="2">
        <v>7098</v>
      </c>
      <c r="B289" s="2" t="s">
        <v>579</v>
      </c>
      <c r="C289" s="2" t="s">
        <v>13</v>
      </c>
      <c r="D289" s="2" t="s">
        <v>580</v>
      </c>
      <c r="E289" s="2" t="s">
        <v>581</v>
      </c>
      <c r="F289" s="2" t="s">
        <v>205</v>
      </c>
      <c r="G289" s="2" t="s">
        <v>417</v>
      </c>
      <c r="H289" s="2"/>
      <c r="I289" s="2"/>
      <c r="J289" s="2"/>
      <c r="K289" s="2"/>
      <c r="L289" s="2"/>
      <c r="M289" s="2"/>
      <c r="N289" s="2"/>
      <c r="O289" s="2"/>
      <c r="P289" s="2"/>
      <c r="Q289" s="2"/>
      <c r="R289" s="2"/>
      <c r="S289" s="2"/>
      <c r="T289" s="2"/>
      <c r="U289" s="2"/>
      <c r="V289" s="2"/>
      <c r="W289" s="2"/>
      <c r="X289" s="2"/>
      <c r="Y289" s="2"/>
    </row>
    <row r="290" spans="1:25" x14ac:dyDescent="0.2">
      <c r="A290">
        <v>7099</v>
      </c>
      <c r="B290" t="s">
        <v>579</v>
      </c>
      <c r="C290" t="s">
        <v>18</v>
      </c>
      <c r="D290" t="s">
        <v>580</v>
      </c>
      <c r="E290" t="s">
        <v>582</v>
      </c>
      <c r="F290" t="s">
        <v>205</v>
      </c>
      <c r="G290" t="s">
        <v>417</v>
      </c>
      <c r="H290" t="b">
        <v>1</v>
      </c>
      <c r="K290" t="b">
        <v>1</v>
      </c>
      <c r="L290" t="b">
        <v>1</v>
      </c>
    </row>
    <row r="291" spans="1:25" x14ac:dyDescent="0.2">
      <c r="A291">
        <v>7100</v>
      </c>
      <c r="B291" t="s">
        <v>579</v>
      </c>
      <c r="C291" t="s">
        <v>18</v>
      </c>
      <c r="D291" t="s">
        <v>583</v>
      </c>
      <c r="E291" t="s">
        <v>584</v>
      </c>
      <c r="F291" t="s">
        <v>369</v>
      </c>
      <c r="G291" t="s">
        <v>417</v>
      </c>
      <c r="H291" t="b">
        <v>0</v>
      </c>
      <c r="K291" t="b">
        <v>0</v>
      </c>
      <c r="L291" t="b">
        <v>0</v>
      </c>
      <c r="M291" t="s">
        <v>585</v>
      </c>
      <c r="N291" t="s">
        <v>586</v>
      </c>
    </row>
    <row r="292" spans="1:25" x14ac:dyDescent="0.2">
      <c r="A292">
        <v>7101</v>
      </c>
      <c r="B292" t="s">
        <v>579</v>
      </c>
      <c r="C292" t="s">
        <v>18</v>
      </c>
      <c r="D292" t="s">
        <v>587</v>
      </c>
      <c r="E292" t="s">
        <v>588</v>
      </c>
      <c r="F292" t="s">
        <v>264</v>
      </c>
      <c r="G292" t="s">
        <v>417</v>
      </c>
      <c r="H292" t="b">
        <v>0</v>
      </c>
      <c r="K292" t="b">
        <v>0</v>
      </c>
      <c r="L292" t="b">
        <v>0</v>
      </c>
      <c r="M292" t="s">
        <v>589</v>
      </c>
    </row>
    <row r="293" spans="1:25" x14ac:dyDescent="0.2">
      <c r="A293">
        <v>7102</v>
      </c>
      <c r="B293" t="s">
        <v>579</v>
      </c>
      <c r="C293" t="s">
        <v>18</v>
      </c>
      <c r="D293" t="s">
        <v>590</v>
      </c>
      <c r="E293" t="s">
        <v>591</v>
      </c>
      <c r="F293" t="s">
        <v>369</v>
      </c>
      <c r="G293" t="s">
        <v>417</v>
      </c>
      <c r="H293" t="b">
        <v>0</v>
      </c>
      <c r="K293" t="b">
        <v>0</v>
      </c>
      <c r="L293" t="b">
        <v>0</v>
      </c>
      <c r="M293" t="s">
        <v>592</v>
      </c>
      <c r="N293" t="s">
        <v>593</v>
      </c>
    </row>
    <row r="294" spans="1:25" x14ac:dyDescent="0.2">
      <c r="A294">
        <v>7103</v>
      </c>
      <c r="B294" t="s">
        <v>579</v>
      </c>
      <c r="C294" t="s">
        <v>18</v>
      </c>
      <c r="D294" t="s">
        <v>594</v>
      </c>
      <c r="E294" t="s">
        <v>595</v>
      </c>
      <c r="F294" t="s">
        <v>596</v>
      </c>
      <c r="G294" t="s">
        <v>88</v>
      </c>
      <c r="H294" t="b">
        <v>0</v>
      </c>
      <c r="K294" t="b">
        <v>0</v>
      </c>
      <c r="L294" t="b">
        <v>0</v>
      </c>
      <c r="M294" t="s">
        <v>597</v>
      </c>
      <c r="N294" t="s">
        <v>598</v>
      </c>
    </row>
    <row r="296" spans="1:25" x14ac:dyDescent="0.2">
      <c r="A296" s="2">
        <v>7105</v>
      </c>
      <c r="B296" s="2" t="s">
        <v>599</v>
      </c>
      <c r="C296" s="2" t="s">
        <v>13</v>
      </c>
      <c r="D296" s="2" t="s">
        <v>600</v>
      </c>
      <c r="E296" s="2" t="s">
        <v>601</v>
      </c>
      <c r="F296" s="2" t="s">
        <v>205</v>
      </c>
      <c r="G296" s="2" t="s">
        <v>32</v>
      </c>
      <c r="H296" s="2"/>
      <c r="I296" s="2"/>
      <c r="J296" s="2"/>
      <c r="K296" s="2"/>
      <c r="L296" s="2"/>
      <c r="M296" s="2"/>
      <c r="N296" s="2"/>
      <c r="O296" s="2"/>
      <c r="P296" s="2"/>
      <c r="Q296" s="2"/>
      <c r="R296" s="2"/>
      <c r="S296" s="2"/>
      <c r="T296" s="2"/>
      <c r="U296" s="2"/>
      <c r="V296" s="2"/>
      <c r="W296" s="2"/>
      <c r="X296" s="2"/>
      <c r="Y296" s="2"/>
    </row>
    <row r="297" spans="1:25" x14ac:dyDescent="0.2">
      <c r="A297">
        <v>7106</v>
      </c>
      <c r="B297" t="s">
        <v>599</v>
      </c>
      <c r="C297" t="s">
        <v>18</v>
      </c>
      <c r="D297" t="s">
        <v>600</v>
      </c>
      <c r="E297" t="s">
        <v>601</v>
      </c>
      <c r="F297" t="s">
        <v>205</v>
      </c>
      <c r="G297" t="s">
        <v>32</v>
      </c>
      <c r="H297" t="b">
        <v>1</v>
      </c>
      <c r="K297" t="b">
        <v>1</v>
      </c>
      <c r="L297" t="b">
        <v>1</v>
      </c>
      <c r="M297" t="s">
        <v>602</v>
      </c>
      <c r="N297" t="s">
        <v>603</v>
      </c>
    </row>
    <row r="298" spans="1:25" x14ac:dyDescent="0.2">
      <c r="A298">
        <v>7107</v>
      </c>
      <c r="B298" t="s">
        <v>599</v>
      </c>
      <c r="C298" t="s">
        <v>18</v>
      </c>
      <c r="D298" t="s">
        <v>604</v>
      </c>
      <c r="E298" t="s">
        <v>605</v>
      </c>
      <c r="F298" t="s">
        <v>151</v>
      </c>
      <c r="G298" t="s">
        <v>24</v>
      </c>
      <c r="H298" t="b">
        <v>0</v>
      </c>
      <c r="K298" t="b">
        <v>0</v>
      </c>
      <c r="L298" t="b">
        <v>0</v>
      </c>
      <c r="M298" t="s">
        <v>606</v>
      </c>
      <c r="N298" t="s">
        <v>607</v>
      </c>
    </row>
    <row r="299" spans="1:25" x14ac:dyDescent="0.2">
      <c r="A299">
        <v>7108</v>
      </c>
      <c r="B299" t="s">
        <v>599</v>
      </c>
      <c r="C299" t="s">
        <v>18</v>
      </c>
      <c r="D299" t="s">
        <v>608</v>
      </c>
      <c r="E299" t="s">
        <v>609</v>
      </c>
      <c r="F299" t="s">
        <v>82</v>
      </c>
      <c r="G299" t="s">
        <v>32</v>
      </c>
      <c r="H299" t="b">
        <v>0</v>
      </c>
      <c r="K299" t="b">
        <v>0</v>
      </c>
      <c r="L299" t="b">
        <v>0</v>
      </c>
      <c r="M299" t="s">
        <v>610</v>
      </c>
      <c r="N299" t="s">
        <v>611</v>
      </c>
    </row>
    <row r="300" spans="1:25" x14ac:dyDescent="0.2">
      <c r="A300">
        <v>7109</v>
      </c>
      <c r="B300" t="s">
        <v>599</v>
      </c>
      <c r="C300" t="s">
        <v>18</v>
      </c>
      <c r="D300" t="s">
        <v>612</v>
      </c>
      <c r="E300" t="s">
        <v>613</v>
      </c>
      <c r="F300" t="s">
        <v>23</v>
      </c>
      <c r="G300" t="s">
        <v>32</v>
      </c>
      <c r="H300" t="b">
        <v>0</v>
      </c>
      <c r="K300" t="b">
        <v>0</v>
      </c>
      <c r="L300" t="b">
        <v>0</v>
      </c>
    </row>
    <row r="301" spans="1:25" x14ac:dyDescent="0.2">
      <c r="A301">
        <v>7110</v>
      </c>
      <c r="B301" t="s">
        <v>599</v>
      </c>
      <c r="C301" t="s">
        <v>18</v>
      </c>
      <c r="D301" t="s">
        <v>614</v>
      </c>
      <c r="E301" t="s">
        <v>615</v>
      </c>
      <c r="F301" t="s">
        <v>616</v>
      </c>
      <c r="G301" t="s">
        <v>32</v>
      </c>
      <c r="H301" t="b">
        <v>0</v>
      </c>
      <c r="K301" t="b">
        <v>0</v>
      </c>
      <c r="L301" t="b">
        <v>0</v>
      </c>
      <c r="M301" t="s">
        <v>617</v>
      </c>
    </row>
    <row r="303" spans="1:25" x14ac:dyDescent="0.2">
      <c r="A303" s="2">
        <v>7119</v>
      </c>
      <c r="B303" s="2" t="s">
        <v>618</v>
      </c>
      <c r="C303" s="2" t="s">
        <v>13</v>
      </c>
      <c r="D303" s="2" t="s">
        <v>619</v>
      </c>
      <c r="E303" s="2" t="s">
        <v>620</v>
      </c>
      <c r="F303" s="2" t="s">
        <v>27</v>
      </c>
      <c r="G303" s="2" t="s">
        <v>62</v>
      </c>
      <c r="H303" s="2"/>
      <c r="I303" s="2"/>
      <c r="J303" s="2"/>
      <c r="K303" s="2"/>
      <c r="L303" s="2"/>
      <c r="M303" s="2"/>
      <c r="N303" s="2"/>
      <c r="O303" s="2"/>
      <c r="P303" s="2"/>
      <c r="Q303" s="2"/>
      <c r="R303" s="2"/>
      <c r="S303" s="2"/>
      <c r="T303" s="2"/>
      <c r="U303" s="2"/>
      <c r="V303" s="2"/>
      <c r="W303" s="2"/>
      <c r="X303" s="2"/>
      <c r="Y303" s="2"/>
    </row>
    <row r="304" spans="1:25" x14ac:dyDescent="0.2">
      <c r="A304">
        <v>7120</v>
      </c>
      <c r="B304" t="s">
        <v>618</v>
      </c>
      <c r="C304" t="s">
        <v>18</v>
      </c>
      <c r="D304" t="s">
        <v>621</v>
      </c>
      <c r="E304" t="s">
        <v>622</v>
      </c>
      <c r="F304" t="s">
        <v>27</v>
      </c>
      <c r="G304" t="s">
        <v>62</v>
      </c>
      <c r="H304" t="b">
        <v>0</v>
      </c>
      <c r="I304" t="b">
        <v>0</v>
      </c>
      <c r="L304" t="b">
        <v>0</v>
      </c>
      <c r="M304" t="s">
        <v>623</v>
      </c>
    </row>
    <row r="305" spans="1:25" x14ac:dyDescent="0.2">
      <c r="A305">
        <v>7121</v>
      </c>
      <c r="B305" t="s">
        <v>618</v>
      </c>
      <c r="C305" t="s">
        <v>18</v>
      </c>
      <c r="D305" t="s">
        <v>624</v>
      </c>
      <c r="E305" t="s">
        <v>625</v>
      </c>
      <c r="F305" t="s">
        <v>27</v>
      </c>
      <c r="G305" t="s">
        <v>62</v>
      </c>
      <c r="H305" t="b">
        <v>0</v>
      </c>
      <c r="I305" t="b">
        <v>0</v>
      </c>
      <c r="L305" t="b">
        <v>0</v>
      </c>
    </row>
    <row r="306" spans="1:25" x14ac:dyDescent="0.2">
      <c r="A306">
        <v>7122</v>
      </c>
      <c r="B306" t="s">
        <v>618</v>
      </c>
      <c r="C306" t="s">
        <v>18</v>
      </c>
      <c r="D306" t="s">
        <v>626</v>
      </c>
      <c r="E306" t="s">
        <v>627</v>
      </c>
      <c r="F306" t="s">
        <v>248</v>
      </c>
      <c r="G306" t="s">
        <v>62</v>
      </c>
      <c r="H306" t="b">
        <v>0</v>
      </c>
      <c r="I306" t="b">
        <v>0</v>
      </c>
      <c r="L306" t="b">
        <v>0</v>
      </c>
      <c r="M306" t="s">
        <v>628</v>
      </c>
      <c r="N306" t="s">
        <v>629</v>
      </c>
    </row>
    <row r="307" spans="1:25" x14ac:dyDescent="0.2">
      <c r="A307">
        <v>7123</v>
      </c>
      <c r="B307" t="s">
        <v>618</v>
      </c>
      <c r="C307" t="s">
        <v>18</v>
      </c>
      <c r="D307" t="s">
        <v>630</v>
      </c>
      <c r="E307" t="s">
        <v>190</v>
      </c>
      <c r="F307" t="s">
        <v>264</v>
      </c>
      <c r="G307" t="s">
        <v>62</v>
      </c>
      <c r="H307" t="b">
        <v>0</v>
      </c>
      <c r="I307" t="b">
        <v>0</v>
      </c>
      <c r="L307" t="b">
        <v>0</v>
      </c>
      <c r="M307" t="s">
        <v>631</v>
      </c>
      <c r="N307" t="s">
        <v>632</v>
      </c>
    </row>
    <row r="308" spans="1:25" x14ac:dyDescent="0.2">
      <c r="A308">
        <v>7124</v>
      </c>
      <c r="B308" t="s">
        <v>618</v>
      </c>
      <c r="C308" t="s">
        <v>18</v>
      </c>
      <c r="D308" t="s">
        <v>633</v>
      </c>
      <c r="E308" t="s">
        <v>138</v>
      </c>
      <c r="F308" t="s">
        <v>78</v>
      </c>
      <c r="G308" t="s">
        <v>62</v>
      </c>
      <c r="H308" t="b">
        <v>0</v>
      </c>
      <c r="I308" t="b">
        <v>0</v>
      </c>
      <c r="L308" t="b">
        <v>0</v>
      </c>
      <c r="M308" t="s">
        <v>634</v>
      </c>
    </row>
    <row r="310" spans="1:25" x14ac:dyDescent="0.2">
      <c r="A310" s="2">
        <v>7126</v>
      </c>
      <c r="B310" s="2" t="s">
        <v>635</v>
      </c>
      <c r="C310" s="2" t="s">
        <v>13</v>
      </c>
      <c r="D310" s="2" t="s">
        <v>636</v>
      </c>
      <c r="E310" s="2" t="s">
        <v>637</v>
      </c>
      <c r="F310" s="2" t="s">
        <v>78</v>
      </c>
      <c r="G310" s="2" t="s">
        <v>638</v>
      </c>
      <c r="H310" s="2"/>
      <c r="I310" s="2"/>
      <c r="J310" s="2"/>
      <c r="K310" s="2"/>
      <c r="L310" s="2"/>
      <c r="M310" s="2"/>
      <c r="N310" s="2"/>
      <c r="O310" s="2"/>
      <c r="P310" s="2"/>
      <c r="Q310" s="2"/>
      <c r="R310" s="2"/>
      <c r="S310" s="2"/>
      <c r="T310" s="2"/>
      <c r="U310" s="2"/>
      <c r="V310" s="2"/>
      <c r="W310" s="2"/>
      <c r="X310" s="2"/>
      <c r="Y310" s="2"/>
    </row>
    <row r="311" spans="1:25" x14ac:dyDescent="0.2">
      <c r="A311">
        <v>7127</v>
      </c>
      <c r="B311" t="s">
        <v>635</v>
      </c>
      <c r="C311" t="s">
        <v>18</v>
      </c>
      <c r="D311" t="s">
        <v>636</v>
      </c>
      <c r="E311" t="s">
        <v>639</v>
      </c>
      <c r="F311" t="s">
        <v>78</v>
      </c>
      <c r="G311" t="s">
        <v>638</v>
      </c>
      <c r="H311" t="b">
        <v>1</v>
      </c>
      <c r="K311" t="b">
        <v>1</v>
      </c>
      <c r="L311" t="b">
        <v>1</v>
      </c>
      <c r="M311" t="s">
        <v>640</v>
      </c>
      <c r="N311" t="s">
        <v>641</v>
      </c>
    </row>
    <row r="312" spans="1:25" x14ac:dyDescent="0.2">
      <c r="A312">
        <v>7128</v>
      </c>
      <c r="B312" t="s">
        <v>635</v>
      </c>
      <c r="C312" t="s">
        <v>18</v>
      </c>
      <c r="D312" t="s">
        <v>642</v>
      </c>
      <c r="E312" t="s">
        <v>643</v>
      </c>
      <c r="F312" t="s">
        <v>78</v>
      </c>
      <c r="G312" t="s">
        <v>638</v>
      </c>
      <c r="H312" t="b">
        <v>1</v>
      </c>
      <c r="K312" t="b">
        <v>1</v>
      </c>
      <c r="L312" t="b">
        <v>1</v>
      </c>
      <c r="M312" t="s">
        <v>644</v>
      </c>
      <c r="N312" t="s">
        <v>645</v>
      </c>
    </row>
    <row r="313" spans="1:25" x14ac:dyDescent="0.2">
      <c r="A313">
        <v>7129</v>
      </c>
      <c r="B313" t="s">
        <v>635</v>
      </c>
      <c r="C313" t="s">
        <v>18</v>
      </c>
      <c r="D313" t="s">
        <v>646</v>
      </c>
      <c r="E313" t="s">
        <v>647</v>
      </c>
      <c r="F313" t="s">
        <v>148</v>
      </c>
      <c r="G313" t="s">
        <v>638</v>
      </c>
      <c r="H313" t="b">
        <v>0</v>
      </c>
      <c r="K313" t="b">
        <v>0</v>
      </c>
      <c r="L313" t="b">
        <v>0</v>
      </c>
    </row>
    <row r="314" spans="1:25" x14ac:dyDescent="0.2">
      <c r="A314">
        <v>7130</v>
      </c>
      <c r="B314" t="s">
        <v>635</v>
      </c>
      <c r="C314" t="s">
        <v>18</v>
      </c>
      <c r="D314" t="s">
        <v>648</v>
      </c>
      <c r="E314" t="s">
        <v>649</v>
      </c>
      <c r="F314" t="s">
        <v>78</v>
      </c>
      <c r="G314" t="s">
        <v>74</v>
      </c>
      <c r="H314" t="b">
        <v>0</v>
      </c>
      <c r="K314" t="b">
        <v>0</v>
      </c>
      <c r="L314" t="b">
        <v>0</v>
      </c>
      <c r="M314" t="s">
        <v>650</v>
      </c>
      <c r="N314" t="s">
        <v>651</v>
      </c>
    </row>
    <row r="315" spans="1:25" x14ac:dyDescent="0.2">
      <c r="A315">
        <v>7131</v>
      </c>
      <c r="B315" t="s">
        <v>635</v>
      </c>
      <c r="C315" t="s">
        <v>18</v>
      </c>
      <c r="D315" t="s">
        <v>652</v>
      </c>
      <c r="E315" t="s">
        <v>653</v>
      </c>
      <c r="F315" t="s">
        <v>654</v>
      </c>
      <c r="G315" t="s">
        <v>638</v>
      </c>
      <c r="H315" t="b">
        <v>0</v>
      </c>
      <c r="K315" t="b">
        <v>0</v>
      </c>
      <c r="L315" t="b">
        <v>0</v>
      </c>
    </row>
    <row r="317" spans="1:25" x14ac:dyDescent="0.2">
      <c r="A317" s="2">
        <v>714</v>
      </c>
      <c r="B317" s="2" t="s">
        <v>655</v>
      </c>
      <c r="C317" s="2" t="s">
        <v>13</v>
      </c>
      <c r="D317" s="2" t="s">
        <v>656</v>
      </c>
      <c r="E317" s="2" t="s">
        <v>657</v>
      </c>
      <c r="F317" s="2" t="s">
        <v>31</v>
      </c>
      <c r="G317" s="2" t="s">
        <v>17</v>
      </c>
      <c r="H317" s="2"/>
      <c r="I317" s="2"/>
      <c r="J317" s="2"/>
      <c r="K317" s="2"/>
      <c r="L317" s="2"/>
      <c r="M317" s="2"/>
      <c r="N317" s="2"/>
      <c r="O317" s="2"/>
      <c r="P317" s="2"/>
      <c r="Q317" s="2"/>
      <c r="R317" s="2"/>
      <c r="S317" s="2"/>
      <c r="T317" s="2"/>
      <c r="U317" s="2"/>
      <c r="V317" s="2"/>
      <c r="W317" s="2"/>
      <c r="X317" s="2"/>
      <c r="Y317" s="2"/>
    </row>
    <row r="318" spans="1:25" x14ac:dyDescent="0.2">
      <c r="A318">
        <v>715</v>
      </c>
      <c r="B318" t="s">
        <v>655</v>
      </c>
      <c r="C318" t="s">
        <v>18</v>
      </c>
      <c r="D318" t="s">
        <v>656</v>
      </c>
      <c r="E318" t="s">
        <v>658</v>
      </c>
      <c r="F318" t="s">
        <v>31</v>
      </c>
      <c r="G318" t="s">
        <v>17</v>
      </c>
      <c r="H318" t="b">
        <v>1</v>
      </c>
      <c r="K318" t="b">
        <v>1</v>
      </c>
      <c r="L318" t="b">
        <v>1</v>
      </c>
      <c r="M318" t="s">
        <v>659</v>
      </c>
    </row>
    <row r="319" spans="1:25" x14ac:dyDescent="0.2">
      <c r="A319">
        <v>716</v>
      </c>
      <c r="B319" t="s">
        <v>655</v>
      </c>
      <c r="C319" t="s">
        <v>18</v>
      </c>
      <c r="D319" t="s">
        <v>660</v>
      </c>
      <c r="E319" t="s">
        <v>661</v>
      </c>
      <c r="F319" t="s">
        <v>31</v>
      </c>
      <c r="G319" t="s">
        <v>17</v>
      </c>
      <c r="H319" t="b">
        <v>1</v>
      </c>
      <c r="K319" t="b">
        <v>0</v>
      </c>
      <c r="L319" t="b">
        <v>1</v>
      </c>
      <c r="M319" t="s">
        <v>662</v>
      </c>
    </row>
    <row r="320" spans="1:25" x14ac:dyDescent="0.2">
      <c r="A320">
        <v>717</v>
      </c>
      <c r="B320" t="s">
        <v>655</v>
      </c>
      <c r="C320" t="s">
        <v>18</v>
      </c>
      <c r="D320" t="s">
        <v>663</v>
      </c>
      <c r="E320" t="s">
        <v>664</v>
      </c>
      <c r="F320" t="s">
        <v>78</v>
      </c>
      <c r="G320" t="s">
        <v>17</v>
      </c>
      <c r="H320" t="b">
        <v>0</v>
      </c>
      <c r="K320" t="b">
        <v>0</v>
      </c>
      <c r="L320" t="b">
        <v>0</v>
      </c>
      <c r="M320" t="s">
        <v>665</v>
      </c>
      <c r="N320" t="s">
        <v>666</v>
      </c>
      <c r="O320" t="s">
        <v>667</v>
      </c>
    </row>
    <row r="321" spans="1:25" x14ac:dyDescent="0.2">
      <c r="A321">
        <v>718</v>
      </c>
      <c r="B321" t="s">
        <v>655</v>
      </c>
      <c r="C321" t="s">
        <v>18</v>
      </c>
      <c r="D321" t="s">
        <v>668</v>
      </c>
      <c r="E321" t="s">
        <v>669</v>
      </c>
      <c r="F321" t="s">
        <v>670</v>
      </c>
      <c r="G321" t="s">
        <v>17</v>
      </c>
      <c r="H321" t="b">
        <v>0</v>
      </c>
      <c r="K321" t="b">
        <v>0</v>
      </c>
      <c r="L321" t="b">
        <v>0</v>
      </c>
      <c r="M321" t="s">
        <v>671</v>
      </c>
      <c r="N321" t="s">
        <v>672</v>
      </c>
    </row>
    <row r="322" spans="1:25" x14ac:dyDescent="0.2">
      <c r="A322">
        <v>719</v>
      </c>
      <c r="B322" t="s">
        <v>655</v>
      </c>
      <c r="C322" t="s">
        <v>18</v>
      </c>
      <c r="D322" t="s">
        <v>673</v>
      </c>
      <c r="E322" t="s">
        <v>674</v>
      </c>
      <c r="F322" t="s">
        <v>168</v>
      </c>
      <c r="G322" t="s">
        <v>17</v>
      </c>
      <c r="H322" t="b">
        <v>0</v>
      </c>
      <c r="K322" t="b">
        <v>0</v>
      </c>
      <c r="L322" t="b">
        <v>0</v>
      </c>
      <c r="M322" t="s">
        <v>675</v>
      </c>
      <c r="N322" t="s">
        <v>676</v>
      </c>
    </row>
    <row r="324" spans="1:25" x14ac:dyDescent="0.2">
      <c r="A324" s="2">
        <v>7140</v>
      </c>
      <c r="B324" s="2" t="s">
        <v>677</v>
      </c>
      <c r="C324" s="2" t="s">
        <v>13</v>
      </c>
      <c r="D324" s="2" t="s">
        <v>678</v>
      </c>
      <c r="E324" s="2" t="s">
        <v>679</v>
      </c>
      <c r="F324" s="2" t="s">
        <v>680</v>
      </c>
      <c r="G324" s="2" t="s">
        <v>502</v>
      </c>
      <c r="H324" s="2"/>
      <c r="I324" s="2"/>
      <c r="J324" s="2"/>
      <c r="K324" s="2"/>
      <c r="L324" s="2"/>
      <c r="M324" s="2"/>
      <c r="N324" s="2"/>
      <c r="O324" s="2"/>
      <c r="P324" s="2"/>
      <c r="Q324" s="2"/>
      <c r="R324" s="2"/>
      <c r="S324" s="2"/>
      <c r="T324" s="2"/>
      <c r="U324" s="2"/>
      <c r="V324" s="2"/>
      <c r="W324" s="2"/>
      <c r="X324" s="2"/>
      <c r="Y324" s="2"/>
    </row>
    <row r="325" spans="1:25" x14ac:dyDescent="0.2">
      <c r="A325">
        <v>7141</v>
      </c>
      <c r="B325" t="s">
        <v>677</v>
      </c>
      <c r="C325" t="s">
        <v>18</v>
      </c>
      <c r="D325" t="s">
        <v>678</v>
      </c>
      <c r="E325" t="s">
        <v>679</v>
      </c>
      <c r="F325" t="s">
        <v>680</v>
      </c>
      <c r="G325" t="s">
        <v>502</v>
      </c>
      <c r="H325" t="b">
        <v>1</v>
      </c>
      <c r="I325" t="b">
        <v>1</v>
      </c>
      <c r="L325" t="b">
        <v>1</v>
      </c>
      <c r="M325" t="s">
        <v>681</v>
      </c>
      <c r="N325" t="s">
        <v>682</v>
      </c>
    </row>
    <row r="326" spans="1:25" x14ac:dyDescent="0.2">
      <c r="A326">
        <v>7142</v>
      </c>
      <c r="B326" t="s">
        <v>677</v>
      </c>
      <c r="C326" t="s">
        <v>18</v>
      </c>
      <c r="D326" t="s">
        <v>683</v>
      </c>
      <c r="E326" t="s">
        <v>155</v>
      </c>
      <c r="F326" t="s">
        <v>680</v>
      </c>
      <c r="G326" t="s">
        <v>502</v>
      </c>
      <c r="H326" t="b">
        <v>0</v>
      </c>
      <c r="I326" t="b">
        <v>0</v>
      </c>
      <c r="L326" t="b">
        <v>0</v>
      </c>
      <c r="M326" t="s">
        <v>684</v>
      </c>
    </row>
    <row r="327" spans="1:25" x14ac:dyDescent="0.2">
      <c r="A327">
        <v>7143</v>
      </c>
      <c r="B327" t="s">
        <v>677</v>
      </c>
      <c r="C327" t="s">
        <v>18</v>
      </c>
      <c r="D327" t="s">
        <v>685</v>
      </c>
      <c r="E327" t="s">
        <v>686</v>
      </c>
      <c r="F327" t="s">
        <v>680</v>
      </c>
      <c r="G327" t="s">
        <v>502</v>
      </c>
      <c r="H327" t="b">
        <v>0</v>
      </c>
      <c r="I327" t="b">
        <v>0</v>
      </c>
      <c r="L327" t="b">
        <v>0</v>
      </c>
    </row>
    <row r="328" spans="1:25" x14ac:dyDescent="0.2">
      <c r="A328">
        <v>7144</v>
      </c>
      <c r="B328" t="s">
        <v>677</v>
      </c>
      <c r="C328" t="s">
        <v>18</v>
      </c>
      <c r="D328" t="s">
        <v>687</v>
      </c>
      <c r="E328" t="s">
        <v>688</v>
      </c>
      <c r="F328" t="s">
        <v>148</v>
      </c>
      <c r="G328" t="s">
        <v>502</v>
      </c>
      <c r="H328" t="b">
        <v>0</v>
      </c>
      <c r="I328" t="b">
        <v>0</v>
      </c>
      <c r="L328" t="b">
        <v>0</v>
      </c>
      <c r="M328" t="s">
        <v>689</v>
      </c>
      <c r="N328" t="s">
        <v>690</v>
      </c>
    </row>
    <row r="329" spans="1:25" x14ac:dyDescent="0.2">
      <c r="A329">
        <v>7145</v>
      </c>
      <c r="B329" t="s">
        <v>677</v>
      </c>
      <c r="C329" t="s">
        <v>18</v>
      </c>
      <c r="D329" t="s">
        <v>691</v>
      </c>
      <c r="E329" t="s">
        <v>692</v>
      </c>
      <c r="F329" t="s">
        <v>596</v>
      </c>
      <c r="G329" t="s">
        <v>502</v>
      </c>
      <c r="H329" t="b">
        <v>0</v>
      </c>
      <c r="I329" t="b">
        <v>0</v>
      </c>
      <c r="L329" t="b">
        <v>0</v>
      </c>
      <c r="M329" t="s">
        <v>693</v>
      </c>
      <c r="N329" t="s">
        <v>694</v>
      </c>
    </row>
    <row r="331" spans="1:25" x14ac:dyDescent="0.2">
      <c r="A331" s="2">
        <v>7175</v>
      </c>
      <c r="B331" s="2" t="s">
        <v>695</v>
      </c>
      <c r="C331" s="2" t="s">
        <v>13</v>
      </c>
      <c r="D331" s="2" t="s">
        <v>696</v>
      </c>
      <c r="E331" s="2" t="s">
        <v>697</v>
      </c>
      <c r="F331" s="2" t="s">
        <v>71</v>
      </c>
      <c r="G331" s="2" t="s">
        <v>265</v>
      </c>
      <c r="H331" s="2"/>
      <c r="I331" s="2"/>
      <c r="J331" s="2"/>
      <c r="K331" s="2"/>
      <c r="L331" s="2"/>
      <c r="M331" s="2"/>
      <c r="N331" s="2"/>
      <c r="O331" s="2"/>
      <c r="P331" s="2"/>
      <c r="Q331" s="2"/>
      <c r="R331" s="2"/>
      <c r="S331" s="2"/>
      <c r="T331" s="2"/>
      <c r="U331" s="2"/>
      <c r="V331" s="2"/>
      <c r="W331" s="2"/>
      <c r="X331" s="2"/>
      <c r="Y331" s="2"/>
    </row>
    <row r="332" spans="1:25" x14ac:dyDescent="0.2">
      <c r="A332">
        <v>7176</v>
      </c>
      <c r="B332" t="s">
        <v>695</v>
      </c>
      <c r="C332" t="s">
        <v>18</v>
      </c>
      <c r="D332" t="s">
        <v>696</v>
      </c>
      <c r="E332" t="s">
        <v>321</v>
      </c>
      <c r="F332" t="s">
        <v>71</v>
      </c>
      <c r="G332" t="s">
        <v>265</v>
      </c>
      <c r="H332" t="b">
        <v>1</v>
      </c>
      <c r="K332" t="b">
        <v>1</v>
      </c>
      <c r="L332" t="b">
        <v>1</v>
      </c>
      <c r="M332" t="s">
        <v>698</v>
      </c>
      <c r="N332" t="s">
        <v>699</v>
      </c>
    </row>
    <row r="333" spans="1:25" x14ac:dyDescent="0.2">
      <c r="A333">
        <v>7177</v>
      </c>
      <c r="B333" t="s">
        <v>695</v>
      </c>
      <c r="C333" t="s">
        <v>18</v>
      </c>
      <c r="D333" t="s">
        <v>700</v>
      </c>
      <c r="E333" t="s">
        <v>701</v>
      </c>
      <c r="F333" t="s">
        <v>71</v>
      </c>
      <c r="G333" t="s">
        <v>265</v>
      </c>
      <c r="H333" t="b">
        <v>1</v>
      </c>
      <c r="K333" t="b">
        <v>1</v>
      </c>
      <c r="L333" t="b">
        <v>1</v>
      </c>
      <c r="M333" t="s">
        <v>702</v>
      </c>
      <c r="N333" t="s">
        <v>703</v>
      </c>
    </row>
    <row r="334" spans="1:25" x14ac:dyDescent="0.2">
      <c r="A334">
        <v>7178</v>
      </c>
      <c r="B334" t="s">
        <v>695</v>
      </c>
      <c r="C334" t="s">
        <v>18</v>
      </c>
      <c r="D334" t="s">
        <v>704</v>
      </c>
      <c r="E334" t="s">
        <v>705</v>
      </c>
      <c r="F334" t="s">
        <v>159</v>
      </c>
      <c r="G334" t="s">
        <v>265</v>
      </c>
      <c r="H334" t="b">
        <v>0</v>
      </c>
      <c r="K334" t="b">
        <v>0</v>
      </c>
      <c r="L334" t="b">
        <v>0</v>
      </c>
      <c r="M334" t="s">
        <v>706</v>
      </c>
      <c r="N334" t="s">
        <v>707</v>
      </c>
    </row>
    <row r="335" spans="1:25" x14ac:dyDescent="0.2">
      <c r="A335">
        <v>7179</v>
      </c>
      <c r="B335" t="s">
        <v>695</v>
      </c>
      <c r="C335" t="s">
        <v>18</v>
      </c>
      <c r="D335" t="s">
        <v>708</v>
      </c>
      <c r="E335" t="s">
        <v>709</v>
      </c>
      <c r="F335" t="s">
        <v>78</v>
      </c>
      <c r="G335" t="s">
        <v>265</v>
      </c>
      <c r="H335" t="b">
        <v>0</v>
      </c>
      <c r="K335" t="b">
        <v>0</v>
      </c>
      <c r="L335" t="b">
        <v>0</v>
      </c>
    </row>
    <row r="336" spans="1:25" x14ac:dyDescent="0.2">
      <c r="A336">
        <v>7180</v>
      </c>
      <c r="B336" t="s">
        <v>695</v>
      </c>
      <c r="C336" t="s">
        <v>18</v>
      </c>
      <c r="D336" t="s">
        <v>710</v>
      </c>
      <c r="E336" t="s">
        <v>711</v>
      </c>
      <c r="F336" t="s">
        <v>712</v>
      </c>
      <c r="G336" t="s">
        <v>265</v>
      </c>
      <c r="H336" t="b">
        <v>0</v>
      </c>
      <c r="K336" t="b">
        <v>0</v>
      </c>
      <c r="L336" t="b">
        <v>0</v>
      </c>
      <c r="M336" t="s">
        <v>713</v>
      </c>
    </row>
    <row r="338" spans="1:25" x14ac:dyDescent="0.2">
      <c r="A338" s="2">
        <v>7189</v>
      </c>
      <c r="B338" s="2" t="s">
        <v>714</v>
      </c>
      <c r="C338" s="2" t="s">
        <v>13</v>
      </c>
      <c r="D338" s="2" t="s">
        <v>715</v>
      </c>
      <c r="E338" s="2" t="s">
        <v>716</v>
      </c>
      <c r="F338" s="2" t="s">
        <v>717</v>
      </c>
      <c r="G338" s="2" t="s">
        <v>62</v>
      </c>
      <c r="H338" s="2"/>
      <c r="I338" s="2"/>
      <c r="J338" s="2"/>
      <c r="K338" s="2"/>
      <c r="L338" s="2"/>
      <c r="M338" s="2"/>
      <c r="N338" s="2"/>
      <c r="O338" s="2"/>
      <c r="P338" s="2"/>
      <c r="Q338" s="2"/>
      <c r="R338" s="2"/>
      <c r="S338" s="2"/>
      <c r="T338" s="2"/>
      <c r="U338" s="2"/>
      <c r="V338" s="2"/>
      <c r="W338" s="2"/>
      <c r="X338" s="2"/>
      <c r="Y338" s="2"/>
    </row>
    <row r="339" spans="1:25" x14ac:dyDescent="0.2">
      <c r="A339">
        <v>7190</v>
      </c>
      <c r="B339" t="s">
        <v>714</v>
      </c>
      <c r="C339" t="s">
        <v>18</v>
      </c>
      <c r="D339" t="s">
        <v>715</v>
      </c>
      <c r="E339" t="s">
        <v>716</v>
      </c>
      <c r="F339" t="s">
        <v>717</v>
      </c>
      <c r="G339" t="s">
        <v>62</v>
      </c>
      <c r="H339" t="b">
        <v>1</v>
      </c>
      <c r="I339" t="b">
        <v>1</v>
      </c>
      <c r="L339" t="b">
        <v>1</v>
      </c>
      <c r="M339" t="s">
        <v>718</v>
      </c>
      <c r="N339" t="s">
        <v>719</v>
      </c>
    </row>
    <row r="340" spans="1:25" x14ac:dyDescent="0.2">
      <c r="A340">
        <v>7191</v>
      </c>
      <c r="B340" t="s">
        <v>714</v>
      </c>
      <c r="C340" t="s">
        <v>18</v>
      </c>
      <c r="D340" t="s">
        <v>720</v>
      </c>
      <c r="E340" t="s">
        <v>721</v>
      </c>
      <c r="F340" t="s">
        <v>717</v>
      </c>
      <c r="G340" t="s">
        <v>62</v>
      </c>
      <c r="H340" t="b">
        <v>0</v>
      </c>
      <c r="I340" t="b">
        <v>0</v>
      </c>
      <c r="L340" t="b">
        <v>0</v>
      </c>
      <c r="M340" t="s">
        <v>722</v>
      </c>
      <c r="N340" t="s">
        <v>723</v>
      </c>
      <c r="O340" t="s">
        <v>724</v>
      </c>
    </row>
    <row r="341" spans="1:25" x14ac:dyDescent="0.2">
      <c r="A341">
        <v>7192</v>
      </c>
      <c r="B341" t="s">
        <v>714</v>
      </c>
      <c r="C341" t="s">
        <v>18</v>
      </c>
      <c r="D341" t="s">
        <v>725</v>
      </c>
      <c r="E341" t="s">
        <v>726</v>
      </c>
      <c r="F341" t="s">
        <v>717</v>
      </c>
      <c r="G341" t="s">
        <v>62</v>
      </c>
      <c r="H341" t="b">
        <v>0</v>
      </c>
      <c r="I341" t="b">
        <v>0</v>
      </c>
      <c r="L341" t="b">
        <v>0</v>
      </c>
    </row>
    <row r="342" spans="1:25" x14ac:dyDescent="0.2">
      <c r="A342">
        <v>7193</v>
      </c>
      <c r="B342" t="s">
        <v>714</v>
      </c>
      <c r="C342" t="s">
        <v>18</v>
      </c>
      <c r="D342" t="s">
        <v>727</v>
      </c>
      <c r="E342" t="s">
        <v>728</v>
      </c>
      <c r="F342" t="s">
        <v>717</v>
      </c>
      <c r="G342" t="s">
        <v>62</v>
      </c>
      <c r="H342" t="b">
        <v>0</v>
      </c>
      <c r="I342" t="b">
        <v>0</v>
      </c>
      <c r="L342" t="b">
        <v>0</v>
      </c>
    </row>
    <row r="343" spans="1:25" x14ac:dyDescent="0.2">
      <c r="A343">
        <v>7194</v>
      </c>
      <c r="B343" t="s">
        <v>714</v>
      </c>
      <c r="C343" t="s">
        <v>18</v>
      </c>
      <c r="D343" t="s">
        <v>729</v>
      </c>
      <c r="E343" t="s">
        <v>730</v>
      </c>
      <c r="F343" t="s">
        <v>717</v>
      </c>
      <c r="G343" t="s">
        <v>62</v>
      </c>
      <c r="H343" t="b">
        <v>0</v>
      </c>
      <c r="I343" t="b">
        <v>0</v>
      </c>
      <c r="L343" t="b">
        <v>0</v>
      </c>
    </row>
    <row r="345" spans="1:25" x14ac:dyDescent="0.2">
      <c r="A345" s="2">
        <v>7203</v>
      </c>
      <c r="B345" s="2" t="s">
        <v>731</v>
      </c>
      <c r="C345" s="2" t="s">
        <v>13</v>
      </c>
      <c r="D345" s="2" t="s">
        <v>732</v>
      </c>
      <c r="E345" s="2" t="s">
        <v>733</v>
      </c>
      <c r="F345" s="2" t="s">
        <v>260</v>
      </c>
      <c r="G345" s="2" t="s">
        <v>62</v>
      </c>
      <c r="H345" s="2"/>
      <c r="I345" s="2"/>
      <c r="J345" s="2"/>
      <c r="K345" s="2"/>
      <c r="L345" s="2"/>
      <c r="M345" s="2"/>
      <c r="N345" s="2"/>
      <c r="O345" s="2"/>
      <c r="P345" s="2"/>
      <c r="Q345" s="2"/>
      <c r="R345" s="2"/>
      <c r="S345" s="2"/>
      <c r="T345" s="2"/>
      <c r="U345" s="2"/>
      <c r="V345" s="2"/>
      <c r="W345" s="2"/>
      <c r="X345" s="2"/>
      <c r="Y345" s="2"/>
    </row>
    <row r="346" spans="1:25" x14ac:dyDescent="0.2">
      <c r="A346">
        <v>7204</v>
      </c>
      <c r="B346" t="s">
        <v>731</v>
      </c>
      <c r="C346" t="s">
        <v>18</v>
      </c>
      <c r="D346" t="s">
        <v>732</v>
      </c>
      <c r="E346" t="s">
        <v>734</v>
      </c>
      <c r="F346" t="s">
        <v>260</v>
      </c>
      <c r="G346" t="s">
        <v>62</v>
      </c>
      <c r="H346" t="b">
        <v>1</v>
      </c>
      <c r="K346" t="b">
        <v>1</v>
      </c>
      <c r="L346" t="b">
        <v>1</v>
      </c>
      <c r="M346" t="s">
        <v>735</v>
      </c>
      <c r="N346" t="s">
        <v>736</v>
      </c>
    </row>
    <row r="347" spans="1:25" x14ac:dyDescent="0.2">
      <c r="A347">
        <v>7205</v>
      </c>
      <c r="B347" t="s">
        <v>731</v>
      </c>
      <c r="C347" t="s">
        <v>18</v>
      </c>
      <c r="D347" t="s">
        <v>737</v>
      </c>
      <c r="E347" t="s">
        <v>301</v>
      </c>
      <c r="F347" t="s">
        <v>260</v>
      </c>
      <c r="G347" t="s">
        <v>62</v>
      </c>
      <c r="H347" t="b">
        <v>1</v>
      </c>
      <c r="K347" t="b">
        <v>1</v>
      </c>
      <c r="L347" t="b">
        <v>1</v>
      </c>
      <c r="M347" t="s">
        <v>738</v>
      </c>
    </row>
    <row r="348" spans="1:25" x14ac:dyDescent="0.2">
      <c r="A348">
        <v>7206</v>
      </c>
      <c r="B348" t="s">
        <v>731</v>
      </c>
      <c r="C348" t="s">
        <v>18</v>
      </c>
      <c r="D348" t="s">
        <v>739</v>
      </c>
      <c r="E348" t="s">
        <v>740</v>
      </c>
      <c r="F348" t="s">
        <v>574</v>
      </c>
      <c r="G348" t="s">
        <v>62</v>
      </c>
      <c r="H348" t="b">
        <v>0</v>
      </c>
      <c r="K348" t="b">
        <v>0</v>
      </c>
      <c r="L348" t="b">
        <v>0</v>
      </c>
      <c r="M348" t="s">
        <v>741</v>
      </c>
    </row>
    <row r="349" spans="1:25" x14ac:dyDescent="0.2">
      <c r="A349">
        <v>7207</v>
      </c>
      <c r="B349" t="s">
        <v>731</v>
      </c>
      <c r="C349" t="s">
        <v>18</v>
      </c>
      <c r="D349" t="s">
        <v>742</v>
      </c>
      <c r="E349" t="s">
        <v>743</v>
      </c>
      <c r="F349" t="s">
        <v>78</v>
      </c>
      <c r="G349" t="s">
        <v>252</v>
      </c>
      <c r="H349" t="b">
        <v>0</v>
      </c>
      <c r="K349" t="b">
        <v>0</v>
      </c>
      <c r="L349" t="b">
        <v>0</v>
      </c>
      <c r="M349" t="s">
        <v>744</v>
      </c>
      <c r="N349" t="s">
        <v>745</v>
      </c>
    </row>
    <row r="350" spans="1:25" x14ac:dyDescent="0.2">
      <c r="A350">
        <v>7208</v>
      </c>
      <c r="B350" t="s">
        <v>731</v>
      </c>
      <c r="C350" t="s">
        <v>18</v>
      </c>
      <c r="D350" t="s">
        <v>746</v>
      </c>
      <c r="E350" t="s">
        <v>747</v>
      </c>
      <c r="F350" t="s">
        <v>717</v>
      </c>
      <c r="G350" t="s">
        <v>62</v>
      </c>
      <c r="H350" t="b">
        <v>0</v>
      </c>
      <c r="K350" t="b">
        <v>0</v>
      </c>
      <c r="L350" t="b">
        <v>0</v>
      </c>
      <c r="M350" t="s">
        <v>748</v>
      </c>
      <c r="N350" t="s">
        <v>749</v>
      </c>
    </row>
    <row r="352" spans="1:25" x14ac:dyDescent="0.2">
      <c r="A352" s="2">
        <v>721</v>
      </c>
      <c r="B352" s="2" t="s">
        <v>750</v>
      </c>
      <c r="C352" s="2" t="s">
        <v>13</v>
      </c>
      <c r="D352" s="2" t="s">
        <v>751</v>
      </c>
      <c r="E352" s="2" t="s">
        <v>752</v>
      </c>
      <c r="F352" s="2" t="s">
        <v>122</v>
      </c>
      <c r="G352" s="2" t="s">
        <v>17</v>
      </c>
      <c r="H352" s="2"/>
      <c r="I352" s="2"/>
      <c r="J352" s="2"/>
      <c r="K352" s="2"/>
      <c r="L352" s="2"/>
      <c r="M352" s="2"/>
      <c r="N352" s="2"/>
      <c r="O352" s="2"/>
      <c r="P352" s="2"/>
      <c r="Q352" s="2"/>
      <c r="R352" s="2"/>
      <c r="S352" s="2"/>
      <c r="T352" s="2"/>
      <c r="U352" s="2"/>
      <c r="V352" s="2"/>
      <c r="W352" s="2"/>
      <c r="X352" s="2"/>
      <c r="Y352" s="2"/>
    </row>
    <row r="353" spans="1:25" x14ac:dyDescent="0.2">
      <c r="A353">
        <v>722</v>
      </c>
      <c r="B353" t="s">
        <v>750</v>
      </c>
      <c r="C353" t="s">
        <v>18</v>
      </c>
      <c r="D353" t="s">
        <v>751</v>
      </c>
      <c r="E353" t="s">
        <v>752</v>
      </c>
      <c r="F353" t="s">
        <v>122</v>
      </c>
      <c r="G353" t="s">
        <v>17</v>
      </c>
      <c r="H353" t="b">
        <v>1</v>
      </c>
      <c r="K353" t="b">
        <v>1</v>
      </c>
      <c r="L353" t="b">
        <v>1</v>
      </c>
      <c r="M353" t="s">
        <v>753</v>
      </c>
      <c r="N353" t="s">
        <v>754</v>
      </c>
    </row>
    <row r="354" spans="1:25" x14ac:dyDescent="0.2">
      <c r="A354">
        <v>723</v>
      </c>
      <c r="B354" t="s">
        <v>750</v>
      </c>
      <c r="C354" t="s">
        <v>18</v>
      </c>
      <c r="D354" t="s">
        <v>755</v>
      </c>
      <c r="E354" t="s">
        <v>756</v>
      </c>
      <c r="F354" t="s">
        <v>122</v>
      </c>
      <c r="G354" t="s">
        <v>17</v>
      </c>
      <c r="H354" t="b">
        <v>0</v>
      </c>
      <c r="K354" t="b">
        <v>0</v>
      </c>
      <c r="L354" t="b">
        <v>0</v>
      </c>
      <c r="M354" t="s">
        <v>757</v>
      </c>
    </row>
    <row r="355" spans="1:25" x14ac:dyDescent="0.2">
      <c r="A355">
        <v>724</v>
      </c>
      <c r="B355" t="s">
        <v>750</v>
      </c>
      <c r="C355" t="s">
        <v>18</v>
      </c>
      <c r="D355" t="s">
        <v>758</v>
      </c>
      <c r="E355" t="s">
        <v>759</v>
      </c>
      <c r="F355" t="s">
        <v>122</v>
      </c>
      <c r="G355" t="s">
        <v>17</v>
      </c>
      <c r="H355" t="b">
        <v>0</v>
      </c>
      <c r="K355" t="b">
        <v>0</v>
      </c>
      <c r="L355" t="b">
        <v>0</v>
      </c>
    </row>
    <row r="356" spans="1:25" x14ac:dyDescent="0.2">
      <c r="A356">
        <v>725</v>
      </c>
      <c r="B356" t="s">
        <v>750</v>
      </c>
      <c r="C356" t="s">
        <v>18</v>
      </c>
      <c r="D356" t="s">
        <v>760</v>
      </c>
      <c r="E356" t="s">
        <v>761</v>
      </c>
      <c r="F356" t="s">
        <v>122</v>
      </c>
      <c r="G356" t="s">
        <v>17</v>
      </c>
      <c r="H356" t="b">
        <v>0</v>
      </c>
      <c r="K356" t="b">
        <v>0</v>
      </c>
      <c r="L356" t="b">
        <v>0</v>
      </c>
    </row>
    <row r="357" spans="1:25" x14ac:dyDescent="0.2">
      <c r="A357">
        <v>726</v>
      </c>
      <c r="B357" t="s">
        <v>750</v>
      </c>
      <c r="C357" t="s">
        <v>18</v>
      </c>
      <c r="D357" t="s">
        <v>762</v>
      </c>
      <c r="E357" t="s">
        <v>763</v>
      </c>
      <c r="F357" t="s">
        <v>122</v>
      </c>
      <c r="G357" t="s">
        <v>17</v>
      </c>
      <c r="H357" t="b">
        <v>0</v>
      </c>
      <c r="K357" t="b">
        <v>0</v>
      </c>
      <c r="L357" t="b">
        <v>0</v>
      </c>
      <c r="M357" t="s">
        <v>764</v>
      </c>
    </row>
    <row r="359" spans="1:25" x14ac:dyDescent="0.2">
      <c r="A359" s="2">
        <v>7210</v>
      </c>
      <c r="B359" s="2" t="s">
        <v>765</v>
      </c>
      <c r="C359" s="2" t="s">
        <v>13</v>
      </c>
      <c r="D359" s="2" t="s">
        <v>720</v>
      </c>
      <c r="E359" s="2" t="s">
        <v>766</v>
      </c>
      <c r="F359" s="2" t="s">
        <v>717</v>
      </c>
      <c r="G359" s="2" t="s">
        <v>62</v>
      </c>
      <c r="H359" s="2"/>
      <c r="I359" s="2"/>
      <c r="J359" s="2"/>
      <c r="K359" s="2"/>
      <c r="L359" s="2"/>
      <c r="M359" s="2"/>
      <c r="N359" s="2"/>
      <c r="O359" s="2"/>
      <c r="P359" s="2"/>
      <c r="Q359" s="2"/>
      <c r="R359" s="2"/>
      <c r="S359" s="2"/>
      <c r="T359" s="2"/>
      <c r="U359" s="2"/>
      <c r="V359" s="2"/>
      <c r="W359" s="2"/>
      <c r="X359" s="2"/>
      <c r="Y359" s="2"/>
    </row>
    <row r="360" spans="1:25" x14ac:dyDescent="0.2">
      <c r="A360">
        <v>7211</v>
      </c>
      <c r="B360" t="s">
        <v>765</v>
      </c>
      <c r="C360" t="s">
        <v>18</v>
      </c>
      <c r="D360" t="s">
        <v>720</v>
      </c>
      <c r="E360" t="s">
        <v>721</v>
      </c>
      <c r="F360" t="s">
        <v>717</v>
      </c>
      <c r="G360" t="s">
        <v>62</v>
      </c>
      <c r="H360" t="b">
        <v>1</v>
      </c>
      <c r="I360" t="b">
        <v>1</v>
      </c>
      <c r="L360" t="b">
        <v>1</v>
      </c>
      <c r="M360" t="s">
        <v>722</v>
      </c>
      <c r="N360" t="s">
        <v>723</v>
      </c>
      <c r="O360" t="s">
        <v>724</v>
      </c>
    </row>
    <row r="361" spans="1:25" x14ac:dyDescent="0.2">
      <c r="A361">
        <v>7212</v>
      </c>
      <c r="B361" t="s">
        <v>765</v>
      </c>
      <c r="C361" t="s">
        <v>18</v>
      </c>
      <c r="D361" t="s">
        <v>715</v>
      </c>
      <c r="E361" t="s">
        <v>716</v>
      </c>
      <c r="F361" t="s">
        <v>717</v>
      </c>
      <c r="G361" t="s">
        <v>62</v>
      </c>
      <c r="H361" t="b">
        <v>0</v>
      </c>
      <c r="I361" t="b">
        <v>0</v>
      </c>
      <c r="L361" t="b">
        <v>0</v>
      </c>
      <c r="M361" t="s">
        <v>718</v>
      </c>
      <c r="N361" t="s">
        <v>719</v>
      </c>
    </row>
    <row r="362" spans="1:25" x14ac:dyDescent="0.2">
      <c r="A362">
        <v>7213</v>
      </c>
      <c r="B362" t="s">
        <v>765</v>
      </c>
      <c r="C362" t="s">
        <v>18</v>
      </c>
      <c r="D362" t="s">
        <v>725</v>
      </c>
      <c r="E362" t="s">
        <v>726</v>
      </c>
      <c r="F362" t="s">
        <v>717</v>
      </c>
      <c r="G362" t="s">
        <v>62</v>
      </c>
      <c r="H362" t="b">
        <v>0</v>
      </c>
      <c r="I362" t="b">
        <v>0</v>
      </c>
      <c r="L362" t="b">
        <v>0</v>
      </c>
    </row>
    <row r="363" spans="1:25" x14ac:dyDescent="0.2">
      <c r="A363">
        <v>7214</v>
      </c>
      <c r="B363" t="s">
        <v>765</v>
      </c>
      <c r="C363" t="s">
        <v>18</v>
      </c>
      <c r="D363" t="s">
        <v>727</v>
      </c>
      <c r="E363" t="s">
        <v>728</v>
      </c>
      <c r="F363" t="s">
        <v>717</v>
      </c>
      <c r="G363" t="s">
        <v>62</v>
      </c>
      <c r="H363" t="b">
        <v>0</v>
      </c>
      <c r="I363" t="b">
        <v>0</v>
      </c>
      <c r="L363" t="b">
        <v>0</v>
      </c>
    </row>
    <row r="364" spans="1:25" x14ac:dyDescent="0.2">
      <c r="A364">
        <v>7215</v>
      </c>
      <c r="B364" t="s">
        <v>765</v>
      </c>
      <c r="C364" t="s">
        <v>18</v>
      </c>
      <c r="D364" t="s">
        <v>729</v>
      </c>
      <c r="E364" t="s">
        <v>730</v>
      </c>
      <c r="F364" t="s">
        <v>717</v>
      </c>
      <c r="G364" t="s">
        <v>62</v>
      </c>
      <c r="H364" t="b">
        <v>0</v>
      </c>
      <c r="I364" t="b">
        <v>0</v>
      </c>
      <c r="L364" t="b">
        <v>0</v>
      </c>
    </row>
    <row r="366" spans="1:25" x14ac:dyDescent="0.2">
      <c r="A366" s="2">
        <v>7231</v>
      </c>
      <c r="B366" s="2" t="s">
        <v>767</v>
      </c>
      <c r="C366" s="2" t="s">
        <v>13</v>
      </c>
      <c r="D366" s="2" t="s">
        <v>768</v>
      </c>
      <c r="E366" s="2" t="s">
        <v>769</v>
      </c>
      <c r="F366" s="2" t="s">
        <v>248</v>
      </c>
      <c r="G366" s="2" t="s">
        <v>17</v>
      </c>
      <c r="H366" s="2"/>
      <c r="I366" s="2"/>
      <c r="J366" s="2"/>
      <c r="K366" s="2"/>
      <c r="L366" s="2"/>
      <c r="M366" s="2"/>
      <c r="N366" s="2"/>
      <c r="O366" s="2"/>
      <c r="P366" s="2"/>
      <c r="Q366" s="2"/>
      <c r="R366" s="2"/>
      <c r="S366" s="2"/>
      <c r="T366" s="2"/>
      <c r="U366" s="2"/>
      <c r="V366" s="2"/>
      <c r="W366" s="2"/>
      <c r="X366" s="2"/>
      <c r="Y366" s="2"/>
    </row>
    <row r="367" spans="1:25" x14ac:dyDescent="0.2">
      <c r="A367">
        <v>7232</v>
      </c>
      <c r="B367" t="s">
        <v>767</v>
      </c>
      <c r="C367" t="s">
        <v>18</v>
      </c>
      <c r="D367" t="s">
        <v>768</v>
      </c>
      <c r="E367" t="s">
        <v>770</v>
      </c>
      <c r="F367" t="s">
        <v>248</v>
      </c>
      <c r="G367" t="s">
        <v>771</v>
      </c>
      <c r="H367" t="b">
        <v>1</v>
      </c>
      <c r="I367" t="b">
        <v>1</v>
      </c>
      <c r="L367" t="b">
        <v>1</v>
      </c>
      <c r="M367" t="s">
        <v>772</v>
      </c>
      <c r="N367" t="s">
        <v>773</v>
      </c>
    </row>
    <row r="368" spans="1:25" x14ac:dyDescent="0.2">
      <c r="A368">
        <v>7233</v>
      </c>
      <c r="B368" t="s">
        <v>767</v>
      </c>
      <c r="C368" t="s">
        <v>18</v>
      </c>
      <c r="D368" t="s">
        <v>774</v>
      </c>
      <c r="E368" t="s">
        <v>775</v>
      </c>
      <c r="F368" t="s">
        <v>248</v>
      </c>
      <c r="G368" t="s">
        <v>17</v>
      </c>
      <c r="H368" t="b">
        <v>1</v>
      </c>
      <c r="I368" t="b">
        <v>0</v>
      </c>
      <c r="L368" t="b">
        <v>0</v>
      </c>
      <c r="M368" t="s">
        <v>776</v>
      </c>
      <c r="N368" t="s">
        <v>777</v>
      </c>
    </row>
    <row r="369" spans="1:25" x14ac:dyDescent="0.2">
      <c r="A369">
        <v>7234</v>
      </c>
      <c r="B369" t="s">
        <v>767</v>
      </c>
      <c r="C369" t="s">
        <v>18</v>
      </c>
      <c r="D369" t="s">
        <v>778</v>
      </c>
      <c r="E369" t="s">
        <v>779</v>
      </c>
      <c r="F369" t="s">
        <v>248</v>
      </c>
      <c r="G369" t="s">
        <v>17</v>
      </c>
      <c r="H369" t="b">
        <v>0</v>
      </c>
      <c r="I369" t="b">
        <v>0</v>
      </c>
      <c r="L369" t="b">
        <v>0</v>
      </c>
      <c r="M369" t="s">
        <v>780</v>
      </c>
    </row>
    <row r="370" spans="1:25" x14ac:dyDescent="0.2">
      <c r="A370">
        <v>7235</v>
      </c>
      <c r="B370" t="s">
        <v>767</v>
      </c>
      <c r="C370" t="s">
        <v>18</v>
      </c>
      <c r="D370" t="s">
        <v>781</v>
      </c>
      <c r="E370" t="s">
        <v>782</v>
      </c>
      <c r="F370" t="s">
        <v>248</v>
      </c>
      <c r="G370" t="s">
        <v>17</v>
      </c>
      <c r="H370" t="b">
        <v>0</v>
      </c>
      <c r="I370" t="b">
        <v>0</v>
      </c>
      <c r="L370" t="b">
        <v>0</v>
      </c>
    </row>
    <row r="371" spans="1:25" x14ac:dyDescent="0.2">
      <c r="A371">
        <v>7236</v>
      </c>
      <c r="B371" t="s">
        <v>767</v>
      </c>
      <c r="C371" t="s">
        <v>18</v>
      </c>
      <c r="D371" t="s">
        <v>783</v>
      </c>
      <c r="E371" t="s">
        <v>784</v>
      </c>
      <c r="F371" t="s">
        <v>785</v>
      </c>
      <c r="G371" t="s">
        <v>17</v>
      </c>
      <c r="H371" t="b">
        <v>0</v>
      </c>
      <c r="I371" t="b">
        <v>0</v>
      </c>
      <c r="L371" t="b">
        <v>0</v>
      </c>
    </row>
    <row r="373" spans="1:25" x14ac:dyDescent="0.2">
      <c r="A373" s="2">
        <v>7238</v>
      </c>
      <c r="B373" s="2" t="s">
        <v>786</v>
      </c>
      <c r="C373" s="2" t="s">
        <v>13</v>
      </c>
      <c r="D373" s="2" t="s">
        <v>787</v>
      </c>
      <c r="E373" s="2" t="s">
        <v>788</v>
      </c>
      <c r="F373" s="2" t="s">
        <v>248</v>
      </c>
      <c r="G373" s="2" t="s">
        <v>17</v>
      </c>
      <c r="H373" s="2"/>
      <c r="I373" s="2"/>
      <c r="J373" s="2"/>
      <c r="K373" s="2"/>
      <c r="L373" s="2"/>
      <c r="M373" s="2"/>
      <c r="N373" s="2"/>
      <c r="O373" s="2"/>
      <c r="P373" s="2"/>
      <c r="Q373" s="2"/>
      <c r="R373" s="2"/>
      <c r="S373" s="2"/>
      <c r="T373" s="2"/>
      <c r="U373" s="2"/>
      <c r="V373" s="2"/>
      <c r="W373" s="2"/>
      <c r="X373" s="2"/>
      <c r="Y373" s="2"/>
    </row>
    <row r="374" spans="1:25" x14ac:dyDescent="0.2">
      <c r="A374">
        <v>7239</v>
      </c>
      <c r="B374" t="s">
        <v>786</v>
      </c>
      <c r="C374" t="s">
        <v>18</v>
      </c>
      <c r="D374" t="s">
        <v>789</v>
      </c>
      <c r="E374" t="s">
        <v>788</v>
      </c>
      <c r="F374" t="s">
        <v>248</v>
      </c>
      <c r="G374" t="s">
        <v>17</v>
      </c>
      <c r="H374" t="b">
        <v>1</v>
      </c>
      <c r="I374" t="b">
        <v>1</v>
      </c>
      <c r="L374" t="b">
        <v>1</v>
      </c>
      <c r="M374" t="s">
        <v>790</v>
      </c>
      <c r="N374" t="s">
        <v>791</v>
      </c>
    </row>
    <row r="375" spans="1:25" x14ac:dyDescent="0.2">
      <c r="A375">
        <v>7240</v>
      </c>
      <c r="B375" t="s">
        <v>786</v>
      </c>
      <c r="C375" t="s">
        <v>18</v>
      </c>
      <c r="D375" t="s">
        <v>792</v>
      </c>
      <c r="E375" t="s">
        <v>793</v>
      </c>
      <c r="F375" t="s">
        <v>248</v>
      </c>
      <c r="G375" t="s">
        <v>17</v>
      </c>
      <c r="H375" t="b">
        <v>0</v>
      </c>
      <c r="I375" t="b">
        <v>0</v>
      </c>
      <c r="L375" t="b">
        <v>0</v>
      </c>
      <c r="M375" t="s">
        <v>794</v>
      </c>
      <c r="N375" t="s">
        <v>745</v>
      </c>
    </row>
    <row r="376" spans="1:25" x14ac:dyDescent="0.2">
      <c r="A376">
        <v>7241</v>
      </c>
      <c r="B376" t="s">
        <v>786</v>
      </c>
      <c r="C376" t="s">
        <v>18</v>
      </c>
      <c r="D376" t="s">
        <v>795</v>
      </c>
      <c r="E376" t="s">
        <v>796</v>
      </c>
      <c r="F376" t="s">
        <v>248</v>
      </c>
      <c r="G376" t="s">
        <v>17</v>
      </c>
      <c r="H376" t="b">
        <v>0</v>
      </c>
      <c r="I376" t="b">
        <v>0</v>
      </c>
      <c r="L376" t="b">
        <v>0</v>
      </c>
      <c r="M376" t="s">
        <v>797</v>
      </c>
      <c r="N376" t="s">
        <v>798</v>
      </c>
    </row>
    <row r="377" spans="1:25" x14ac:dyDescent="0.2">
      <c r="A377">
        <v>7242</v>
      </c>
      <c r="B377" t="s">
        <v>786</v>
      </c>
      <c r="C377" t="s">
        <v>18</v>
      </c>
      <c r="D377" t="s">
        <v>799</v>
      </c>
      <c r="E377" t="s">
        <v>800</v>
      </c>
      <c r="F377" t="s">
        <v>248</v>
      </c>
      <c r="G377" t="s">
        <v>17</v>
      </c>
      <c r="H377" t="b">
        <v>0</v>
      </c>
      <c r="I377" t="b">
        <v>0</v>
      </c>
      <c r="L377" t="b">
        <v>0</v>
      </c>
      <c r="M377" t="s">
        <v>801</v>
      </c>
    </row>
    <row r="378" spans="1:25" x14ac:dyDescent="0.2">
      <c r="A378">
        <v>7243</v>
      </c>
      <c r="B378" t="s">
        <v>786</v>
      </c>
      <c r="C378" t="s">
        <v>18</v>
      </c>
      <c r="D378" t="s">
        <v>802</v>
      </c>
      <c r="E378" t="s">
        <v>803</v>
      </c>
      <c r="F378" t="s">
        <v>248</v>
      </c>
      <c r="G378" t="s">
        <v>17</v>
      </c>
      <c r="H378" t="b">
        <v>0</v>
      </c>
      <c r="I378" t="b">
        <v>0</v>
      </c>
      <c r="L378" t="b">
        <v>0</v>
      </c>
      <c r="M378" t="s">
        <v>804</v>
      </c>
    </row>
    <row r="380" spans="1:25" x14ac:dyDescent="0.2">
      <c r="A380" s="2">
        <v>7273</v>
      </c>
      <c r="B380" s="2" t="s">
        <v>805</v>
      </c>
      <c r="C380" s="2" t="s">
        <v>13</v>
      </c>
      <c r="D380" s="2" t="s">
        <v>806</v>
      </c>
      <c r="E380" s="2" t="s">
        <v>807</v>
      </c>
      <c r="F380" s="2" t="s">
        <v>122</v>
      </c>
      <c r="G380" s="2" t="s">
        <v>17</v>
      </c>
      <c r="H380" s="2"/>
      <c r="I380" s="2"/>
      <c r="J380" s="2"/>
      <c r="K380" s="2"/>
      <c r="L380" s="2"/>
      <c r="M380" s="2"/>
      <c r="N380" s="2"/>
      <c r="O380" s="2"/>
      <c r="P380" s="2"/>
      <c r="Q380" s="2"/>
      <c r="R380" s="2"/>
      <c r="S380" s="2"/>
      <c r="T380" s="2"/>
      <c r="U380" s="2"/>
      <c r="V380" s="2"/>
      <c r="W380" s="2"/>
      <c r="X380" s="2"/>
      <c r="Y380" s="2"/>
    </row>
    <row r="381" spans="1:25" x14ac:dyDescent="0.2">
      <c r="A381">
        <v>7274</v>
      </c>
      <c r="B381" t="s">
        <v>805</v>
      </c>
      <c r="C381" t="s">
        <v>18</v>
      </c>
      <c r="D381" t="s">
        <v>806</v>
      </c>
      <c r="E381" t="s">
        <v>165</v>
      </c>
      <c r="F381" t="s">
        <v>122</v>
      </c>
      <c r="G381" t="s">
        <v>17</v>
      </c>
      <c r="H381" t="b">
        <v>1</v>
      </c>
      <c r="I381" t="b">
        <v>1</v>
      </c>
      <c r="L381" t="b">
        <v>1</v>
      </c>
    </row>
    <row r="382" spans="1:25" x14ac:dyDescent="0.2">
      <c r="A382">
        <v>7275</v>
      </c>
      <c r="B382" t="s">
        <v>805</v>
      </c>
      <c r="C382" t="s">
        <v>18</v>
      </c>
      <c r="D382" t="s">
        <v>808</v>
      </c>
      <c r="E382" t="s">
        <v>809</v>
      </c>
      <c r="F382" t="s">
        <v>159</v>
      </c>
      <c r="G382" t="s">
        <v>24</v>
      </c>
      <c r="H382" t="b">
        <v>1</v>
      </c>
      <c r="I382" t="b">
        <v>0</v>
      </c>
      <c r="L382" t="b">
        <v>0</v>
      </c>
      <c r="M382" t="s">
        <v>810</v>
      </c>
      <c r="N382" t="s">
        <v>811</v>
      </c>
    </row>
    <row r="383" spans="1:25" x14ac:dyDescent="0.2">
      <c r="A383">
        <v>7276</v>
      </c>
      <c r="B383" t="s">
        <v>805</v>
      </c>
      <c r="C383" t="s">
        <v>18</v>
      </c>
      <c r="D383" t="s">
        <v>812</v>
      </c>
      <c r="E383" t="s">
        <v>813</v>
      </c>
      <c r="F383" t="s">
        <v>122</v>
      </c>
      <c r="G383" t="s">
        <v>17</v>
      </c>
      <c r="H383" t="b">
        <v>1</v>
      </c>
      <c r="I383" t="b">
        <v>0</v>
      </c>
      <c r="L383" t="b">
        <v>1</v>
      </c>
      <c r="M383" t="s">
        <v>814</v>
      </c>
    </row>
    <row r="384" spans="1:25" x14ac:dyDescent="0.2">
      <c r="A384">
        <v>7277</v>
      </c>
      <c r="B384" t="s">
        <v>805</v>
      </c>
      <c r="C384" t="s">
        <v>18</v>
      </c>
      <c r="D384" t="s">
        <v>815</v>
      </c>
      <c r="E384" t="s">
        <v>643</v>
      </c>
      <c r="F384" t="s">
        <v>122</v>
      </c>
      <c r="G384" t="s">
        <v>24</v>
      </c>
      <c r="H384" t="b">
        <v>1</v>
      </c>
      <c r="I384" t="b">
        <v>0</v>
      </c>
      <c r="L384" t="b">
        <v>0</v>
      </c>
    </row>
    <row r="385" spans="1:25" x14ac:dyDescent="0.2">
      <c r="A385">
        <v>7278</v>
      </c>
      <c r="B385" t="s">
        <v>805</v>
      </c>
      <c r="C385" t="s">
        <v>18</v>
      </c>
      <c r="D385" t="s">
        <v>164</v>
      </c>
      <c r="E385" t="s">
        <v>165</v>
      </c>
      <c r="F385" t="s">
        <v>122</v>
      </c>
      <c r="G385" t="s">
        <v>17</v>
      </c>
      <c r="H385" t="b">
        <v>0</v>
      </c>
      <c r="I385" t="b">
        <v>0</v>
      </c>
      <c r="L385" t="b">
        <v>0</v>
      </c>
      <c r="M385" t="s">
        <v>816</v>
      </c>
    </row>
    <row r="387" spans="1:25" x14ac:dyDescent="0.2">
      <c r="A387" s="2">
        <v>7287</v>
      </c>
      <c r="B387" s="2" t="s">
        <v>817</v>
      </c>
      <c r="C387" s="2" t="s">
        <v>13</v>
      </c>
      <c r="D387" s="2" t="s">
        <v>818</v>
      </c>
      <c r="E387" s="2" t="s">
        <v>819</v>
      </c>
      <c r="F387" s="2" t="s">
        <v>78</v>
      </c>
      <c r="G387" s="2" t="s">
        <v>17</v>
      </c>
      <c r="H387" s="2"/>
      <c r="I387" s="2"/>
      <c r="J387" s="2"/>
      <c r="K387" s="2"/>
      <c r="L387" s="2"/>
      <c r="M387" s="2"/>
      <c r="N387" s="2"/>
      <c r="O387" s="2"/>
      <c r="P387" s="2"/>
      <c r="Q387" s="2"/>
      <c r="R387" s="2"/>
      <c r="S387" s="2"/>
      <c r="T387" s="2"/>
      <c r="U387" s="2"/>
      <c r="V387" s="2"/>
      <c r="W387" s="2"/>
      <c r="X387" s="2"/>
      <c r="Y387" s="2"/>
    </row>
    <row r="388" spans="1:25" x14ac:dyDescent="0.2">
      <c r="A388">
        <v>7288</v>
      </c>
      <c r="B388" t="s">
        <v>817</v>
      </c>
      <c r="C388" t="s">
        <v>18</v>
      </c>
      <c r="D388" t="s">
        <v>818</v>
      </c>
      <c r="E388" t="s">
        <v>819</v>
      </c>
      <c r="F388" t="s">
        <v>78</v>
      </c>
      <c r="G388" t="s">
        <v>17</v>
      </c>
      <c r="H388" t="b">
        <v>1</v>
      </c>
      <c r="I388" t="b">
        <v>1</v>
      </c>
      <c r="L388" t="b">
        <v>1</v>
      </c>
      <c r="M388" t="s">
        <v>820</v>
      </c>
      <c r="N388" t="s">
        <v>821</v>
      </c>
      <c r="O388" t="s">
        <v>822</v>
      </c>
    </row>
    <row r="389" spans="1:25" x14ac:dyDescent="0.2">
      <c r="A389">
        <v>7289</v>
      </c>
      <c r="B389" t="s">
        <v>817</v>
      </c>
      <c r="C389" t="s">
        <v>18</v>
      </c>
      <c r="D389" t="s">
        <v>823</v>
      </c>
      <c r="E389" t="s">
        <v>643</v>
      </c>
      <c r="F389" t="s">
        <v>78</v>
      </c>
      <c r="G389" t="s">
        <v>17</v>
      </c>
      <c r="H389" t="b">
        <v>0</v>
      </c>
      <c r="I389" t="b">
        <v>0</v>
      </c>
      <c r="L389" t="b">
        <v>0</v>
      </c>
      <c r="M389" t="s">
        <v>824</v>
      </c>
      <c r="N389" t="s">
        <v>825</v>
      </c>
    </row>
    <row r="390" spans="1:25" x14ac:dyDescent="0.2">
      <c r="A390">
        <v>7290</v>
      </c>
      <c r="B390" t="s">
        <v>817</v>
      </c>
      <c r="C390" t="s">
        <v>18</v>
      </c>
      <c r="D390" t="s">
        <v>826</v>
      </c>
      <c r="E390" t="s">
        <v>827</v>
      </c>
      <c r="F390" t="s">
        <v>78</v>
      </c>
      <c r="G390" t="s">
        <v>828</v>
      </c>
      <c r="H390" t="b">
        <v>0</v>
      </c>
      <c r="I390" t="b">
        <v>0</v>
      </c>
      <c r="L390" t="b">
        <v>0</v>
      </c>
    </row>
    <row r="391" spans="1:25" x14ac:dyDescent="0.2">
      <c r="A391">
        <v>7291</v>
      </c>
      <c r="B391" t="s">
        <v>817</v>
      </c>
      <c r="C391" t="s">
        <v>18</v>
      </c>
      <c r="D391" t="s">
        <v>829</v>
      </c>
      <c r="E391" t="s">
        <v>830</v>
      </c>
      <c r="F391" t="s">
        <v>78</v>
      </c>
      <c r="G391" t="s">
        <v>828</v>
      </c>
      <c r="H391" t="b">
        <v>0</v>
      </c>
      <c r="I391" t="b">
        <v>0</v>
      </c>
      <c r="L391" t="b">
        <v>0</v>
      </c>
    </row>
    <row r="392" spans="1:25" x14ac:dyDescent="0.2">
      <c r="A392">
        <v>7292</v>
      </c>
      <c r="B392" t="s">
        <v>817</v>
      </c>
      <c r="C392" t="s">
        <v>18</v>
      </c>
      <c r="D392" t="s">
        <v>831</v>
      </c>
      <c r="E392" t="s">
        <v>832</v>
      </c>
      <c r="F392" t="s">
        <v>31</v>
      </c>
      <c r="G392" t="s">
        <v>17</v>
      </c>
      <c r="H392" t="b">
        <v>0</v>
      </c>
      <c r="I392" t="b">
        <v>0</v>
      </c>
      <c r="L392" t="b">
        <v>0</v>
      </c>
      <c r="M392" t="s">
        <v>833</v>
      </c>
      <c r="N392" t="s">
        <v>834</v>
      </c>
      <c r="O392" t="s">
        <v>835</v>
      </c>
    </row>
    <row r="394" spans="1:25" x14ac:dyDescent="0.2">
      <c r="A394" s="2">
        <v>7301</v>
      </c>
      <c r="B394" s="2" t="s">
        <v>836</v>
      </c>
      <c r="C394" s="2" t="s">
        <v>13</v>
      </c>
      <c r="D394" s="2" t="s">
        <v>406</v>
      </c>
      <c r="E394" s="2" t="s">
        <v>837</v>
      </c>
      <c r="F394" s="2" t="s">
        <v>205</v>
      </c>
      <c r="G394" s="2" t="s">
        <v>62</v>
      </c>
      <c r="H394" s="2"/>
      <c r="I394" s="2"/>
      <c r="J394" s="2"/>
      <c r="K394" s="2"/>
      <c r="L394" s="2"/>
      <c r="M394" s="2"/>
      <c r="N394" s="2"/>
      <c r="O394" s="2"/>
      <c r="P394" s="2"/>
      <c r="Q394" s="2"/>
      <c r="R394" s="2"/>
      <c r="S394" s="2"/>
      <c r="T394" s="2"/>
      <c r="U394" s="2"/>
      <c r="V394" s="2"/>
      <c r="W394" s="2"/>
      <c r="X394" s="2"/>
      <c r="Y394" s="2"/>
    </row>
    <row r="395" spans="1:25" x14ac:dyDescent="0.2">
      <c r="A395">
        <v>7302</v>
      </c>
      <c r="B395" t="s">
        <v>836</v>
      </c>
      <c r="C395" t="s">
        <v>18</v>
      </c>
      <c r="D395" t="s">
        <v>406</v>
      </c>
      <c r="E395" t="s">
        <v>407</v>
      </c>
      <c r="F395" t="s">
        <v>205</v>
      </c>
      <c r="G395" t="s">
        <v>62</v>
      </c>
      <c r="H395" t="b">
        <v>1</v>
      </c>
      <c r="I395" t="b">
        <v>1</v>
      </c>
      <c r="L395" t="b">
        <v>1</v>
      </c>
      <c r="M395" t="s">
        <v>838</v>
      </c>
      <c r="N395" t="s">
        <v>839</v>
      </c>
    </row>
    <row r="396" spans="1:25" x14ac:dyDescent="0.2">
      <c r="A396">
        <v>7303</v>
      </c>
      <c r="B396" t="s">
        <v>836</v>
      </c>
      <c r="C396" t="s">
        <v>18</v>
      </c>
      <c r="D396" t="s">
        <v>840</v>
      </c>
      <c r="E396" t="s">
        <v>841</v>
      </c>
      <c r="F396" t="s">
        <v>205</v>
      </c>
      <c r="G396" t="s">
        <v>62</v>
      </c>
      <c r="H396" t="b">
        <v>1</v>
      </c>
      <c r="I396" t="b">
        <v>1</v>
      </c>
      <c r="L396" t="b">
        <v>1</v>
      </c>
      <c r="M396" t="s">
        <v>842</v>
      </c>
    </row>
    <row r="397" spans="1:25" x14ac:dyDescent="0.2">
      <c r="A397">
        <v>7304</v>
      </c>
      <c r="B397" t="s">
        <v>836</v>
      </c>
      <c r="C397" t="s">
        <v>18</v>
      </c>
      <c r="D397" t="s">
        <v>843</v>
      </c>
      <c r="E397" t="s">
        <v>844</v>
      </c>
      <c r="F397" t="s">
        <v>205</v>
      </c>
      <c r="G397" t="s">
        <v>62</v>
      </c>
      <c r="H397" t="b">
        <v>1</v>
      </c>
      <c r="I397" t="b">
        <v>0</v>
      </c>
      <c r="L397" t="b">
        <v>1</v>
      </c>
      <c r="M397" t="s">
        <v>845</v>
      </c>
    </row>
    <row r="398" spans="1:25" x14ac:dyDescent="0.2">
      <c r="A398">
        <v>7305</v>
      </c>
      <c r="B398" t="s">
        <v>836</v>
      </c>
      <c r="C398" t="s">
        <v>18</v>
      </c>
      <c r="D398" t="s">
        <v>846</v>
      </c>
      <c r="E398" t="s">
        <v>847</v>
      </c>
      <c r="F398" t="s">
        <v>205</v>
      </c>
      <c r="G398" t="s">
        <v>62</v>
      </c>
      <c r="H398" t="b">
        <v>1</v>
      </c>
      <c r="I398" t="b">
        <v>0</v>
      </c>
      <c r="L398" t="b">
        <v>1</v>
      </c>
      <c r="M398" t="s">
        <v>848</v>
      </c>
    </row>
    <row r="399" spans="1:25" x14ac:dyDescent="0.2">
      <c r="A399">
        <v>7306</v>
      </c>
      <c r="B399" t="s">
        <v>836</v>
      </c>
      <c r="C399" t="s">
        <v>18</v>
      </c>
      <c r="D399" t="s">
        <v>400</v>
      </c>
      <c r="E399" t="s">
        <v>401</v>
      </c>
      <c r="F399" t="s">
        <v>205</v>
      </c>
      <c r="G399" t="s">
        <v>62</v>
      </c>
      <c r="H399" t="b">
        <v>0</v>
      </c>
      <c r="I399" t="b">
        <v>0</v>
      </c>
      <c r="L399" t="b">
        <v>0</v>
      </c>
      <c r="M399" t="s">
        <v>849</v>
      </c>
    </row>
    <row r="401" spans="1:25" x14ac:dyDescent="0.2">
      <c r="A401" s="2">
        <v>7315</v>
      </c>
      <c r="B401" s="2" t="s">
        <v>850</v>
      </c>
      <c r="C401" s="2" t="s">
        <v>13</v>
      </c>
      <c r="D401" s="2" t="s">
        <v>851</v>
      </c>
      <c r="E401" s="2" t="s">
        <v>852</v>
      </c>
      <c r="F401" s="2" t="s">
        <v>122</v>
      </c>
      <c r="G401" s="2" t="s">
        <v>17</v>
      </c>
      <c r="H401" s="2"/>
      <c r="I401" s="2"/>
      <c r="J401" s="2"/>
      <c r="K401" s="2"/>
      <c r="L401" s="2"/>
      <c r="M401" s="2"/>
      <c r="N401" s="2"/>
      <c r="O401" s="2"/>
      <c r="P401" s="2"/>
      <c r="Q401" s="2"/>
      <c r="R401" s="2"/>
      <c r="S401" s="2"/>
      <c r="T401" s="2"/>
      <c r="U401" s="2"/>
      <c r="V401" s="2"/>
      <c r="W401" s="2"/>
      <c r="X401" s="2"/>
      <c r="Y401" s="2"/>
    </row>
    <row r="402" spans="1:25" x14ac:dyDescent="0.2">
      <c r="A402">
        <v>7316</v>
      </c>
      <c r="B402" t="s">
        <v>850</v>
      </c>
      <c r="C402" t="s">
        <v>18</v>
      </c>
      <c r="D402" t="s">
        <v>853</v>
      </c>
      <c r="E402" t="s">
        <v>852</v>
      </c>
      <c r="F402" t="s">
        <v>122</v>
      </c>
      <c r="G402" t="s">
        <v>17</v>
      </c>
      <c r="H402" t="b">
        <v>0</v>
      </c>
      <c r="I402" t="b">
        <v>1</v>
      </c>
      <c r="L402" t="b">
        <v>1</v>
      </c>
      <c r="M402" t="s">
        <v>854</v>
      </c>
      <c r="N402" t="s">
        <v>855</v>
      </c>
    </row>
    <row r="403" spans="1:25" x14ac:dyDescent="0.2">
      <c r="A403">
        <v>7317</v>
      </c>
      <c r="B403" t="s">
        <v>850</v>
      </c>
      <c r="C403" t="s">
        <v>18</v>
      </c>
      <c r="D403" t="s">
        <v>856</v>
      </c>
      <c r="E403" t="s">
        <v>857</v>
      </c>
      <c r="F403" t="s">
        <v>122</v>
      </c>
      <c r="G403" t="s">
        <v>24</v>
      </c>
      <c r="H403" t="b">
        <v>0</v>
      </c>
      <c r="I403" t="b">
        <v>0</v>
      </c>
      <c r="L403" t="b">
        <v>0</v>
      </c>
      <c r="M403" t="s">
        <v>858</v>
      </c>
      <c r="N403" t="s">
        <v>745</v>
      </c>
    </row>
    <row r="404" spans="1:25" x14ac:dyDescent="0.2">
      <c r="A404">
        <v>7318</v>
      </c>
      <c r="B404" t="s">
        <v>850</v>
      </c>
      <c r="C404" t="s">
        <v>18</v>
      </c>
      <c r="D404" t="s">
        <v>859</v>
      </c>
      <c r="E404" t="s">
        <v>860</v>
      </c>
      <c r="F404" t="s">
        <v>122</v>
      </c>
      <c r="G404" t="s">
        <v>24</v>
      </c>
      <c r="H404" t="b">
        <v>0</v>
      </c>
      <c r="I404" t="b">
        <v>0</v>
      </c>
      <c r="L404" t="b">
        <v>0</v>
      </c>
      <c r="M404" t="s">
        <v>861</v>
      </c>
    </row>
    <row r="405" spans="1:25" x14ac:dyDescent="0.2">
      <c r="A405">
        <v>7319</v>
      </c>
      <c r="B405" t="s">
        <v>850</v>
      </c>
      <c r="C405" t="s">
        <v>18</v>
      </c>
      <c r="D405" t="s">
        <v>862</v>
      </c>
      <c r="E405" t="s">
        <v>863</v>
      </c>
      <c r="F405" t="s">
        <v>122</v>
      </c>
      <c r="G405" t="s">
        <v>864</v>
      </c>
      <c r="H405" t="b">
        <v>0</v>
      </c>
      <c r="I405" t="b">
        <v>0</v>
      </c>
      <c r="L405" t="b">
        <v>0</v>
      </c>
      <c r="M405" t="s">
        <v>865</v>
      </c>
    </row>
    <row r="406" spans="1:25" x14ac:dyDescent="0.2">
      <c r="A406">
        <v>7320</v>
      </c>
      <c r="B406" t="s">
        <v>850</v>
      </c>
      <c r="C406" t="s">
        <v>18</v>
      </c>
      <c r="D406" t="s">
        <v>866</v>
      </c>
      <c r="E406" t="s">
        <v>867</v>
      </c>
      <c r="F406" t="s">
        <v>122</v>
      </c>
      <c r="G406" t="s">
        <v>17</v>
      </c>
      <c r="H406" t="b">
        <v>0</v>
      </c>
      <c r="I406" t="b">
        <v>0</v>
      </c>
      <c r="L406" t="b">
        <v>0</v>
      </c>
    </row>
    <row r="408" spans="1:25" x14ac:dyDescent="0.2">
      <c r="A408" s="2">
        <v>7336</v>
      </c>
      <c r="B408" s="2" t="s">
        <v>868</v>
      </c>
      <c r="C408" s="2" t="s">
        <v>13</v>
      </c>
      <c r="D408" s="2" t="s">
        <v>869</v>
      </c>
      <c r="E408" s="2" t="s">
        <v>870</v>
      </c>
      <c r="F408" s="2" t="s">
        <v>27</v>
      </c>
      <c r="G408" s="2" t="s">
        <v>62</v>
      </c>
      <c r="H408" s="2"/>
      <c r="I408" s="2"/>
      <c r="J408" s="2"/>
      <c r="K408" s="2"/>
      <c r="L408" s="2"/>
      <c r="M408" s="2"/>
      <c r="N408" s="2"/>
      <c r="O408" s="2"/>
      <c r="P408" s="2"/>
      <c r="Q408" s="2"/>
      <c r="R408" s="2"/>
      <c r="S408" s="2"/>
      <c r="T408" s="2"/>
      <c r="U408" s="2"/>
      <c r="V408" s="2"/>
      <c r="W408" s="2"/>
      <c r="X408" s="2"/>
      <c r="Y408" s="2"/>
    </row>
    <row r="409" spans="1:25" x14ac:dyDescent="0.2">
      <c r="A409">
        <v>7337</v>
      </c>
      <c r="B409" t="s">
        <v>868</v>
      </c>
      <c r="C409" t="s">
        <v>18</v>
      </c>
      <c r="D409" t="s">
        <v>869</v>
      </c>
      <c r="E409" t="s">
        <v>870</v>
      </c>
      <c r="F409" t="s">
        <v>27</v>
      </c>
      <c r="G409" t="s">
        <v>62</v>
      </c>
      <c r="H409" t="b">
        <v>1</v>
      </c>
      <c r="I409" t="b">
        <v>1</v>
      </c>
      <c r="L409" t="b">
        <v>1</v>
      </c>
      <c r="M409" t="s">
        <v>871</v>
      </c>
      <c r="N409" t="s">
        <v>872</v>
      </c>
    </row>
    <row r="410" spans="1:25" x14ac:dyDescent="0.2">
      <c r="A410">
        <v>7338</v>
      </c>
      <c r="B410" t="s">
        <v>868</v>
      </c>
      <c r="C410" t="s">
        <v>18</v>
      </c>
      <c r="D410" t="s">
        <v>873</v>
      </c>
      <c r="E410" t="s">
        <v>874</v>
      </c>
      <c r="F410" t="s">
        <v>27</v>
      </c>
      <c r="G410" t="s">
        <v>62</v>
      </c>
      <c r="H410" t="b">
        <v>0</v>
      </c>
      <c r="I410" t="b">
        <v>0</v>
      </c>
      <c r="L410" t="b">
        <v>0</v>
      </c>
      <c r="M410" t="s">
        <v>875</v>
      </c>
      <c r="N410" t="s">
        <v>876</v>
      </c>
    </row>
    <row r="411" spans="1:25" x14ac:dyDescent="0.2">
      <c r="A411">
        <v>7339</v>
      </c>
      <c r="B411" t="s">
        <v>868</v>
      </c>
      <c r="C411" t="s">
        <v>18</v>
      </c>
      <c r="D411" t="s">
        <v>877</v>
      </c>
      <c r="E411" t="s">
        <v>878</v>
      </c>
      <c r="F411" t="s">
        <v>82</v>
      </c>
      <c r="G411" t="s">
        <v>879</v>
      </c>
      <c r="H411" t="b">
        <v>0</v>
      </c>
      <c r="I411" t="b">
        <v>0</v>
      </c>
      <c r="L411" t="b">
        <v>0</v>
      </c>
    </row>
    <row r="412" spans="1:25" x14ac:dyDescent="0.2">
      <c r="A412">
        <v>7340</v>
      </c>
      <c r="B412" t="s">
        <v>868</v>
      </c>
      <c r="C412" t="s">
        <v>18</v>
      </c>
      <c r="D412" t="s">
        <v>880</v>
      </c>
      <c r="E412" t="s">
        <v>881</v>
      </c>
      <c r="F412" t="s">
        <v>82</v>
      </c>
      <c r="G412" t="s">
        <v>879</v>
      </c>
      <c r="H412" t="b">
        <v>0</v>
      </c>
      <c r="I412" t="b">
        <v>0</v>
      </c>
      <c r="L412" t="b">
        <v>0</v>
      </c>
      <c r="M412" t="s">
        <v>882</v>
      </c>
    </row>
    <row r="413" spans="1:25" x14ac:dyDescent="0.2">
      <c r="A413">
        <v>7341</v>
      </c>
      <c r="B413" t="s">
        <v>868</v>
      </c>
      <c r="C413" t="s">
        <v>18</v>
      </c>
      <c r="D413" t="s">
        <v>883</v>
      </c>
      <c r="E413" t="s">
        <v>884</v>
      </c>
      <c r="F413" t="s">
        <v>27</v>
      </c>
      <c r="G413" t="s">
        <v>62</v>
      </c>
      <c r="H413" t="b">
        <v>0</v>
      </c>
      <c r="I413" t="b">
        <v>0</v>
      </c>
      <c r="L413" t="b">
        <v>0</v>
      </c>
    </row>
    <row r="415" spans="1:25" x14ac:dyDescent="0.2">
      <c r="A415" s="2">
        <v>735</v>
      </c>
      <c r="B415" s="2" t="s">
        <v>885</v>
      </c>
      <c r="C415" s="2" t="s">
        <v>13</v>
      </c>
      <c r="D415" s="2" t="s">
        <v>886</v>
      </c>
      <c r="E415" s="2" t="s">
        <v>887</v>
      </c>
      <c r="F415" s="2" t="s">
        <v>369</v>
      </c>
      <c r="G415" s="2" t="s">
        <v>17</v>
      </c>
      <c r="H415" s="2"/>
      <c r="I415" s="2"/>
      <c r="J415" s="2"/>
      <c r="K415" s="2"/>
      <c r="L415" s="2"/>
      <c r="M415" s="2"/>
      <c r="N415" s="2"/>
      <c r="O415" s="2"/>
      <c r="P415" s="2"/>
      <c r="Q415" s="2"/>
      <c r="R415" s="2"/>
      <c r="S415" s="2"/>
      <c r="T415" s="2"/>
      <c r="U415" s="2"/>
      <c r="V415" s="2"/>
      <c r="W415" s="2"/>
      <c r="X415" s="2"/>
      <c r="Y415" s="2"/>
    </row>
    <row r="416" spans="1:25" x14ac:dyDescent="0.2">
      <c r="A416">
        <v>736</v>
      </c>
      <c r="B416" t="s">
        <v>885</v>
      </c>
      <c r="C416" t="s">
        <v>18</v>
      </c>
      <c r="D416" t="s">
        <v>886</v>
      </c>
      <c r="E416" t="s">
        <v>888</v>
      </c>
      <c r="F416" t="s">
        <v>369</v>
      </c>
      <c r="G416" t="s">
        <v>17</v>
      </c>
      <c r="H416" t="b">
        <v>1</v>
      </c>
      <c r="I416" t="b">
        <v>1</v>
      </c>
      <c r="L416" t="b">
        <v>1</v>
      </c>
      <c r="M416" t="s">
        <v>889</v>
      </c>
    </row>
    <row r="417" spans="1:25" x14ac:dyDescent="0.2">
      <c r="A417">
        <v>737</v>
      </c>
      <c r="B417" t="s">
        <v>885</v>
      </c>
      <c r="C417" t="s">
        <v>18</v>
      </c>
      <c r="D417" t="s">
        <v>890</v>
      </c>
      <c r="E417" t="s">
        <v>891</v>
      </c>
      <c r="F417" t="s">
        <v>369</v>
      </c>
      <c r="G417" t="s">
        <v>17</v>
      </c>
      <c r="H417" t="b">
        <v>1</v>
      </c>
      <c r="I417" t="b">
        <v>1</v>
      </c>
      <c r="L417" t="b">
        <v>1</v>
      </c>
      <c r="M417" t="s">
        <v>892</v>
      </c>
    </row>
    <row r="418" spans="1:25" x14ac:dyDescent="0.2">
      <c r="A418">
        <v>738</v>
      </c>
      <c r="B418" t="s">
        <v>885</v>
      </c>
      <c r="C418" t="s">
        <v>18</v>
      </c>
      <c r="D418" t="s">
        <v>893</v>
      </c>
      <c r="E418" t="s">
        <v>894</v>
      </c>
      <c r="F418" t="s">
        <v>159</v>
      </c>
      <c r="G418" t="s">
        <v>17</v>
      </c>
      <c r="H418" t="b">
        <v>0</v>
      </c>
      <c r="I418" t="b">
        <v>0</v>
      </c>
      <c r="L418" t="b">
        <v>0</v>
      </c>
      <c r="M418" t="s">
        <v>895</v>
      </c>
      <c r="N418" t="s">
        <v>896</v>
      </c>
    </row>
    <row r="419" spans="1:25" x14ac:dyDescent="0.2">
      <c r="A419">
        <v>739</v>
      </c>
      <c r="B419" t="s">
        <v>885</v>
      </c>
      <c r="C419" t="s">
        <v>18</v>
      </c>
      <c r="D419" t="s">
        <v>897</v>
      </c>
      <c r="E419" t="s">
        <v>898</v>
      </c>
      <c r="F419" t="s">
        <v>205</v>
      </c>
      <c r="G419" t="s">
        <v>345</v>
      </c>
      <c r="H419" t="b">
        <v>0</v>
      </c>
      <c r="I419" t="b">
        <v>0</v>
      </c>
      <c r="L419" t="b">
        <v>0</v>
      </c>
      <c r="M419" t="s">
        <v>899</v>
      </c>
    </row>
    <row r="420" spans="1:25" x14ac:dyDescent="0.2">
      <c r="A420">
        <v>740</v>
      </c>
      <c r="B420" t="s">
        <v>885</v>
      </c>
      <c r="C420" t="s">
        <v>18</v>
      </c>
      <c r="D420" t="s">
        <v>900</v>
      </c>
      <c r="E420" t="s">
        <v>901</v>
      </c>
      <c r="F420" t="s">
        <v>369</v>
      </c>
      <c r="G420" t="s">
        <v>17</v>
      </c>
      <c r="H420" t="b">
        <v>0</v>
      </c>
      <c r="I420" t="b">
        <v>0</v>
      </c>
      <c r="L420" t="b">
        <v>0</v>
      </c>
    </row>
    <row r="422" spans="1:25" x14ac:dyDescent="0.2">
      <c r="A422" s="2">
        <v>7350</v>
      </c>
      <c r="B422" s="2" t="s">
        <v>902</v>
      </c>
      <c r="C422" s="2" t="s">
        <v>13</v>
      </c>
      <c r="D422" s="2" t="s">
        <v>903</v>
      </c>
      <c r="E422" s="2" t="s">
        <v>904</v>
      </c>
      <c r="F422" s="2" t="s">
        <v>78</v>
      </c>
      <c r="G422" s="2" t="s">
        <v>17</v>
      </c>
      <c r="H422" s="2"/>
      <c r="I422" s="2"/>
      <c r="J422" s="2"/>
      <c r="K422" s="2"/>
      <c r="L422" s="2"/>
      <c r="M422" s="2"/>
      <c r="N422" s="2"/>
      <c r="O422" s="2"/>
      <c r="P422" s="2"/>
      <c r="Q422" s="2"/>
      <c r="R422" s="2"/>
      <c r="S422" s="2"/>
      <c r="T422" s="2"/>
      <c r="U422" s="2"/>
      <c r="V422" s="2"/>
      <c r="W422" s="2"/>
      <c r="X422" s="2"/>
      <c r="Y422" s="2"/>
    </row>
    <row r="423" spans="1:25" x14ac:dyDescent="0.2">
      <c r="A423">
        <v>7351</v>
      </c>
      <c r="B423" t="s">
        <v>902</v>
      </c>
      <c r="C423" t="s">
        <v>18</v>
      </c>
      <c r="D423" t="s">
        <v>903</v>
      </c>
      <c r="E423" t="s">
        <v>904</v>
      </c>
      <c r="F423" t="s">
        <v>78</v>
      </c>
      <c r="G423" t="s">
        <v>17</v>
      </c>
      <c r="H423" t="b">
        <v>1</v>
      </c>
      <c r="I423" t="b">
        <v>1</v>
      </c>
      <c r="L423" t="b">
        <v>1</v>
      </c>
      <c r="M423" t="s">
        <v>905</v>
      </c>
      <c r="N423" t="s">
        <v>906</v>
      </c>
      <c r="O423" t="s">
        <v>907</v>
      </c>
    </row>
    <row r="424" spans="1:25" x14ac:dyDescent="0.2">
      <c r="A424">
        <v>7352</v>
      </c>
      <c r="B424" t="s">
        <v>902</v>
      </c>
      <c r="C424" t="s">
        <v>18</v>
      </c>
      <c r="D424" t="s">
        <v>908</v>
      </c>
      <c r="E424" t="s">
        <v>909</v>
      </c>
      <c r="F424" t="s">
        <v>78</v>
      </c>
      <c r="G424" t="s">
        <v>17</v>
      </c>
      <c r="H424" t="b">
        <v>0</v>
      </c>
      <c r="I424" t="b">
        <v>0</v>
      </c>
      <c r="L424" t="b">
        <v>0</v>
      </c>
    </row>
    <row r="425" spans="1:25" x14ac:dyDescent="0.2">
      <c r="A425">
        <v>7353</v>
      </c>
      <c r="B425" t="s">
        <v>902</v>
      </c>
      <c r="C425" t="s">
        <v>18</v>
      </c>
      <c r="D425" t="s">
        <v>910</v>
      </c>
      <c r="E425" t="s">
        <v>911</v>
      </c>
      <c r="F425" t="s">
        <v>78</v>
      </c>
      <c r="G425" t="s">
        <v>88</v>
      </c>
      <c r="H425" t="b">
        <v>0</v>
      </c>
      <c r="I425" t="b">
        <v>0</v>
      </c>
      <c r="L425" t="b">
        <v>0</v>
      </c>
      <c r="M425" t="s">
        <v>912</v>
      </c>
    </row>
    <row r="426" spans="1:25" x14ac:dyDescent="0.2">
      <c r="A426">
        <v>7354</v>
      </c>
      <c r="B426" t="s">
        <v>902</v>
      </c>
      <c r="C426" t="s">
        <v>18</v>
      </c>
      <c r="D426" t="s">
        <v>913</v>
      </c>
      <c r="E426" t="s">
        <v>914</v>
      </c>
      <c r="F426" t="s">
        <v>78</v>
      </c>
      <c r="G426" t="s">
        <v>88</v>
      </c>
      <c r="H426" t="b">
        <v>0</v>
      </c>
      <c r="I426" t="b">
        <v>0</v>
      </c>
      <c r="L426" t="b">
        <v>0</v>
      </c>
    </row>
    <row r="427" spans="1:25" x14ac:dyDescent="0.2">
      <c r="A427">
        <v>7355</v>
      </c>
      <c r="B427" t="s">
        <v>902</v>
      </c>
      <c r="C427" t="s">
        <v>18</v>
      </c>
      <c r="D427" t="s">
        <v>915</v>
      </c>
      <c r="E427" t="s">
        <v>916</v>
      </c>
      <c r="F427" t="s">
        <v>78</v>
      </c>
      <c r="G427" t="s">
        <v>917</v>
      </c>
      <c r="H427" t="b">
        <v>0</v>
      </c>
      <c r="I427" t="b">
        <v>0</v>
      </c>
      <c r="L427" t="b">
        <v>0</v>
      </c>
      <c r="M427" t="s">
        <v>918</v>
      </c>
      <c r="N427" t="s">
        <v>919</v>
      </c>
    </row>
    <row r="429" spans="1:25" x14ac:dyDescent="0.2">
      <c r="A429" s="2">
        <v>7385</v>
      </c>
      <c r="B429" s="2" t="s">
        <v>920</v>
      </c>
      <c r="C429" s="2" t="s">
        <v>13</v>
      </c>
      <c r="D429" s="2" t="s">
        <v>921</v>
      </c>
      <c r="E429" s="2" t="s">
        <v>922</v>
      </c>
      <c r="F429" s="2" t="s">
        <v>78</v>
      </c>
      <c r="G429" s="2" t="s">
        <v>17</v>
      </c>
      <c r="H429" s="2"/>
      <c r="I429" s="2"/>
      <c r="J429" s="2"/>
      <c r="K429" s="2"/>
      <c r="L429" s="2"/>
      <c r="M429" s="2"/>
      <c r="N429" s="2"/>
      <c r="O429" s="2"/>
      <c r="P429" s="2"/>
      <c r="Q429" s="2"/>
      <c r="R429" s="2"/>
      <c r="S429" s="2"/>
      <c r="T429" s="2"/>
      <c r="U429" s="2"/>
      <c r="V429" s="2"/>
      <c r="W429" s="2"/>
      <c r="X429" s="2"/>
      <c r="Y429" s="2"/>
    </row>
    <row r="430" spans="1:25" x14ac:dyDescent="0.2">
      <c r="A430">
        <v>7386</v>
      </c>
      <c r="B430" t="s">
        <v>920</v>
      </c>
      <c r="C430" t="s">
        <v>18</v>
      </c>
      <c r="D430" t="s">
        <v>239</v>
      </c>
      <c r="E430" t="s">
        <v>240</v>
      </c>
      <c r="F430" t="s">
        <v>78</v>
      </c>
      <c r="G430" t="s">
        <v>17</v>
      </c>
      <c r="H430" t="b">
        <v>1</v>
      </c>
      <c r="I430" t="b">
        <v>1</v>
      </c>
      <c r="L430" t="b">
        <v>1</v>
      </c>
      <c r="M430" t="s">
        <v>923</v>
      </c>
      <c r="N430" t="s">
        <v>924</v>
      </c>
    </row>
    <row r="431" spans="1:25" x14ac:dyDescent="0.2">
      <c r="A431">
        <v>7387</v>
      </c>
      <c r="B431" t="s">
        <v>920</v>
      </c>
      <c r="C431" t="s">
        <v>18</v>
      </c>
      <c r="D431" t="s">
        <v>925</v>
      </c>
      <c r="E431" t="s">
        <v>926</v>
      </c>
      <c r="F431" t="s">
        <v>78</v>
      </c>
      <c r="G431" t="s">
        <v>17</v>
      </c>
      <c r="H431" t="b">
        <v>1</v>
      </c>
      <c r="I431" t="b">
        <v>1</v>
      </c>
      <c r="L431" t="b">
        <v>1</v>
      </c>
      <c r="M431" t="s">
        <v>927</v>
      </c>
    </row>
    <row r="432" spans="1:25" x14ac:dyDescent="0.2">
      <c r="A432">
        <v>7388</v>
      </c>
      <c r="B432" t="s">
        <v>920</v>
      </c>
      <c r="C432" t="s">
        <v>18</v>
      </c>
      <c r="D432" t="s">
        <v>241</v>
      </c>
      <c r="E432" t="s">
        <v>242</v>
      </c>
      <c r="F432" t="s">
        <v>78</v>
      </c>
      <c r="G432" t="s">
        <v>17</v>
      </c>
      <c r="H432" t="b">
        <v>0</v>
      </c>
      <c r="I432" t="b">
        <v>0</v>
      </c>
      <c r="L432" t="b">
        <v>0</v>
      </c>
    </row>
    <row r="433" spans="1:25" x14ac:dyDescent="0.2">
      <c r="A433">
        <v>7389</v>
      </c>
      <c r="B433" t="s">
        <v>920</v>
      </c>
      <c r="C433" t="s">
        <v>18</v>
      </c>
      <c r="D433" t="s">
        <v>125</v>
      </c>
      <c r="E433" t="s">
        <v>126</v>
      </c>
      <c r="F433" t="s">
        <v>78</v>
      </c>
      <c r="G433" t="s">
        <v>17</v>
      </c>
      <c r="H433" t="b">
        <v>0</v>
      </c>
      <c r="I433" t="b">
        <v>0</v>
      </c>
      <c r="L433" t="b">
        <v>0</v>
      </c>
      <c r="M433" t="s">
        <v>928</v>
      </c>
      <c r="N433" t="s">
        <v>929</v>
      </c>
    </row>
    <row r="434" spans="1:25" x14ac:dyDescent="0.2">
      <c r="A434">
        <v>7390</v>
      </c>
      <c r="B434" t="s">
        <v>920</v>
      </c>
      <c r="C434" t="s">
        <v>18</v>
      </c>
      <c r="D434" t="s">
        <v>235</v>
      </c>
      <c r="E434" t="s">
        <v>236</v>
      </c>
      <c r="F434" t="s">
        <v>78</v>
      </c>
      <c r="G434" t="s">
        <v>17</v>
      </c>
      <c r="H434" t="b">
        <v>0</v>
      </c>
      <c r="I434" t="b">
        <v>0</v>
      </c>
      <c r="L434" t="b">
        <v>0</v>
      </c>
      <c r="M434" t="s">
        <v>930</v>
      </c>
      <c r="N434" t="s">
        <v>931</v>
      </c>
    </row>
    <row r="436" spans="1:25" x14ac:dyDescent="0.2">
      <c r="A436" s="2">
        <v>7392</v>
      </c>
      <c r="B436" s="2" t="s">
        <v>932</v>
      </c>
      <c r="C436" s="2" t="s">
        <v>13</v>
      </c>
      <c r="D436" s="2" t="s">
        <v>933</v>
      </c>
      <c r="E436" s="2" t="s">
        <v>934</v>
      </c>
      <c r="F436" s="2" t="s">
        <v>87</v>
      </c>
      <c r="G436" s="2" t="s">
        <v>74</v>
      </c>
      <c r="H436" s="2"/>
      <c r="I436" s="2"/>
      <c r="J436" s="2"/>
      <c r="K436" s="2"/>
      <c r="L436" s="2"/>
      <c r="M436" s="2"/>
      <c r="N436" s="2"/>
      <c r="O436" s="2"/>
      <c r="P436" s="2"/>
      <c r="Q436" s="2"/>
      <c r="R436" s="2"/>
      <c r="S436" s="2"/>
      <c r="T436" s="2"/>
      <c r="U436" s="2"/>
      <c r="V436" s="2"/>
      <c r="W436" s="2"/>
      <c r="X436" s="2"/>
      <c r="Y436" s="2"/>
    </row>
    <row r="437" spans="1:25" x14ac:dyDescent="0.2">
      <c r="A437">
        <v>7393</v>
      </c>
      <c r="B437" t="s">
        <v>932</v>
      </c>
      <c r="C437" t="s">
        <v>18</v>
      </c>
      <c r="D437" t="s">
        <v>933</v>
      </c>
      <c r="E437" t="s">
        <v>935</v>
      </c>
      <c r="F437" t="s">
        <v>87</v>
      </c>
      <c r="G437" t="s">
        <v>74</v>
      </c>
      <c r="H437" t="b">
        <v>1</v>
      </c>
      <c r="K437" t="b">
        <v>1</v>
      </c>
      <c r="L437" t="b">
        <v>1</v>
      </c>
      <c r="M437" t="s">
        <v>936</v>
      </c>
      <c r="N437" t="s">
        <v>937</v>
      </c>
    </row>
    <row r="438" spans="1:25" x14ac:dyDescent="0.2">
      <c r="A438">
        <v>7394</v>
      </c>
      <c r="B438" t="s">
        <v>932</v>
      </c>
      <c r="C438" t="s">
        <v>18</v>
      </c>
      <c r="D438" t="s">
        <v>938</v>
      </c>
      <c r="E438" t="s">
        <v>939</v>
      </c>
      <c r="F438" t="s">
        <v>87</v>
      </c>
      <c r="G438" t="s">
        <v>74</v>
      </c>
      <c r="H438" t="b">
        <v>1</v>
      </c>
      <c r="K438" t="b">
        <v>1</v>
      </c>
      <c r="L438" t="b">
        <v>1</v>
      </c>
      <c r="M438" t="s">
        <v>940</v>
      </c>
      <c r="N438" t="s">
        <v>941</v>
      </c>
    </row>
    <row r="439" spans="1:25" x14ac:dyDescent="0.2">
      <c r="A439">
        <v>7395</v>
      </c>
      <c r="B439" t="s">
        <v>932</v>
      </c>
      <c r="C439" t="s">
        <v>18</v>
      </c>
      <c r="D439" t="s">
        <v>942</v>
      </c>
      <c r="E439" t="s">
        <v>943</v>
      </c>
      <c r="F439" t="s">
        <v>87</v>
      </c>
      <c r="G439" t="s">
        <v>74</v>
      </c>
      <c r="H439" t="b">
        <v>1</v>
      </c>
      <c r="K439" t="b">
        <v>1</v>
      </c>
      <c r="L439" t="b">
        <v>1</v>
      </c>
      <c r="M439" t="s">
        <v>944</v>
      </c>
      <c r="N439" t="s">
        <v>945</v>
      </c>
    </row>
    <row r="440" spans="1:25" x14ac:dyDescent="0.2">
      <c r="A440">
        <v>7396</v>
      </c>
      <c r="B440" t="s">
        <v>932</v>
      </c>
      <c r="C440" t="s">
        <v>18</v>
      </c>
      <c r="D440" t="s">
        <v>946</v>
      </c>
      <c r="E440" t="s">
        <v>947</v>
      </c>
      <c r="F440" t="s">
        <v>78</v>
      </c>
      <c r="G440" t="s">
        <v>87</v>
      </c>
      <c r="H440" t="b">
        <v>0</v>
      </c>
      <c r="K440" t="b">
        <v>0</v>
      </c>
      <c r="L440" t="b">
        <v>0</v>
      </c>
      <c r="M440" t="s">
        <v>948</v>
      </c>
      <c r="N440" t="s">
        <v>949</v>
      </c>
    </row>
    <row r="441" spans="1:25" x14ac:dyDescent="0.2">
      <c r="A441">
        <v>7397</v>
      </c>
      <c r="B441" t="s">
        <v>932</v>
      </c>
      <c r="C441" t="s">
        <v>18</v>
      </c>
      <c r="D441" t="s">
        <v>950</v>
      </c>
      <c r="E441" t="s">
        <v>951</v>
      </c>
      <c r="F441" t="s">
        <v>952</v>
      </c>
      <c r="G441" t="s">
        <v>953</v>
      </c>
      <c r="H441" t="b">
        <v>0</v>
      </c>
      <c r="K441" t="b">
        <v>0</v>
      </c>
      <c r="L441" t="b">
        <v>0</v>
      </c>
      <c r="M441" t="s">
        <v>954</v>
      </c>
      <c r="N441" t="s">
        <v>955</v>
      </c>
      <c r="O441" t="s">
        <v>956</v>
      </c>
      <c r="P441" t="s">
        <v>957</v>
      </c>
    </row>
    <row r="443" spans="1:25" x14ac:dyDescent="0.2">
      <c r="A443" s="2">
        <v>7420</v>
      </c>
      <c r="B443" s="2" t="s">
        <v>958</v>
      </c>
      <c r="C443" s="2" t="s">
        <v>13</v>
      </c>
      <c r="D443" s="2" t="s">
        <v>959</v>
      </c>
      <c r="E443" s="2" t="s">
        <v>960</v>
      </c>
      <c r="F443" s="2" t="s">
        <v>122</v>
      </c>
      <c r="G443" s="2" t="s">
        <v>17</v>
      </c>
      <c r="H443" s="2"/>
      <c r="I443" s="2"/>
      <c r="J443" s="2"/>
      <c r="K443" s="2"/>
      <c r="L443" s="2"/>
      <c r="M443" s="2"/>
      <c r="N443" s="2"/>
      <c r="O443" s="2"/>
      <c r="P443" s="2"/>
      <c r="Q443" s="2"/>
      <c r="R443" s="2"/>
      <c r="S443" s="2"/>
      <c r="T443" s="2"/>
      <c r="U443" s="2"/>
      <c r="V443" s="2"/>
      <c r="W443" s="2"/>
      <c r="X443" s="2"/>
      <c r="Y443" s="2"/>
    </row>
    <row r="444" spans="1:25" x14ac:dyDescent="0.2">
      <c r="A444">
        <v>7421</v>
      </c>
      <c r="B444" t="s">
        <v>958</v>
      </c>
      <c r="C444" t="s">
        <v>18</v>
      </c>
      <c r="D444" t="s">
        <v>959</v>
      </c>
      <c r="E444" t="s">
        <v>961</v>
      </c>
      <c r="F444" t="s">
        <v>122</v>
      </c>
      <c r="G444" t="s">
        <v>17</v>
      </c>
      <c r="H444" t="b">
        <v>1</v>
      </c>
      <c r="K444" t="b">
        <v>1</v>
      </c>
      <c r="L444" t="b">
        <v>1</v>
      </c>
      <c r="M444" t="s">
        <v>962</v>
      </c>
      <c r="N444" t="s">
        <v>963</v>
      </c>
    </row>
    <row r="445" spans="1:25" x14ac:dyDescent="0.2">
      <c r="A445">
        <v>7422</v>
      </c>
      <c r="B445" t="s">
        <v>958</v>
      </c>
      <c r="C445" t="s">
        <v>18</v>
      </c>
      <c r="D445" t="s">
        <v>964</v>
      </c>
      <c r="E445" t="s">
        <v>965</v>
      </c>
      <c r="F445" t="s">
        <v>122</v>
      </c>
      <c r="G445" t="s">
        <v>17</v>
      </c>
      <c r="H445" t="b">
        <v>1</v>
      </c>
      <c r="K445" t="b">
        <v>1</v>
      </c>
      <c r="L445" t="b">
        <v>1</v>
      </c>
      <c r="M445" t="s">
        <v>966</v>
      </c>
    </row>
    <row r="446" spans="1:25" x14ac:dyDescent="0.2">
      <c r="A446">
        <v>7423</v>
      </c>
      <c r="B446" t="s">
        <v>958</v>
      </c>
      <c r="C446" t="s">
        <v>18</v>
      </c>
      <c r="D446" t="s">
        <v>967</v>
      </c>
      <c r="E446" t="s">
        <v>968</v>
      </c>
      <c r="F446" t="s">
        <v>122</v>
      </c>
      <c r="G446" t="s">
        <v>17</v>
      </c>
      <c r="H446" t="b">
        <v>0</v>
      </c>
      <c r="K446" t="b">
        <v>0</v>
      </c>
      <c r="L446" t="b">
        <v>0</v>
      </c>
    </row>
    <row r="447" spans="1:25" x14ac:dyDescent="0.2">
      <c r="A447">
        <v>7424</v>
      </c>
      <c r="B447" t="s">
        <v>958</v>
      </c>
      <c r="C447" t="s">
        <v>18</v>
      </c>
      <c r="D447" t="s">
        <v>969</v>
      </c>
      <c r="E447" t="s">
        <v>970</v>
      </c>
      <c r="F447" t="s">
        <v>122</v>
      </c>
      <c r="G447" t="s">
        <v>17</v>
      </c>
      <c r="H447" t="b">
        <v>0</v>
      </c>
      <c r="K447" t="b">
        <v>0</v>
      </c>
      <c r="L447" t="b">
        <v>0</v>
      </c>
    </row>
    <row r="448" spans="1:25" x14ac:dyDescent="0.2">
      <c r="A448">
        <v>7425</v>
      </c>
      <c r="B448" t="s">
        <v>958</v>
      </c>
      <c r="C448" t="s">
        <v>18</v>
      </c>
      <c r="D448" t="s">
        <v>971</v>
      </c>
      <c r="E448" t="s">
        <v>972</v>
      </c>
      <c r="F448" t="s">
        <v>82</v>
      </c>
      <c r="G448" t="s">
        <v>17</v>
      </c>
      <c r="H448" t="b">
        <v>0</v>
      </c>
      <c r="K448" t="b">
        <v>0</v>
      </c>
      <c r="L448" t="b">
        <v>0</v>
      </c>
    </row>
    <row r="450" spans="1:25" x14ac:dyDescent="0.2">
      <c r="A450" s="2">
        <v>7427</v>
      </c>
      <c r="B450" s="2" t="s">
        <v>973</v>
      </c>
      <c r="C450" s="2" t="s">
        <v>13</v>
      </c>
      <c r="D450" s="2" t="s">
        <v>974</v>
      </c>
      <c r="E450" s="2" t="s">
        <v>975</v>
      </c>
      <c r="F450" s="2" t="s">
        <v>174</v>
      </c>
      <c r="G450" s="2" t="s">
        <v>17</v>
      </c>
      <c r="H450" s="2"/>
      <c r="I450" s="2"/>
      <c r="J450" s="2"/>
      <c r="K450" s="2"/>
      <c r="L450" s="2"/>
      <c r="M450" s="2"/>
      <c r="N450" s="2"/>
      <c r="O450" s="2"/>
      <c r="P450" s="2"/>
      <c r="Q450" s="2"/>
      <c r="R450" s="2"/>
      <c r="S450" s="2"/>
      <c r="T450" s="2"/>
      <c r="U450" s="2"/>
      <c r="V450" s="2"/>
      <c r="W450" s="2"/>
      <c r="X450" s="2"/>
      <c r="Y450" s="2"/>
    </row>
    <row r="451" spans="1:25" x14ac:dyDescent="0.2">
      <c r="A451">
        <v>7428</v>
      </c>
      <c r="B451" t="s">
        <v>973</v>
      </c>
      <c r="C451" t="s">
        <v>18</v>
      </c>
      <c r="D451" t="s">
        <v>974</v>
      </c>
      <c r="E451" t="s">
        <v>975</v>
      </c>
      <c r="F451" t="s">
        <v>976</v>
      </c>
      <c r="G451" t="s">
        <v>17</v>
      </c>
      <c r="H451" t="b">
        <v>1</v>
      </c>
      <c r="K451" t="b">
        <v>1</v>
      </c>
      <c r="L451" t="b">
        <v>1</v>
      </c>
      <c r="M451" t="s">
        <v>977</v>
      </c>
      <c r="N451" t="s">
        <v>978</v>
      </c>
    </row>
    <row r="452" spans="1:25" x14ac:dyDescent="0.2">
      <c r="A452">
        <v>7429</v>
      </c>
      <c r="B452" t="s">
        <v>973</v>
      </c>
      <c r="C452" t="s">
        <v>18</v>
      </c>
      <c r="D452" t="s">
        <v>979</v>
      </c>
      <c r="E452" t="s">
        <v>980</v>
      </c>
      <c r="F452" t="s">
        <v>82</v>
      </c>
      <c r="G452" t="s">
        <v>17</v>
      </c>
      <c r="H452" t="b">
        <v>0</v>
      </c>
      <c r="K452" t="b">
        <v>0</v>
      </c>
      <c r="L452" t="b">
        <v>0</v>
      </c>
    </row>
    <row r="453" spans="1:25" x14ac:dyDescent="0.2">
      <c r="A453">
        <v>7430</v>
      </c>
      <c r="B453" t="s">
        <v>973</v>
      </c>
      <c r="C453" t="s">
        <v>18</v>
      </c>
      <c r="D453" t="s">
        <v>981</v>
      </c>
      <c r="E453" t="s">
        <v>982</v>
      </c>
      <c r="F453" t="s">
        <v>174</v>
      </c>
      <c r="G453" t="s">
        <v>24</v>
      </c>
      <c r="H453" t="b">
        <v>0</v>
      </c>
      <c r="K453" t="b">
        <v>0</v>
      </c>
      <c r="L453" t="b">
        <v>0</v>
      </c>
      <c r="M453" t="s">
        <v>983</v>
      </c>
    </row>
    <row r="454" spans="1:25" x14ac:dyDescent="0.2">
      <c r="A454">
        <v>7431</v>
      </c>
      <c r="B454" t="s">
        <v>973</v>
      </c>
      <c r="C454" t="s">
        <v>18</v>
      </c>
      <c r="D454" t="s">
        <v>984</v>
      </c>
      <c r="E454" t="s">
        <v>985</v>
      </c>
      <c r="F454" t="s">
        <v>159</v>
      </c>
      <c r="G454" t="s">
        <v>17</v>
      </c>
      <c r="H454" t="b">
        <v>0</v>
      </c>
      <c r="K454" t="b">
        <v>0</v>
      </c>
      <c r="L454" t="b">
        <v>0</v>
      </c>
      <c r="M454" t="s">
        <v>986</v>
      </c>
      <c r="N454" t="s">
        <v>987</v>
      </c>
    </row>
    <row r="455" spans="1:25" x14ac:dyDescent="0.2">
      <c r="A455">
        <v>7432</v>
      </c>
      <c r="B455" t="s">
        <v>973</v>
      </c>
      <c r="C455" t="s">
        <v>18</v>
      </c>
      <c r="D455" t="s">
        <v>988</v>
      </c>
      <c r="E455" t="s">
        <v>989</v>
      </c>
      <c r="F455" t="s">
        <v>174</v>
      </c>
      <c r="G455" t="s">
        <v>17</v>
      </c>
      <c r="H455" t="b">
        <v>0</v>
      </c>
      <c r="K455" t="b">
        <v>0</v>
      </c>
      <c r="L455" t="b">
        <v>0</v>
      </c>
    </row>
    <row r="457" spans="1:25" x14ac:dyDescent="0.2">
      <c r="A457" s="2">
        <v>7462</v>
      </c>
      <c r="B457" s="2" t="s">
        <v>990</v>
      </c>
      <c r="C457" s="2" t="s">
        <v>13</v>
      </c>
      <c r="D457" s="2" t="s">
        <v>991</v>
      </c>
      <c r="E457" s="2" t="s">
        <v>992</v>
      </c>
      <c r="F457" s="2" t="s">
        <v>205</v>
      </c>
      <c r="G457" s="2" t="s">
        <v>417</v>
      </c>
      <c r="H457" s="2"/>
      <c r="I457" s="2"/>
      <c r="J457" s="2"/>
      <c r="K457" s="2"/>
      <c r="L457" s="2"/>
      <c r="M457" s="2"/>
      <c r="N457" s="2"/>
      <c r="O457" s="2"/>
      <c r="P457" s="2"/>
      <c r="Q457" s="2"/>
      <c r="R457" s="2"/>
      <c r="S457" s="2"/>
      <c r="T457" s="2"/>
      <c r="U457" s="2"/>
      <c r="V457" s="2"/>
      <c r="W457" s="2"/>
      <c r="X457" s="2"/>
      <c r="Y457" s="2"/>
    </row>
    <row r="458" spans="1:25" x14ac:dyDescent="0.2">
      <c r="A458">
        <v>7463</v>
      </c>
      <c r="B458" t="s">
        <v>990</v>
      </c>
      <c r="C458" t="s">
        <v>18</v>
      </c>
      <c r="D458" t="s">
        <v>991</v>
      </c>
      <c r="E458" t="s">
        <v>992</v>
      </c>
      <c r="F458" t="s">
        <v>205</v>
      </c>
      <c r="G458" t="s">
        <v>417</v>
      </c>
      <c r="H458" t="b">
        <v>1</v>
      </c>
      <c r="K458" t="b">
        <v>1</v>
      </c>
      <c r="L458" t="b">
        <v>1</v>
      </c>
      <c r="M458" t="s">
        <v>993</v>
      </c>
      <c r="N458" t="s">
        <v>745</v>
      </c>
    </row>
    <row r="459" spans="1:25" x14ac:dyDescent="0.2">
      <c r="A459">
        <v>7464</v>
      </c>
      <c r="B459" t="s">
        <v>990</v>
      </c>
      <c r="C459" t="s">
        <v>18</v>
      </c>
      <c r="D459" t="s">
        <v>994</v>
      </c>
      <c r="E459" t="s">
        <v>995</v>
      </c>
      <c r="F459" t="s">
        <v>205</v>
      </c>
      <c r="G459" t="s">
        <v>417</v>
      </c>
      <c r="H459" t="b">
        <v>0</v>
      </c>
      <c r="K459" t="b">
        <v>0</v>
      </c>
      <c r="L459" t="b">
        <v>0</v>
      </c>
      <c r="M459" t="s">
        <v>996</v>
      </c>
      <c r="N459" t="s">
        <v>997</v>
      </c>
    </row>
    <row r="460" spans="1:25" x14ac:dyDescent="0.2">
      <c r="A460">
        <v>7465</v>
      </c>
      <c r="B460" t="s">
        <v>990</v>
      </c>
      <c r="C460" t="s">
        <v>18</v>
      </c>
      <c r="D460" t="s">
        <v>998</v>
      </c>
      <c r="E460" t="s">
        <v>999</v>
      </c>
      <c r="F460" t="s">
        <v>205</v>
      </c>
      <c r="G460" t="s">
        <v>417</v>
      </c>
      <c r="H460" t="b">
        <v>0</v>
      </c>
      <c r="K460" t="b">
        <v>0</v>
      </c>
      <c r="L460" t="b">
        <v>0</v>
      </c>
      <c r="M460" t="s">
        <v>1000</v>
      </c>
    </row>
    <row r="461" spans="1:25" x14ac:dyDescent="0.2">
      <c r="A461">
        <v>7466</v>
      </c>
      <c r="B461" t="s">
        <v>990</v>
      </c>
      <c r="C461" t="s">
        <v>18</v>
      </c>
      <c r="D461" t="s">
        <v>1001</v>
      </c>
      <c r="E461" t="s">
        <v>1002</v>
      </c>
      <c r="F461" t="s">
        <v>205</v>
      </c>
      <c r="G461" t="s">
        <v>417</v>
      </c>
      <c r="H461" t="b">
        <v>0</v>
      </c>
      <c r="K461" t="b">
        <v>0</v>
      </c>
      <c r="L461" t="b">
        <v>0</v>
      </c>
      <c r="M461" t="s">
        <v>1003</v>
      </c>
      <c r="N461" t="s">
        <v>1004</v>
      </c>
    </row>
    <row r="462" spans="1:25" x14ac:dyDescent="0.2">
      <c r="A462">
        <v>7467</v>
      </c>
      <c r="B462" t="s">
        <v>990</v>
      </c>
      <c r="C462" t="s">
        <v>18</v>
      </c>
      <c r="D462" t="s">
        <v>1005</v>
      </c>
      <c r="E462" t="s">
        <v>999</v>
      </c>
      <c r="F462" t="s">
        <v>205</v>
      </c>
      <c r="G462" t="s">
        <v>417</v>
      </c>
      <c r="H462" t="b">
        <v>0</v>
      </c>
      <c r="K462" t="b">
        <v>0</v>
      </c>
      <c r="L462" t="b">
        <v>0</v>
      </c>
      <c r="M462" t="s">
        <v>1006</v>
      </c>
    </row>
    <row r="464" spans="1:25" x14ac:dyDescent="0.2">
      <c r="A464" s="2">
        <v>7469</v>
      </c>
      <c r="B464" s="2" t="s">
        <v>1007</v>
      </c>
      <c r="C464" s="2" t="s">
        <v>13</v>
      </c>
      <c r="D464" s="2" t="s">
        <v>1008</v>
      </c>
      <c r="E464" s="2" t="s">
        <v>1009</v>
      </c>
      <c r="F464" s="2" t="s">
        <v>1010</v>
      </c>
      <c r="G464" s="2" t="s">
        <v>88</v>
      </c>
      <c r="H464" s="2"/>
      <c r="I464" s="2"/>
      <c r="J464" s="2"/>
      <c r="K464" s="2"/>
      <c r="L464" s="2"/>
      <c r="M464" s="2"/>
      <c r="N464" s="2"/>
      <c r="O464" s="2"/>
      <c r="P464" s="2"/>
      <c r="Q464" s="2"/>
      <c r="R464" s="2"/>
      <c r="S464" s="2"/>
      <c r="T464" s="2"/>
      <c r="U464" s="2"/>
      <c r="V464" s="2"/>
      <c r="W464" s="2"/>
      <c r="X464" s="2"/>
      <c r="Y464" s="2"/>
    </row>
    <row r="465" spans="1:25" x14ac:dyDescent="0.2">
      <c r="A465">
        <v>7470</v>
      </c>
      <c r="B465" t="s">
        <v>1007</v>
      </c>
      <c r="C465" t="s">
        <v>18</v>
      </c>
      <c r="D465" t="s">
        <v>1008</v>
      </c>
      <c r="E465" t="s">
        <v>1009</v>
      </c>
      <c r="F465" t="s">
        <v>1011</v>
      </c>
      <c r="G465" t="s">
        <v>88</v>
      </c>
      <c r="H465" t="b">
        <v>1</v>
      </c>
      <c r="K465" t="b">
        <v>1</v>
      </c>
      <c r="L465" t="b">
        <v>1</v>
      </c>
      <c r="M465" t="s">
        <v>1012</v>
      </c>
      <c r="N465" t="s">
        <v>1013</v>
      </c>
      <c r="O465" t="s">
        <v>1014</v>
      </c>
    </row>
    <row r="466" spans="1:25" x14ac:dyDescent="0.2">
      <c r="A466">
        <v>7471</v>
      </c>
      <c r="B466" t="s">
        <v>1007</v>
      </c>
      <c r="C466" t="s">
        <v>18</v>
      </c>
      <c r="D466" t="s">
        <v>1015</v>
      </c>
      <c r="E466" t="s">
        <v>1016</v>
      </c>
      <c r="F466" t="s">
        <v>159</v>
      </c>
      <c r="G466" t="s">
        <v>88</v>
      </c>
      <c r="H466" t="b">
        <v>0</v>
      </c>
      <c r="K466" t="b">
        <v>0</v>
      </c>
      <c r="L466" t="b">
        <v>0</v>
      </c>
      <c r="M466" t="s">
        <v>1017</v>
      </c>
      <c r="N466" t="s">
        <v>1018</v>
      </c>
    </row>
    <row r="467" spans="1:25" x14ac:dyDescent="0.2">
      <c r="A467">
        <v>7472</v>
      </c>
      <c r="B467" t="s">
        <v>1007</v>
      </c>
      <c r="C467" t="s">
        <v>18</v>
      </c>
      <c r="D467" t="s">
        <v>1019</v>
      </c>
      <c r="E467" t="s">
        <v>1020</v>
      </c>
      <c r="F467" t="s">
        <v>159</v>
      </c>
      <c r="G467" t="s">
        <v>88</v>
      </c>
      <c r="H467" t="b">
        <v>0</v>
      </c>
      <c r="K467" t="b">
        <v>0</v>
      </c>
      <c r="L467" t="b">
        <v>0</v>
      </c>
      <c r="M467" t="s">
        <v>1021</v>
      </c>
      <c r="N467" t="s">
        <v>1022</v>
      </c>
    </row>
    <row r="468" spans="1:25" x14ac:dyDescent="0.2">
      <c r="A468">
        <v>7473</v>
      </c>
      <c r="B468" t="s">
        <v>1007</v>
      </c>
      <c r="C468" t="s">
        <v>18</v>
      </c>
      <c r="D468" t="s">
        <v>1023</v>
      </c>
      <c r="E468" t="s">
        <v>1024</v>
      </c>
      <c r="F468" t="s">
        <v>1010</v>
      </c>
      <c r="G468" t="s">
        <v>88</v>
      </c>
      <c r="H468" t="b">
        <v>0</v>
      </c>
      <c r="K468" t="b">
        <v>0</v>
      </c>
      <c r="L468" t="b">
        <v>0</v>
      </c>
    </row>
    <row r="469" spans="1:25" x14ac:dyDescent="0.2">
      <c r="A469">
        <v>7474</v>
      </c>
      <c r="B469" t="s">
        <v>1007</v>
      </c>
      <c r="C469" t="s">
        <v>18</v>
      </c>
      <c r="D469" t="s">
        <v>1025</v>
      </c>
      <c r="E469" t="s">
        <v>1026</v>
      </c>
      <c r="F469" t="s">
        <v>82</v>
      </c>
      <c r="G469" t="s">
        <v>88</v>
      </c>
      <c r="H469" t="b">
        <v>0</v>
      </c>
      <c r="K469" t="b">
        <v>0</v>
      </c>
      <c r="L469" t="b">
        <v>0</v>
      </c>
    </row>
    <row r="471" spans="1:25" x14ac:dyDescent="0.2">
      <c r="A471" s="2">
        <v>749</v>
      </c>
      <c r="B471" s="2" t="s">
        <v>1027</v>
      </c>
      <c r="C471" s="2" t="s">
        <v>13</v>
      </c>
      <c r="D471" s="2" t="s">
        <v>1028</v>
      </c>
      <c r="E471" s="2" t="s">
        <v>1029</v>
      </c>
      <c r="F471" s="2" t="s">
        <v>31</v>
      </c>
      <c r="G471" s="2" t="s">
        <v>17</v>
      </c>
      <c r="H471" s="2"/>
      <c r="I471" s="2"/>
      <c r="J471" s="2"/>
      <c r="K471" s="2"/>
      <c r="L471" s="2"/>
      <c r="M471" s="2"/>
      <c r="N471" s="2"/>
      <c r="O471" s="2"/>
      <c r="P471" s="2"/>
      <c r="Q471" s="2"/>
      <c r="R471" s="2"/>
      <c r="S471" s="2"/>
      <c r="T471" s="2"/>
      <c r="U471" s="2"/>
      <c r="V471" s="2"/>
      <c r="W471" s="2"/>
      <c r="X471" s="2"/>
      <c r="Y471" s="2"/>
    </row>
    <row r="472" spans="1:25" x14ac:dyDescent="0.2">
      <c r="A472">
        <v>750</v>
      </c>
      <c r="B472" t="s">
        <v>1027</v>
      </c>
      <c r="C472" t="s">
        <v>18</v>
      </c>
      <c r="D472" t="s">
        <v>1030</v>
      </c>
      <c r="E472" t="s">
        <v>1031</v>
      </c>
      <c r="F472" t="s">
        <v>31</v>
      </c>
      <c r="G472" t="s">
        <v>17</v>
      </c>
      <c r="H472" t="b">
        <v>1</v>
      </c>
      <c r="I472" t="b">
        <v>1</v>
      </c>
      <c r="L472" t="b">
        <v>1</v>
      </c>
      <c r="M472" t="s">
        <v>1032</v>
      </c>
    </row>
    <row r="473" spans="1:25" x14ac:dyDescent="0.2">
      <c r="A473">
        <v>751</v>
      </c>
      <c r="B473" t="s">
        <v>1027</v>
      </c>
      <c r="C473" t="s">
        <v>18</v>
      </c>
      <c r="D473" t="s">
        <v>1033</v>
      </c>
      <c r="E473" t="s">
        <v>1034</v>
      </c>
      <c r="F473" t="s">
        <v>16</v>
      </c>
      <c r="G473" t="s">
        <v>252</v>
      </c>
      <c r="H473" t="b">
        <v>0</v>
      </c>
      <c r="I473" t="b">
        <v>0</v>
      </c>
      <c r="L473" t="b">
        <v>0</v>
      </c>
      <c r="M473" t="s">
        <v>1035</v>
      </c>
      <c r="N473" t="s">
        <v>1036</v>
      </c>
    </row>
    <row r="474" spans="1:25" x14ac:dyDescent="0.2">
      <c r="A474">
        <v>752</v>
      </c>
      <c r="B474" t="s">
        <v>1027</v>
      </c>
      <c r="C474" t="s">
        <v>18</v>
      </c>
      <c r="D474" t="s">
        <v>1037</v>
      </c>
      <c r="E474" t="s">
        <v>1038</v>
      </c>
      <c r="F474" t="s">
        <v>31</v>
      </c>
      <c r="G474" t="s">
        <v>17</v>
      </c>
      <c r="H474" t="b">
        <v>0</v>
      </c>
      <c r="I474" t="b">
        <v>0</v>
      </c>
      <c r="L474" t="b">
        <v>0</v>
      </c>
      <c r="M474" t="s">
        <v>1039</v>
      </c>
    </row>
    <row r="475" spans="1:25" x14ac:dyDescent="0.2">
      <c r="A475">
        <v>753</v>
      </c>
      <c r="B475" t="s">
        <v>1027</v>
      </c>
      <c r="C475" t="s">
        <v>18</v>
      </c>
      <c r="D475" t="s">
        <v>663</v>
      </c>
      <c r="E475" t="s">
        <v>664</v>
      </c>
      <c r="F475" t="s">
        <v>78</v>
      </c>
      <c r="G475" t="s">
        <v>17</v>
      </c>
      <c r="H475" t="b">
        <v>0</v>
      </c>
      <c r="I475" t="b">
        <v>0</v>
      </c>
      <c r="L475" t="b">
        <v>0</v>
      </c>
      <c r="M475" t="s">
        <v>665</v>
      </c>
      <c r="N475" t="s">
        <v>666</v>
      </c>
      <c r="O475" t="s">
        <v>667</v>
      </c>
    </row>
    <row r="476" spans="1:25" x14ac:dyDescent="0.2">
      <c r="A476">
        <v>754</v>
      </c>
      <c r="B476" t="s">
        <v>1027</v>
      </c>
      <c r="C476" t="s">
        <v>18</v>
      </c>
      <c r="D476" t="s">
        <v>1040</v>
      </c>
      <c r="E476" t="s">
        <v>1041</v>
      </c>
      <c r="F476" t="s">
        <v>31</v>
      </c>
      <c r="G476" t="s">
        <v>17</v>
      </c>
      <c r="H476" t="b">
        <v>0</v>
      </c>
      <c r="I476" t="b">
        <v>0</v>
      </c>
      <c r="L476" t="b">
        <v>0</v>
      </c>
      <c r="M476" t="s">
        <v>1042</v>
      </c>
      <c r="N476" t="s">
        <v>1043</v>
      </c>
    </row>
    <row r="478" spans="1:25" x14ac:dyDescent="0.2">
      <c r="A478" s="2">
        <v>7490</v>
      </c>
      <c r="B478" s="2" t="s">
        <v>1044</v>
      </c>
      <c r="C478" s="2" t="s">
        <v>13</v>
      </c>
      <c r="D478" s="2" t="s">
        <v>1045</v>
      </c>
      <c r="E478" s="2" t="s">
        <v>1046</v>
      </c>
      <c r="F478" s="2" t="s">
        <v>159</v>
      </c>
      <c r="G478" s="2" t="s">
        <v>1047</v>
      </c>
      <c r="H478" s="2"/>
      <c r="I478" s="2"/>
      <c r="J478" s="2"/>
      <c r="K478" s="2"/>
      <c r="L478" s="2"/>
      <c r="M478" s="2"/>
      <c r="N478" s="2"/>
      <c r="O478" s="2"/>
      <c r="P478" s="2"/>
      <c r="Q478" s="2"/>
      <c r="R478" s="2"/>
      <c r="S478" s="2"/>
      <c r="T478" s="2"/>
      <c r="U478" s="2"/>
      <c r="V478" s="2"/>
      <c r="W478" s="2"/>
      <c r="X478" s="2"/>
      <c r="Y478" s="2"/>
    </row>
    <row r="479" spans="1:25" x14ac:dyDescent="0.2">
      <c r="A479">
        <v>7491</v>
      </c>
      <c r="B479" t="s">
        <v>1044</v>
      </c>
      <c r="C479" t="s">
        <v>18</v>
      </c>
      <c r="D479" t="s">
        <v>1048</v>
      </c>
      <c r="E479" t="s">
        <v>1049</v>
      </c>
      <c r="F479" t="s">
        <v>159</v>
      </c>
      <c r="G479" t="s">
        <v>1047</v>
      </c>
      <c r="H479" t="b">
        <v>1</v>
      </c>
      <c r="I479" t="b">
        <v>1</v>
      </c>
      <c r="L479" t="b">
        <v>1</v>
      </c>
      <c r="M479" t="s">
        <v>1050</v>
      </c>
      <c r="N479" t="s">
        <v>1051</v>
      </c>
    </row>
    <row r="480" spans="1:25" x14ac:dyDescent="0.2">
      <c r="A480">
        <v>7492</v>
      </c>
      <c r="B480" t="s">
        <v>1044</v>
      </c>
      <c r="C480" t="s">
        <v>18</v>
      </c>
      <c r="D480" t="s">
        <v>1052</v>
      </c>
      <c r="E480" t="s">
        <v>1053</v>
      </c>
      <c r="F480" t="s">
        <v>596</v>
      </c>
      <c r="G480" t="s">
        <v>201</v>
      </c>
      <c r="H480" t="b">
        <v>0</v>
      </c>
      <c r="I480" t="b">
        <v>0</v>
      </c>
      <c r="L480" t="b">
        <v>0</v>
      </c>
      <c r="M480" t="s">
        <v>1054</v>
      </c>
      <c r="N480" t="s">
        <v>1055</v>
      </c>
    </row>
    <row r="481" spans="1:25" x14ac:dyDescent="0.2">
      <c r="A481">
        <v>7493</v>
      </c>
      <c r="B481" t="s">
        <v>1044</v>
      </c>
      <c r="C481" t="s">
        <v>18</v>
      </c>
      <c r="D481" t="s">
        <v>1056</v>
      </c>
      <c r="E481" t="s">
        <v>1057</v>
      </c>
      <c r="F481" t="s">
        <v>159</v>
      </c>
      <c r="G481" t="s">
        <v>201</v>
      </c>
      <c r="H481" t="b">
        <v>0</v>
      </c>
      <c r="I481" t="b">
        <v>0</v>
      </c>
      <c r="L481" t="b">
        <v>0</v>
      </c>
      <c r="M481" t="s">
        <v>1058</v>
      </c>
    </row>
    <row r="482" spans="1:25" x14ac:dyDescent="0.2">
      <c r="A482">
        <v>7494</v>
      </c>
      <c r="B482" t="s">
        <v>1044</v>
      </c>
      <c r="C482" t="s">
        <v>18</v>
      </c>
      <c r="D482" t="s">
        <v>1059</v>
      </c>
      <c r="E482" t="s">
        <v>1049</v>
      </c>
      <c r="F482" t="s">
        <v>196</v>
      </c>
      <c r="G482" t="s">
        <v>1047</v>
      </c>
      <c r="H482" t="b">
        <v>0</v>
      </c>
      <c r="I482" t="b">
        <v>0</v>
      </c>
      <c r="L482" t="b">
        <v>0</v>
      </c>
      <c r="M482" t="s">
        <v>1060</v>
      </c>
      <c r="N482" t="s">
        <v>1061</v>
      </c>
    </row>
    <row r="483" spans="1:25" x14ac:dyDescent="0.2">
      <c r="A483">
        <v>7495</v>
      </c>
      <c r="B483" t="s">
        <v>1044</v>
      </c>
      <c r="C483" t="s">
        <v>18</v>
      </c>
      <c r="D483" t="s">
        <v>1062</v>
      </c>
      <c r="E483" t="s">
        <v>1063</v>
      </c>
      <c r="F483" t="s">
        <v>159</v>
      </c>
      <c r="G483" t="s">
        <v>32</v>
      </c>
      <c r="H483" t="b">
        <v>0</v>
      </c>
      <c r="I483" t="b">
        <v>0</v>
      </c>
      <c r="L483" t="b">
        <v>0</v>
      </c>
      <c r="M483" t="s">
        <v>1064</v>
      </c>
    </row>
    <row r="485" spans="1:25" x14ac:dyDescent="0.2">
      <c r="A485" s="2">
        <v>7518</v>
      </c>
      <c r="B485" s="2" t="s">
        <v>1065</v>
      </c>
      <c r="C485" s="2" t="s">
        <v>13</v>
      </c>
      <c r="D485" s="2" t="s">
        <v>1066</v>
      </c>
      <c r="E485" s="2" t="s">
        <v>1067</v>
      </c>
      <c r="F485" s="2" t="s">
        <v>616</v>
      </c>
      <c r="G485" s="2" t="s">
        <v>88</v>
      </c>
      <c r="H485" s="2"/>
      <c r="I485" s="2"/>
      <c r="J485" s="2"/>
      <c r="K485" s="2"/>
      <c r="L485" s="2"/>
      <c r="M485" s="2"/>
      <c r="N485" s="2"/>
      <c r="O485" s="2"/>
      <c r="P485" s="2"/>
      <c r="Q485" s="2"/>
      <c r="R485" s="2"/>
      <c r="S485" s="2"/>
      <c r="T485" s="2"/>
      <c r="U485" s="2"/>
      <c r="V485" s="2"/>
      <c r="W485" s="2"/>
      <c r="X485" s="2"/>
      <c r="Y485" s="2"/>
    </row>
    <row r="486" spans="1:25" x14ac:dyDescent="0.2">
      <c r="A486">
        <v>7519</v>
      </c>
      <c r="B486" t="s">
        <v>1065</v>
      </c>
      <c r="C486" t="s">
        <v>18</v>
      </c>
      <c r="D486" t="s">
        <v>1066</v>
      </c>
      <c r="E486" t="s">
        <v>1067</v>
      </c>
      <c r="F486" t="s">
        <v>616</v>
      </c>
      <c r="G486" t="s">
        <v>88</v>
      </c>
      <c r="H486" t="b">
        <v>1</v>
      </c>
      <c r="I486" t="b">
        <v>1</v>
      </c>
      <c r="L486" t="b">
        <v>1</v>
      </c>
      <c r="M486" t="s">
        <v>1068</v>
      </c>
      <c r="N486" t="s">
        <v>1069</v>
      </c>
      <c r="O486" t="s">
        <v>1070</v>
      </c>
    </row>
    <row r="487" spans="1:25" x14ac:dyDescent="0.2">
      <c r="A487">
        <v>7520</v>
      </c>
      <c r="B487" t="s">
        <v>1065</v>
      </c>
      <c r="C487" t="s">
        <v>18</v>
      </c>
      <c r="D487" t="s">
        <v>1071</v>
      </c>
      <c r="E487" t="s">
        <v>1072</v>
      </c>
      <c r="F487" t="s">
        <v>87</v>
      </c>
      <c r="G487" t="s">
        <v>94</v>
      </c>
      <c r="H487" t="b">
        <v>0</v>
      </c>
      <c r="I487" t="b">
        <v>0</v>
      </c>
      <c r="L487" t="b">
        <v>0</v>
      </c>
      <c r="M487" t="s">
        <v>1073</v>
      </c>
      <c r="N487" t="s">
        <v>1074</v>
      </c>
    </row>
    <row r="488" spans="1:25" x14ac:dyDescent="0.2">
      <c r="A488">
        <v>7521</v>
      </c>
      <c r="B488" t="s">
        <v>1065</v>
      </c>
      <c r="C488" t="s">
        <v>18</v>
      </c>
      <c r="D488" t="s">
        <v>1075</v>
      </c>
      <c r="E488" t="s">
        <v>1076</v>
      </c>
      <c r="F488" t="s">
        <v>1077</v>
      </c>
      <c r="G488" t="s">
        <v>88</v>
      </c>
      <c r="H488" t="b">
        <v>0</v>
      </c>
      <c r="I488" t="b">
        <v>0</v>
      </c>
      <c r="L488" t="b">
        <v>0</v>
      </c>
      <c r="M488" t="s">
        <v>1078</v>
      </c>
    </row>
    <row r="489" spans="1:25" x14ac:dyDescent="0.2">
      <c r="A489">
        <v>7522</v>
      </c>
      <c r="B489" t="s">
        <v>1065</v>
      </c>
      <c r="C489" t="s">
        <v>18</v>
      </c>
      <c r="D489" t="s">
        <v>1079</v>
      </c>
      <c r="E489" t="s">
        <v>1080</v>
      </c>
      <c r="F489" t="s">
        <v>1077</v>
      </c>
      <c r="G489" t="s">
        <v>88</v>
      </c>
      <c r="H489" t="b">
        <v>0</v>
      </c>
      <c r="I489" t="b">
        <v>0</v>
      </c>
      <c r="L489" t="b">
        <v>0</v>
      </c>
      <c r="M489" t="s">
        <v>1081</v>
      </c>
    </row>
    <row r="490" spans="1:25" x14ac:dyDescent="0.2">
      <c r="A490">
        <v>7523</v>
      </c>
      <c r="B490" t="s">
        <v>1065</v>
      </c>
      <c r="C490" t="s">
        <v>18</v>
      </c>
      <c r="D490" t="s">
        <v>1082</v>
      </c>
      <c r="E490" t="s">
        <v>1083</v>
      </c>
      <c r="F490" t="s">
        <v>82</v>
      </c>
      <c r="G490" t="s">
        <v>88</v>
      </c>
      <c r="H490" t="b">
        <v>0</v>
      </c>
      <c r="I490" t="b">
        <v>0</v>
      </c>
      <c r="L490" t="b">
        <v>0</v>
      </c>
    </row>
    <row r="492" spans="1:25" x14ac:dyDescent="0.2">
      <c r="A492" s="2">
        <v>7525</v>
      </c>
      <c r="B492" s="2" t="s">
        <v>1084</v>
      </c>
      <c r="C492" s="2" t="s">
        <v>13</v>
      </c>
      <c r="D492" s="2" t="s">
        <v>1085</v>
      </c>
      <c r="E492" s="2" t="s">
        <v>1086</v>
      </c>
      <c r="F492" s="2" t="s">
        <v>275</v>
      </c>
      <c r="G492" s="2" t="s">
        <v>62</v>
      </c>
      <c r="H492" s="2"/>
      <c r="I492" s="2"/>
      <c r="J492" s="2"/>
      <c r="K492" s="2"/>
      <c r="L492" s="2"/>
      <c r="M492" s="2"/>
      <c r="N492" s="2"/>
      <c r="O492" s="2"/>
      <c r="P492" s="2"/>
      <c r="Q492" s="2"/>
      <c r="R492" s="2"/>
      <c r="S492" s="2"/>
      <c r="T492" s="2"/>
      <c r="U492" s="2"/>
      <c r="V492" s="2"/>
      <c r="W492" s="2"/>
      <c r="X492" s="2"/>
      <c r="Y492" s="2"/>
    </row>
    <row r="493" spans="1:25" x14ac:dyDescent="0.2">
      <c r="A493">
        <v>7526</v>
      </c>
      <c r="B493" t="s">
        <v>1084</v>
      </c>
      <c r="C493" t="s">
        <v>18</v>
      </c>
      <c r="D493" t="s">
        <v>1087</v>
      </c>
      <c r="E493" t="s">
        <v>1088</v>
      </c>
      <c r="F493" t="s">
        <v>275</v>
      </c>
      <c r="G493" t="s">
        <v>62</v>
      </c>
      <c r="H493" t="b">
        <v>1</v>
      </c>
      <c r="K493" t="b">
        <v>1</v>
      </c>
      <c r="L493" t="b">
        <v>1</v>
      </c>
      <c r="M493" t="s">
        <v>1089</v>
      </c>
      <c r="N493" t="s">
        <v>1090</v>
      </c>
    </row>
    <row r="494" spans="1:25" x14ac:dyDescent="0.2">
      <c r="A494">
        <v>7527</v>
      </c>
      <c r="B494" t="s">
        <v>1084</v>
      </c>
      <c r="C494" t="s">
        <v>18</v>
      </c>
      <c r="D494" t="s">
        <v>1091</v>
      </c>
      <c r="E494" t="s">
        <v>1092</v>
      </c>
      <c r="F494" t="s">
        <v>275</v>
      </c>
      <c r="G494" t="s">
        <v>62</v>
      </c>
      <c r="H494" t="b">
        <v>0</v>
      </c>
      <c r="K494" t="b">
        <v>0</v>
      </c>
      <c r="L494" t="b">
        <v>0</v>
      </c>
    </row>
    <row r="495" spans="1:25" x14ac:dyDescent="0.2">
      <c r="A495">
        <v>7528</v>
      </c>
      <c r="B495" t="s">
        <v>1084</v>
      </c>
      <c r="C495" t="s">
        <v>18</v>
      </c>
      <c r="D495" t="s">
        <v>1093</v>
      </c>
      <c r="E495" t="s">
        <v>1094</v>
      </c>
      <c r="F495" t="s">
        <v>316</v>
      </c>
      <c r="G495" t="s">
        <v>62</v>
      </c>
      <c r="H495" t="b">
        <v>0</v>
      </c>
      <c r="K495" t="b">
        <v>0</v>
      </c>
      <c r="L495" t="b">
        <v>0</v>
      </c>
    </row>
    <row r="496" spans="1:25" x14ac:dyDescent="0.2">
      <c r="A496">
        <v>7529</v>
      </c>
      <c r="B496" t="s">
        <v>1084</v>
      </c>
      <c r="C496" t="s">
        <v>18</v>
      </c>
      <c r="D496" t="s">
        <v>1095</v>
      </c>
      <c r="E496" t="s">
        <v>1096</v>
      </c>
      <c r="F496" t="s">
        <v>264</v>
      </c>
      <c r="G496" t="s">
        <v>62</v>
      </c>
      <c r="H496" t="b">
        <v>0</v>
      </c>
      <c r="K496" t="b">
        <v>0</v>
      </c>
      <c r="L496" t="b">
        <v>0</v>
      </c>
      <c r="M496" t="s">
        <v>1097</v>
      </c>
      <c r="N496" t="s">
        <v>1098</v>
      </c>
    </row>
    <row r="497" spans="1:25" x14ac:dyDescent="0.2">
      <c r="A497">
        <v>7530</v>
      </c>
      <c r="B497" t="s">
        <v>1084</v>
      </c>
      <c r="C497" t="s">
        <v>18</v>
      </c>
      <c r="D497" t="s">
        <v>1099</v>
      </c>
      <c r="E497" t="s">
        <v>1100</v>
      </c>
      <c r="F497" t="s">
        <v>151</v>
      </c>
      <c r="G497" t="s">
        <v>24</v>
      </c>
      <c r="H497" t="b">
        <v>0</v>
      </c>
      <c r="K497" t="b">
        <v>0</v>
      </c>
      <c r="L497" t="b">
        <v>0</v>
      </c>
      <c r="M497" t="s">
        <v>1101</v>
      </c>
      <c r="N497" t="s">
        <v>1102</v>
      </c>
    </row>
    <row r="499" spans="1:25" x14ac:dyDescent="0.2">
      <c r="A499" s="2">
        <v>7532</v>
      </c>
      <c r="B499" s="2" t="s">
        <v>1103</v>
      </c>
      <c r="C499" s="2" t="s">
        <v>13</v>
      </c>
      <c r="D499" s="2" t="s">
        <v>1104</v>
      </c>
      <c r="E499" s="2" t="s">
        <v>1105</v>
      </c>
      <c r="F499" s="2" t="s">
        <v>205</v>
      </c>
      <c r="G499" s="2" t="s">
        <v>62</v>
      </c>
      <c r="H499" s="2"/>
      <c r="I499" s="2"/>
      <c r="J499" s="2"/>
      <c r="K499" s="2"/>
      <c r="L499" s="2"/>
      <c r="M499" s="2"/>
      <c r="N499" s="2"/>
      <c r="O499" s="2"/>
      <c r="P499" s="2"/>
      <c r="Q499" s="2"/>
      <c r="R499" s="2"/>
      <c r="S499" s="2"/>
      <c r="T499" s="2"/>
      <c r="U499" s="2"/>
      <c r="V499" s="2"/>
      <c r="W499" s="2"/>
      <c r="X499" s="2"/>
      <c r="Y499" s="2"/>
    </row>
    <row r="500" spans="1:25" x14ac:dyDescent="0.2">
      <c r="A500">
        <v>7533</v>
      </c>
      <c r="B500" t="s">
        <v>1103</v>
      </c>
      <c r="C500" t="s">
        <v>18</v>
      </c>
      <c r="D500" t="s">
        <v>1106</v>
      </c>
      <c r="E500" t="s">
        <v>1107</v>
      </c>
      <c r="F500" t="s">
        <v>205</v>
      </c>
      <c r="G500" t="s">
        <v>62</v>
      </c>
      <c r="H500" t="b">
        <v>1</v>
      </c>
      <c r="I500" t="b">
        <v>1</v>
      </c>
      <c r="L500" t="b">
        <v>1</v>
      </c>
      <c r="M500" t="s">
        <v>1108</v>
      </c>
      <c r="N500" t="s">
        <v>1109</v>
      </c>
    </row>
    <row r="501" spans="1:25" x14ac:dyDescent="0.2">
      <c r="A501">
        <v>7534</v>
      </c>
      <c r="B501" t="s">
        <v>1103</v>
      </c>
      <c r="C501" t="s">
        <v>18</v>
      </c>
      <c r="D501" t="s">
        <v>1110</v>
      </c>
      <c r="E501" t="s">
        <v>1111</v>
      </c>
      <c r="F501" t="s">
        <v>82</v>
      </c>
      <c r="G501" t="s">
        <v>62</v>
      </c>
      <c r="H501" t="b">
        <v>0</v>
      </c>
      <c r="I501" t="b">
        <v>0</v>
      </c>
      <c r="L501" t="b">
        <v>0</v>
      </c>
    </row>
    <row r="502" spans="1:25" x14ac:dyDescent="0.2">
      <c r="A502">
        <v>7535</v>
      </c>
      <c r="B502" t="s">
        <v>1103</v>
      </c>
      <c r="C502" t="s">
        <v>18</v>
      </c>
      <c r="D502" t="s">
        <v>1112</v>
      </c>
      <c r="E502" t="s">
        <v>1113</v>
      </c>
      <c r="F502" t="s">
        <v>159</v>
      </c>
      <c r="G502" t="s">
        <v>1114</v>
      </c>
      <c r="H502" t="b">
        <v>0</v>
      </c>
      <c r="I502" t="b">
        <v>0</v>
      </c>
      <c r="L502" t="b">
        <v>0</v>
      </c>
      <c r="M502" t="s">
        <v>1115</v>
      </c>
    </row>
    <row r="503" spans="1:25" x14ac:dyDescent="0.2">
      <c r="A503">
        <v>7536</v>
      </c>
      <c r="B503" t="s">
        <v>1103</v>
      </c>
      <c r="C503" t="s">
        <v>18</v>
      </c>
      <c r="D503" t="s">
        <v>1116</v>
      </c>
      <c r="E503" t="s">
        <v>1117</v>
      </c>
      <c r="F503" t="s">
        <v>159</v>
      </c>
      <c r="G503" t="s">
        <v>1114</v>
      </c>
      <c r="H503" t="b">
        <v>0</v>
      </c>
      <c r="I503" t="b">
        <v>0</v>
      </c>
      <c r="L503" t="b">
        <v>0</v>
      </c>
      <c r="M503" t="s">
        <v>1118</v>
      </c>
    </row>
    <row r="504" spans="1:25" x14ac:dyDescent="0.2">
      <c r="A504">
        <v>7537</v>
      </c>
      <c r="B504" t="s">
        <v>1103</v>
      </c>
      <c r="C504" t="s">
        <v>18</v>
      </c>
      <c r="D504" t="s">
        <v>1119</v>
      </c>
      <c r="E504" t="s">
        <v>1120</v>
      </c>
      <c r="F504" t="s">
        <v>420</v>
      </c>
      <c r="G504" t="s">
        <v>88</v>
      </c>
      <c r="H504" t="b">
        <v>0</v>
      </c>
      <c r="I504" t="b">
        <v>0</v>
      </c>
      <c r="L504" t="b">
        <v>0</v>
      </c>
      <c r="M504" t="s">
        <v>1121</v>
      </c>
      <c r="N504" t="s">
        <v>1122</v>
      </c>
      <c r="O504" t="s">
        <v>1123</v>
      </c>
      <c r="P504" t="s">
        <v>1124</v>
      </c>
      <c r="Q504" t="s">
        <v>1125</v>
      </c>
    </row>
    <row r="506" spans="1:25" x14ac:dyDescent="0.2">
      <c r="A506" s="2">
        <v>7546</v>
      </c>
      <c r="B506" s="2" t="s">
        <v>1126</v>
      </c>
      <c r="C506" s="2" t="s">
        <v>13</v>
      </c>
      <c r="D506" s="2" t="s">
        <v>1127</v>
      </c>
      <c r="E506" s="2" t="s">
        <v>1128</v>
      </c>
      <c r="F506" s="2" t="s">
        <v>205</v>
      </c>
      <c r="G506" s="2" t="s">
        <v>62</v>
      </c>
      <c r="H506" s="2"/>
      <c r="I506" s="2"/>
      <c r="J506" s="2"/>
      <c r="K506" s="2"/>
      <c r="L506" s="2"/>
      <c r="M506" s="2"/>
      <c r="N506" s="2"/>
      <c r="O506" s="2"/>
      <c r="P506" s="2"/>
      <c r="Q506" s="2"/>
      <c r="R506" s="2"/>
      <c r="S506" s="2"/>
      <c r="T506" s="2"/>
      <c r="U506" s="2"/>
      <c r="V506" s="2"/>
      <c r="W506" s="2"/>
      <c r="X506" s="2"/>
      <c r="Y506" s="2"/>
    </row>
    <row r="507" spans="1:25" x14ac:dyDescent="0.2">
      <c r="A507">
        <v>7547</v>
      </c>
      <c r="B507" t="s">
        <v>1126</v>
      </c>
      <c r="C507" t="s">
        <v>18</v>
      </c>
      <c r="D507" t="s">
        <v>1127</v>
      </c>
      <c r="E507" t="s">
        <v>1128</v>
      </c>
      <c r="F507" t="s">
        <v>205</v>
      </c>
      <c r="G507" t="s">
        <v>62</v>
      </c>
      <c r="H507" t="b">
        <v>1</v>
      </c>
      <c r="I507" t="b">
        <v>1</v>
      </c>
      <c r="L507" t="b">
        <v>1</v>
      </c>
      <c r="M507" t="s">
        <v>1129</v>
      </c>
      <c r="N507" t="s">
        <v>745</v>
      </c>
    </row>
    <row r="508" spans="1:25" x14ac:dyDescent="0.2">
      <c r="A508">
        <v>7548</v>
      </c>
      <c r="B508" t="s">
        <v>1126</v>
      </c>
      <c r="C508" t="s">
        <v>18</v>
      </c>
      <c r="D508" t="s">
        <v>1130</v>
      </c>
      <c r="E508" t="s">
        <v>1131</v>
      </c>
      <c r="F508" t="s">
        <v>205</v>
      </c>
      <c r="G508" t="s">
        <v>62</v>
      </c>
      <c r="H508" t="b">
        <v>0</v>
      </c>
      <c r="I508" t="b">
        <v>0</v>
      </c>
      <c r="L508" t="b">
        <v>0</v>
      </c>
      <c r="M508" t="s">
        <v>1132</v>
      </c>
    </row>
    <row r="509" spans="1:25" x14ac:dyDescent="0.2">
      <c r="A509">
        <v>7549</v>
      </c>
      <c r="B509" t="s">
        <v>1126</v>
      </c>
      <c r="C509" t="s">
        <v>18</v>
      </c>
      <c r="D509" t="s">
        <v>1133</v>
      </c>
      <c r="E509" t="s">
        <v>1134</v>
      </c>
      <c r="F509" t="s">
        <v>205</v>
      </c>
      <c r="G509" t="s">
        <v>62</v>
      </c>
      <c r="H509" t="b">
        <v>0</v>
      </c>
      <c r="I509" t="b">
        <v>0</v>
      </c>
      <c r="L509" t="b">
        <v>0</v>
      </c>
      <c r="M509" t="s">
        <v>1135</v>
      </c>
    </row>
    <row r="510" spans="1:25" x14ac:dyDescent="0.2">
      <c r="A510">
        <v>7550</v>
      </c>
      <c r="B510" t="s">
        <v>1126</v>
      </c>
      <c r="C510" t="s">
        <v>18</v>
      </c>
      <c r="D510" t="s">
        <v>1136</v>
      </c>
      <c r="E510" t="s">
        <v>1137</v>
      </c>
      <c r="F510" t="s">
        <v>205</v>
      </c>
      <c r="G510" t="s">
        <v>62</v>
      </c>
      <c r="H510" t="b">
        <v>0</v>
      </c>
      <c r="I510" t="b">
        <v>0</v>
      </c>
      <c r="L510" t="b">
        <v>0</v>
      </c>
      <c r="M510" t="s">
        <v>1138</v>
      </c>
    </row>
    <row r="511" spans="1:25" x14ac:dyDescent="0.2">
      <c r="A511">
        <v>7551</v>
      </c>
      <c r="B511" t="s">
        <v>1126</v>
      </c>
      <c r="C511" t="s">
        <v>18</v>
      </c>
      <c r="D511" t="s">
        <v>1139</v>
      </c>
      <c r="E511" t="s">
        <v>1140</v>
      </c>
      <c r="F511" t="s">
        <v>205</v>
      </c>
      <c r="G511" t="s">
        <v>62</v>
      </c>
      <c r="H511" t="b">
        <v>0</v>
      </c>
      <c r="I511" t="b">
        <v>0</v>
      </c>
      <c r="L511" t="b">
        <v>0</v>
      </c>
      <c r="M511" t="s">
        <v>1141</v>
      </c>
      <c r="N511" t="s">
        <v>1142</v>
      </c>
    </row>
    <row r="513" spans="1:25" x14ac:dyDescent="0.2">
      <c r="A513" s="2">
        <v>756</v>
      </c>
      <c r="B513" s="2" t="s">
        <v>1143</v>
      </c>
      <c r="C513" s="2" t="s">
        <v>13</v>
      </c>
      <c r="D513" s="2" t="s">
        <v>1144</v>
      </c>
      <c r="E513" s="2" t="s">
        <v>1145</v>
      </c>
      <c r="F513" s="2" t="s">
        <v>87</v>
      </c>
      <c r="G513" s="2" t="s">
        <v>252</v>
      </c>
      <c r="H513" s="2"/>
      <c r="I513" s="2"/>
      <c r="J513" s="2"/>
      <c r="K513" s="2"/>
      <c r="L513" s="2"/>
      <c r="M513" s="2"/>
      <c r="N513" s="2"/>
      <c r="O513" s="2"/>
      <c r="P513" s="2"/>
      <c r="Q513" s="2"/>
      <c r="R513" s="2"/>
      <c r="S513" s="2"/>
      <c r="T513" s="2"/>
      <c r="U513" s="2"/>
      <c r="V513" s="2"/>
      <c r="W513" s="2"/>
      <c r="X513" s="2"/>
      <c r="Y513" s="2"/>
    </row>
    <row r="514" spans="1:25" x14ac:dyDescent="0.2">
      <c r="A514">
        <v>757</v>
      </c>
      <c r="B514" t="s">
        <v>1143</v>
      </c>
      <c r="C514" t="s">
        <v>18</v>
      </c>
      <c r="D514" t="s">
        <v>1144</v>
      </c>
      <c r="E514" t="s">
        <v>1145</v>
      </c>
      <c r="F514" t="s">
        <v>87</v>
      </c>
      <c r="G514" t="s">
        <v>252</v>
      </c>
      <c r="H514" t="b">
        <v>1</v>
      </c>
      <c r="K514" t="b">
        <v>1</v>
      </c>
      <c r="L514" t="b">
        <v>1</v>
      </c>
      <c r="M514" t="s">
        <v>1146</v>
      </c>
      <c r="N514" t="s">
        <v>1147</v>
      </c>
    </row>
    <row r="515" spans="1:25" x14ac:dyDescent="0.2">
      <c r="A515">
        <v>758</v>
      </c>
      <c r="B515" t="s">
        <v>1143</v>
      </c>
      <c r="C515" t="s">
        <v>18</v>
      </c>
      <c r="D515" t="s">
        <v>1148</v>
      </c>
      <c r="E515" t="s">
        <v>1149</v>
      </c>
      <c r="F515" t="s">
        <v>670</v>
      </c>
      <c r="G515" t="s">
        <v>17</v>
      </c>
      <c r="H515" t="b">
        <v>0</v>
      </c>
      <c r="K515" t="b">
        <v>0</v>
      </c>
      <c r="L515" t="b">
        <v>0</v>
      </c>
      <c r="M515" t="s">
        <v>1150</v>
      </c>
      <c r="N515" t="s">
        <v>745</v>
      </c>
    </row>
    <row r="516" spans="1:25" x14ac:dyDescent="0.2">
      <c r="A516">
        <v>759</v>
      </c>
      <c r="B516" t="s">
        <v>1143</v>
      </c>
      <c r="C516" t="s">
        <v>18</v>
      </c>
      <c r="D516" t="s">
        <v>1151</v>
      </c>
      <c r="E516" t="s">
        <v>1152</v>
      </c>
      <c r="F516" t="s">
        <v>1153</v>
      </c>
      <c r="G516" t="s">
        <v>252</v>
      </c>
      <c r="H516" t="b">
        <v>0</v>
      </c>
      <c r="K516" t="b">
        <v>0</v>
      </c>
      <c r="L516" t="b">
        <v>0</v>
      </c>
      <c r="M516" t="s">
        <v>1154</v>
      </c>
      <c r="N516" t="s">
        <v>1155</v>
      </c>
    </row>
    <row r="517" spans="1:25" x14ac:dyDescent="0.2">
      <c r="A517">
        <v>760</v>
      </c>
      <c r="B517" t="s">
        <v>1143</v>
      </c>
      <c r="C517" t="s">
        <v>18</v>
      </c>
      <c r="D517" t="s">
        <v>1156</v>
      </c>
      <c r="E517" t="s">
        <v>1157</v>
      </c>
      <c r="F517" t="s">
        <v>952</v>
      </c>
      <c r="G517" t="s">
        <v>252</v>
      </c>
      <c r="H517" t="b">
        <v>0</v>
      </c>
      <c r="K517" t="b">
        <v>0</v>
      </c>
      <c r="L517" t="b">
        <v>0</v>
      </c>
      <c r="M517" t="s">
        <v>1158</v>
      </c>
      <c r="N517" t="s">
        <v>1159</v>
      </c>
    </row>
    <row r="518" spans="1:25" x14ac:dyDescent="0.2">
      <c r="A518">
        <v>761</v>
      </c>
      <c r="B518" t="s">
        <v>1143</v>
      </c>
      <c r="C518" t="s">
        <v>18</v>
      </c>
      <c r="D518" t="s">
        <v>1160</v>
      </c>
      <c r="E518" t="s">
        <v>1161</v>
      </c>
      <c r="F518" t="s">
        <v>654</v>
      </c>
      <c r="G518" t="s">
        <v>88</v>
      </c>
      <c r="H518" t="b">
        <v>0</v>
      </c>
      <c r="K518" t="b">
        <v>0</v>
      </c>
      <c r="L518" t="b">
        <v>0</v>
      </c>
      <c r="M518" t="s">
        <v>1162</v>
      </c>
      <c r="N518" t="s">
        <v>1163</v>
      </c>
    </row>
    <row r="520" spans="1:25" x14ac:dyDescent="0.2">
      <c r="A520" s="2">
        <v>7581</v>
      </c>
      <c r="B520" s="2" t="s">
        <v>1164</v>
      </c>
      <c r="C520" s="2" t="s">
        <v>13</v>
      </c>
      <c r="D520" s="2" t="s">
        <v>1165</v>
      </c>
      <c r="E520" s="2" t="s">
        <v>1166</v>
      </c>
      <c r="F520" s="2" t="s">
        <v>205</v>
      </c>
      <c r="G520" s="2" t="s">
        <v>62</v>
      </c>
      <c r="H520" s="2"/>
      <c r="I520" s="2"/>
      <c r="J520" s="2"/>
      <c r="K520" s="2"/>
      <c r="L520" s="2"/>
      <c r="M520" s="2"/>
      <c r="N520" s="2"/>
      <c r="O520" s="2"/>
      <c r="P520" s="2"/>
      <c r="Q520" s="2"/>
      <c r="R520" s="2"/>
      <c r="S520" s="2"/>
      <c r="T520" s="2"/>
      <c r="U520" s="2"/>
      <c r="V520" s="2"/>
      <c r="W520" s="2"/>
      <c r="X520" s="2"/>
      <c r="Y520" s="2"/>
    </row>
    <row r="521" spans="1:25" x14ac:dyDescent="0.2">
      <c r="A521">
        <v>7582</v>
      </c>
      <c r="B521" t="s">
        <v>1164</v>
      </c>
      <c r="C521" t="s">
        <v>18</v>
      </c>
      <c r="D521" t="s">
        <v>1165</v>
      </c>
      <c r="E521" t="s">
        <v>1167</v>
      </c>
      <c r="F521" t="s">
        <v>205</v>
      </c>
      <c r="G521" t="s">
        <v>62</v>
      </c>
      <c r="H521" t="b">
        <v>1</v>
      </c>
      <c r="K521" t="b">
        <v>1</v>
      </c>
      <c r="L521" t="b">
        <v>1</v>
      </c>
      <c r="M521" t="s">
        <v>1168</v>
      </c>
    </row>
    <row r="522" spans="1:25" x14ac:dyDescent="0.2">
      <c r="A522">
        <v>7583</v>
      </c>
      <c r="B522" t="s">
        <v>1164</v>
      </c>
      <c r="C522" t="s">
        <v>18</v>
      </c>
      <c r="D522" t="s">
        <v>1169</v>
      </c>
      <c r="E522" t="s">
        <v>1170</v>
      </c>
      <c r="F522" t="s">
        <v>205</v>
      </c>
      <c r="G522" t="s">
        <v>62</v>
      </c>
      <c r="H522" t="b">
        <v>1</v>
      </c>
      <c r="K522" t="b">
        <v>1</v>
      </c>
      <c r="L522" t="b">
        <v>1</v>
      </c>
      <c r="M522" t="s">
        <v>1171</v>
      </c>
      <c r="N522" t="s">
        <v>1172</v>
      </c>
    </row>
    <row r="523" spans="1:25" x14ac:dyDescent="0.2">
      <c r="A523">
        <v>7584</v>
      </c>
      <c r="B523" t="s">
        <v>1164</v>
      </c>
      <c r="C523" t="s">
        <v>18</v>
      </c>
      <c r="D523" t="s">
        <v>1173</v>
      </c>
      <c r="E523" t="s">
        <v>800</v>
      </c>
      <c r="F523" t="s">
        <v>205</v>
      </c>
      <c r="G523" t="s">
        <v>62</v>
      </c>
      <c r="H523" t="b">
        <v>0</v>
      </c>
      <c r="K523" t="b">
        <v>0</v>
      </c>
      <c r="L523" t="b">
        <v>0</v>
      </c>
    </row>
    <row r="524" spans="1:25" x14ac:dyDescent="0.2">
      <c r="A524">
        <v>7585</v>
      </c>
      <c r="B524" t="s">
        <v>1164</v>
      </c>
      <c r="C524" t="s">
        <v>18</v>
      </c>
      <c r="D524" t="s">
        <v>1174</v>
      </c>
      <c r="E524" t="s">
        <v>1175</v>
      </c>
      <c r="F524" t="s">
        <v>205</v>
      </c>
      <c r="G524" t="s">
        <v>62</v>
      </c>
      <c r="H524" t="b">
        <v>0</v>
      </c>
      <c r="K524" t="b">
        <v>0</v>
      </c>
      <c r="L524" t="b">
        <v>0</v>
      </c>
    </row>
    <row r="525" spans="1:25" x14ac:dyDescent="0.2">
      <c r="A525">
        <v>7586</v>
      </c>
      <c r="B525" t="s">
        <v>1164</v>
      </c>
      <c r="C525" t="s">
        <v>18</v>
      </c>
      <c r="D525" t="s">
        <v>1176</v>
      </c>
      <c r="E525" t="s">
        <v>1177</v>
      </c>
      <c r="F525" t="s">
        <v>1010</v>
      </c>
      <c r="G525" t="s">
        <v>62</v>
      </c>
      <c r="H525" t="b">
        <v>0</v>
      </c>
      <c r="K525" t="b">
        <v>0</v>
      </c>
      <c r="L525" t="b">
        <v>0</v>
      </c>
    </row>
    <row r="527" spans="1:25" x14ac:dyDescent="0.2">
      <c r="A527" s="2">
        <v>7588</v>
      </c>
      <c r="B527" s="2" t="s">
        <v>1178</v>
      </c>
      <c r="C527" s="2" t="s">
        <v>13</v>
      </c>
      <c r="D527" s="2" t="s">
        <v>1179</v>
      </c>
      <c r="E527" s="2" t="s">
        <v>1180</v>
      </c>
      <c r="F527" s="2" t="s">
        <v>654</v>
      </c>
      <c r="G527" s="2" t="s">
        <v>62</v>
      </c>
      <c r="H527" s="2"/>
      <c r="I527" s="2"/>
      <c r="J527" s="2"/>
      <c r="K527" s="2"/>
      <c r="L527" s="2"/>
      <c r="M527" s="2"/>
      <c r="N527" s="2"/>
      <c r="O527" s="2"/>
      <c r="P527" s="2"/>
      <c r="Q527" s="2"/>
      <c r="R527" s="2"/>
      <c r="S527" s="2"/>
      <c r="T527" s="2"/>
      <c r="U527" s="2"/>
      <c r="V527" s="2"/>
      <c r="W527" s="2"/>
      <c r="X527" s="2"/>
      <c r="Y527" s="2"/>
    </row>
    <row r="528" spans="1:25" x14ac:dyDescent="0.2">
      <c r="A528">
        <v>7589</v>
      </c>
      <c r="B528" t="s">
        <v>1178</v>
      </c>
      <c r="C528" t="s">
        <v>18</v>
      </c>
      <c r="D528" t="s">
        <v>1179</v>
      </c>
      <c r="E528" t="s">
        <v>1181</v>
      </c>
      <c r="F528" t="s">
        <v>654</v>
      </c>
      <c r="G528" t="s">
        <v>62</v>
      </c>
      <c r="H528" t="b">
        <v>1</v>
      </c>
      <c r="K528" t="b">
        <v>1</v>
      </c>
      <c r="L528" t="b">
        <v>1</v>
      </c>
      <c r="M528" t="s">
        <v>1182</v>
      </c>
      <c r="N528" t="s">
        <v>1183</v>
      </c>
    </row>
    <row r="529" spans="1:25" x14ac:dyDescent="0.2">
      <c r="A529">
        <v>7590</v>
      </c>
      <c r="B529" t="s">
        <v>1178</v>
      </c>
      <c r="C529" t="s">
        <v>18</v>
      </c>
      <c r="D529" t="s">
        <v>1184</v>
      </c>
      <c r="E529" t="s">
        <v>1185</v>
      </c>
      <c r="F529" t="s">
        <v>369</v>
      </c>
      <c r="G529" t="s">
        <v>62</v>
      </c>
      <c r="H529" t="b">
        <v>0</v>
      </c>
      <c r="K529" t="b">
        <v>0</v>
      </c>
      <c r="L529" t="b">
        <v>0</v>
      </c>
      <c r="M529" t="s">
        <v>1186</v>
      </c>
      <c r="N529" t="s">
        <v>1187</v>
      </c>
    </row>
    <row r="530" spans="1:25" x14ac:dyDescent="0.2">
      <c r="A530">
        <v>7591</v>
      </c>
      <c r="B530" t="s">
        <v>1178</v>
      </c>
      <c r="C530" t="s">
        <v>18</v>
      </c>
      <c r="D530" t="s">
        <v>1188</v>
      </c>
      <c r="E530" t="s">
        <v>1189</v>
      </c>
      <c r="F530" t="s">
        <v>654</v>
      </c>
      <c r="G530" t="s">
        <v>62</v>
      </c>
      <c r="H530" t="b">
        <v>1</v>
      </c>
      <c r="K530" t="b">
        <v>1</v>
      </c>
      <c r="L530" t="b">
        <v>1</v>
      </c>
      <c r="M530" t="s">
        <v>1190</v>
      </c>
    </row>
    <row r="531" spans="1:25" x14ac:dyDescent="0.2">
      <c r="A531">
        <v>7592</v>
      </c>
      <c r="B531" t="s">
        <v>1178</v>
      </c>
      <c r="C531" t="s">
        <v>18</v>
      </c>
      <c r="D531" t="s">
        <v>1191</v>
      </c>
      <c r="E531" t="s">
        <v>1192</v>
      </c>
      <c r="F531" t="s">
        <v>654</v>
      </c>
      <c r="G531" t="s">
        <v>62</v>
      </c>
      <c r="H531" t="b">
        <v>0</v>
      </c>
      <c r="K531" t="b">
        <v>0</v>
      </c>
      <c r="L531" t="b">
        <v>0</v>
      </c>
    </row>
    <row r="532" spans="1:25" x14ac:dyDescent="0.2">
      <c r="A532">
        <v>7593</v>
      </c>
      <c r="B532" t="s">
        <v>1178</v>
      </c>
      <c r="C532" t="s">
        <v>18</v>
      </c>
      <c r="D532" t="s">
        <v>1193</v>
      </c>
      <c r="E532" t="s">
        <v>1194</v>
      </c>
      <c r="F532" t="s">
        <v>785</v>
      </c>
      <c r="G532" t="s">
        <v>62</v>
      </c>
      <c r="H532" t="b">
        <v>0</v>
      </c>
      <c r="K532" t="b">
        <v>0</v>
      </c>
      <c r="L532" t="b">
        <v>0</v>
      </c>
      <c r="M532" t="s">
        <v>1195</v>
      </c>
    </row>
    <row r="534" spans="1:25" x14ac:dyDescent="0.2">
      <c r="A534" s="2">
        <v>7602</v>
      </c>
      <c r="B534" s="2" t="s">
        <v>1196</v>
      </c>
      <c r="C534" s="2" t="s">
        <v>13</v>
      </c>
      <c r="D534" s="2" t="s">
        <v>1197</v>
      </c>
      <c r="E534" s="2" t="s">
        <v>1198</v>
      </c>
      <c r="F534" s="2" t="s">
        <v>27</v>
      </c>
      <c r="G534" s="2" t="s">
        <v>62</v>
      </c>
      <c r="H534" s="2"/>
      <c r="I534" s="2"/>
      <c r="J534" s="2"/>
      <c r="K534" s="2"/>
      <c r="L534" s="2"/>
      <c r="M534" s="2"/>
      <c r="N534" s="2"/>
      <c r="O534" s="2"/>
      <c r="P534" s="2"/>
      <c r="Q534" s="2"/>
      <c r="R534" s="2"/>
      <c r="S534" s="2"/>
      <c r="T534" s="2"/>
      <c r="U534" s="2"/>
      <c r="V534" s="2"/>
      <c r="W534" s="2"/>
      <c r="X534" s="2"/>
      <c r="Y534" s="2"/>
    </row>
    <row r="535" spans="1:25" x14ac:dyDescent="0.2">
      <c r="A535">
        <v>7603</v>
      </c>
      <c r="B535" t="s">
        <v>1196</v>
      </c>
      <c r="C535" t="s">
        <v>18</v>
      </c>
      <c r="D535" t="s">
        <v>1197</v>
      </c>
      <c r="E535" t="s">
        <v>145</v>
      </c>
      <c r="F535" t="s">
        <v>27</v>
      </c>
      <c r="G535" t="s">
        <v>62</v>
      </c>
      <c r="H535" t="b">
        <v>1</v>
      </c>
      <c r="K535" t="b">
        <v>1</v>
      </c>
      <c r="L535" t="b">
        <v>1</v>
      </c>
      <c r="M535" t="s">
        <v>1199</v>
      </c>
      <c r="N535" t="s">
        <v>1200</v>
      </c>
    </row>
    <row r="536" spans="1:25" x14ac:dyDescent="0.2">
      <c r="A536">
        <v>7604</v>
      </c>
      <c r="B536" t="s">
        <v>1196</v>
      </c>
      <c r="C536" t="s">
        <v>18</v>
      </c>
      <c r="D536" t="s">
        <v>1201</v>
      </c>
      <c r="E536" t="s">
        <v>1202</v>
      </c>
      <c r="F536" t="s">
        <v>27</v>
      </c>
      <c r="G536" t="s">
        <v>62</v>
      </c>
      <c r="H536" t="b">
        <v>1</v>
      </c>
      <c r="K536" t="b">
        <v>1</v>
      </c>
      <c r="L536" t="b">
        <v>1</v>
      </c>
      <c r="M536" t="s">
        <v>1203</v>
      </c>
      <c r="N536" t="s">
        <v>1204</v>
      </c>
    </row>
    <row r="537" spans="1:25" x14ac:dyDescent="0.2">
      <c r="A537">
        <v>7605</v>
      </c>
      <c r="B537" t="s">
        <v>1196</v>
      </c>
      <c r="C537" t="s">
        <v>18</v>
      </c>
      <c r="D537" t="s">
        <v>1205</v>
      </c>
      <c r="E537" t="s">
        <v>1206</v>
      </c>
      <c r="F537" t="s">
        <v>87</v>
      </c>
      <c r="G537" t="s">
        <v>62</v>
      </c>
      <c r="H537" t="b">
        <v>0</v>
      </c>
      <c r="K537" t="b">
        <v>0</v>
      </c>
      <c r="L537" t="b">
        <v>0</v>
      </c>
    </row>
    <row r="538" spans="1:25" x14ac:dyDescent="0.2">
      <c r="A538">
        <v>7606</v>
      </c>
      <c r="B538" t="s">
        <v>1196</v>
      </c>
      <c r="C538" t="s">
        <v>18</v>
      </c>
      <c r="D538" t="s">
        <v>1207</v>
      </c>
      <c r="E538" t="s">
        <v>1208</v>
      </c>
      <c r="F538" t="s">
        <v>264</v>
      </c>
      <c r="G538" t="s">
        <v>62</v>
      </c>
      <c r="H538" t="b">
        <v>0</v>
      </c>
      <c r="K538" t="b">
        <v>0</v>
      </c>
      <c r="L538" t="b">
        <v>0</v>
      </c>
      <c r="M538" t="s">
        <v>1209</v>
      </c>
    </row>
    <row r="539" spans="1:25" x14ac:dyDescent="0.2">
      <c r="A539">
        <v>7607</v>
      </c>
      <c r="B539" t="s">
        <v>1196</v>
      </c>
      <c r="C539" t="s">
        <v>18</v>
      </c>
      <c r="D539" t="s">
        <v>1210</v>
      </c>
      <c r="E539" t="s">
        <v>1208</v>
      </c>
      <c r="F539" t="s">
        <v>264</v>
      </c>
      <c r="G539" t="s">
        <v>62</v>
      </c>
      <c r="H539" t="b">
        <v>0</v>
      </c>
      <c r="K539" t="b">
        <v>0</v>
      </c>
      <c r="L539" t="b">
        <v>0</v>
      </c>
    </row>
    <row r="541" spans="1:25" x14ac:dyDescent="0.2">
      <c r="A541" s="2">
        <v>7616</v>
      </c>
      <c r="B541" s="2" t="s">
        <v>1211</v>
      </c>
      <c r="C541" s="2" t="s">
        <v>13</v>
      </c>
      <c r="D541" s="2" t="s">
        <v>1212</v>
      </c>
      <c r="E541" s="2" t="s">
        <v>1213</v>
      </c>
      <c r="F541" s="2" t="s">
        <v>654</v>
      </c>
      <c r="G541" s="2" t="s">
        <v>62</v>
      </c>
      <c r="H541" s="2"/>
      <c r="I541" s="2"/>
      <c r="J541" s="2"/>
      <c r="K541" s="2"/>
      <c r="L541" s="2"/>
      <c r="M541" s="2"/>
      <c r="N541" s="2"/>
      <c r="O541" s="2"/>
      <c r="P541" s="2"/>
      <c r="Q541" s="2"/>
      <c r="R541" s="2"/>
      <c r="S541" s="2"/>
      <c r="T541" s="2"/>
      <c r="U541" s="2"/>
      <c r="V541" s="2"/>
      <c r="W541" s="2"/>
      <c r="X541" s="2"/>
      <c r="Y541" s="2"/>
    </row>
    <row r="542" spans="1:25" x14ac:dyDescent="0.2">
      <c r="A542">
        <v>7617</v>
      </c>
      <c r="B542" t="s">
        <v>1211</v>
      </c>
      <c r="C542" t="s">
        <v>18</v>
      </c>
      <c r="D542" t="s">
        <v>1212</v>
      </c>
      <c r="E542" t="s">
        <v>1214</v>
      </c>
      <c r="F542" t="s">
        <v>654</v>
      </c>
      <c r="G542" t="s">
        <v>62</v>
      </c>
      <c r="H542" t="b">
        <v>1</v>
      </c>
      <c r="I542" t="b">
        <v>1</v>
      </c>
      <c r="L542" t="b">
        <v>1</v>
      </c>
      <c r="M542" t="s">
        <v>1215</v>
      </c>
    </row>
    <row r="543" spans="1:25" x14ac:dyDescent="0.2">
      <c r="A543">
        <v>7618</v>
      </c>
      <c r="B543" t="s">
        <v>1211</v>
      </c>
      <c r="C543" t="s">
        <v>18</v>
      </c>
      <c r="D543" t="s">
        <v>1216</v>
      </c>
      <c r="E543" t="s">
        <v>1217</v>
      </c>
      <c r="F543" t="s">
        <v>654</v>
      </c>
      <c r="G543" t="s">
        <v>62</v>
      </c>
      <c r="H543" t="b">
        <v>1</v>
      </c>
      <c r="I543" t="b">
        <v>1</v>
      </c>
      <c r="L543" t="b">
        <v>1</v>
      </c>
      <c r="M543" t="s">
        <v>1218</v>
      </c>
    </row>
    <row r="544" spans="1:25" x14ac:dyDescent="0.2">
      <c r="A544">
        <v>7619</v>
      </c>
      <c r="B544" t="s">
        <v>1211</v>
      </c>
      <c r="C544" t="s">
        <v>18</v>
      </c>
      <c r="D544" t="s">
        <v>1219</v>
      </c>
      <c r="E544" t="s">
        <v>1220</v>
      </c>
      <c r="F544" t="s">
        <v>654</v>
      </c>
      <c r="G544" t="s">
        <v>62</v>
      </c>
      <c r="H544" t="b">
        <v>1</v>
      </c>
      <c r="I544" t="b">
        <v>1</v>
      </c>
      <c r="L544" t="b">
        <v>1</v>
      </c>
      <c r="M544" t="s">
        <v>1221</v>
      </c>
    </row>
    <row r="545" spans="1:25" x14ac:dyDescent="0.2">
      <c r="A545">
        <v>7620</v>
      </c>
      <c r="B545" t="s">
        <v>1211</v>
      </c>
      <c r="C545" t="s">
        <v>18</v>
      </c>
      <c r="D545" t="s">
        <v>1222</v>
      </c>
      <c r="E545" t="s">
        <v>1223</v>
      </c>
      <c r="F545" t="s">
        <v>87</v>
      </c>
      <c r="G545" t="s">
        <v>62</v>
      </c>
      <c r="H545" t="b">
        <v>0</v>
      </c>
      <c r="I545" t="b">
        <v>0</v>
      </c>
      <c r="L545" t="b">
        <v>0</v>
      </c>
      <c r="M545" t="s">
        <v>1224</v>
      </c>
      <c r="N545" t="s">
        <v>1225</v>
      </c>
    </row>
    <row r="546" spans="1:25" x14ac:dyDescent="0.2">
      <c r="A546">
        <v>7621</v>
      </c>
      <c r="B546" t="s">
        <v>1211</v>
      </c>
      <c r="C546" t="s">
        <v>18</v>
      </c>
      <c r="D546" t="s">
        <v>1226</v>
      </c>
      <c r="E546" t="s">
        <v>1227</v>
      </c>
      <c r="F546" t="s">
        <v>654</v>
      </c>
      <c r="G546" t="s">
        <v>62</v>
      </c>
      <c r="H546" t="b">
        <v>0</v>
      </c>
      <c r="I546" t="b">
        <v>0</v>
      </c>
      <c r="L546" t="b">
        <v>0</v>
      </c>
    </row>
    <row r="548" spans="1:25" x14ac:dyDescent="0.2">
      <c r="A548" s="2">
        <v>7623</v>
      </c>
      <c r="B548" s="2" t="s">
        <v>1228</v>
      </c>
      <c r="C548" s="2" t="s">
        <v>13</v>
      </c>
      <c r="D548" s="2" t="s">
        <v>1229</v>
      </c>
      <c r="E548" s="2" t="s">
        <v>1230</v>
      </c>
      <c r="F548" s="2" t="s">
        <v>27</v>
      </c>
      <c r="G548" s="2" t="s">
        <v>62</v>
      </c>
      <c r="H548" s="2"/>
      <c r="I548" s="2"/>
      <c r="J548" s="2"/>
      <c r="K548" s="2"/>
      <c r="L548" s="2"/>
      <c r="M548" s="2"/>
      <c r="N548" s="2"/>
      <c r="O548" s="2"/>
      <c r="P548" s="2"/>
      <c r="Q548" s="2"/>
      <c r="R548" s="2"/>
      <c r="S548" s="2"/>
      <c r="T548" s="2"/>
      <c r="U548" s="2"/>
      <c r="V548" s="2"/>
      <c r="W548" s="2"/>
      <c r="X548" s="2"/>
      <c r="Y548" s="2"/>
    </row>
    <row r="549" spans="1:25" x14ac:dyDescent="0.2">
      <c r="A549">
        <v>7624</v>
      </c>
      <c r="B549" t="s">
        <v>1228</v>
      </c>
      <c r="C549" t="s">
        <v>18</v>
      </c>
      <c r="D549" t="s">
        <v>1229</v>
      </c>
      <c r="E549" t="s">
        <v>1231</v>
      </c>
      <c r="F549" t="s">
        <v>27</v>
      </c>
      <c r="G549" t="s">
        <v>62</v>
      </c>
      <c r="H549" t="b">
        <v>1</v>
      </c>
      <c r="I549" t="b">
        <v>1</v>
      </c>
      <c r="L549" t="b">
        <v>1</v>
      </c>
      <c r="M549" t="s">
        <v>1232</v>
      </c>
    </row>
    <row r="550" spans="1:25" x14ac:dyDescent="0.2">
      <c r="A550">
        <v>7625</v>
      </c>
      <c r="B550" t="s">
        <v>1228</v>
      </c>
      <c r="C550" t="s">
        <v>18</v>
      </c>
      <c r="D550" t="s">
        <v>1233</v>
      </c>
      <c r="E550" t="s">
        <v>1234</v>
      </c>
      <c r="F550" t="s">
        <v>27</v>
      </c>
      <c r="G550" t="s">
        <v>62</v>
      </c>
      <c r="H550" t="b">
        <v>1</v>
      </c>
      <c r="I550" t="b">
        <v>1</v>
      </c>
      <c r="L550" t="b">
        <v>1</v>
      </c>
      <c r="M550" t="s">
        <v>1235</v>
      </c>
    </row>
    <row r="551" spans="1:25" x14ac:dyDescent="0.2">
      <c r="A551">
        <v>7626</v>
      </c>
      <c r="B551" t="s">
        <v>1228</v>
      </c>
      <c r="C551" t="s">
        <v>18</v>
      </c>
      <c r="D551" t="s">
        <v>1236</v>
      </c>
      <c r="E551" t="s">
        <v>1237</v>
      </c>
      <c r="F551" t="s">
        <v>27</v>
      </c>
      <c r="G551" t="s">
        <v>62</v>
      </c>
      <c r="H551" t="b">
        <v>0</v>
      </c>
      <c r="I551" t="b">
        <v>0</v>
      </c>
      <c r="L551" t="b">
        <v>0</v>
      </c>
    </row>
    <row r="552" spans="1:25" x14ac:dyDescent="0.2">
      <c r="A552">
        <v>7627</v>
      </c>
      <c r="B552" t="s">
        <v>1228</v>
      </c>
      <c r="C552" t="s">
        <v>18</v>
      </c>
      <c r="D552" t="s">
        <v>1238</v>
      </c>
      <c r="E552" t="s">
        <v>1239</v>
      </c>
      <c r="F552" t="s">
        <v>27</v>
      </c>
      <c r="G552" t="s">
        <v>62</v>
      </c>
      <c r="H552" t="b">
        <v>0</v>
      </c>
      <c r="I552" t="b">
        <v>0</v>
      </c>
      <c r="L552" t="b">
        <v>0</v>
      </c>
      <c r="M552" t="s">
        <v>1240</v>
      </c>
    </row>
    <row r="553" spans="1:25" x14ac:dyDescent="0.2">
      <c r="A553">
        <v>7628</v>
      </c>
      <c r="B553" t="s">
        <v>1228</v>
      </c>
      <c r="C553" t="s">
        <v>18</v>
      </c>
      <c r="D553" t="s">
        <v>1241</v>
      </c>
      <c r="E553" t="s">
        <v>489</v>
      </c>
      <c r="F553" t="s">
        <v>27</v>
      </c>
      <c r="G553" t="s">
        <v>62</v>
      </c>
      <c r="H553" t="b">
        <v>0</v>
      </c>
      <c r="I553" t="b">
        <v>0</v>
      </c>
      <c r="L553" t="b">
        <v>0</v>
      </c>
      <c r="M553" t="s">
        <v>1242</v>
      </c>
    </row>
    <row r="555" spans="1:25" x14ac:dyDescent="0.2">
      <c r="A555" s="2">
        <v>763</v>
      </c>
      <c r="B555" s="2" t="s">
        <v>1243</v>
      </c>
      <c r="C555" s="2" t="s">
        <v>13</v>
      </c>
      <c r="D555" s="2" t="s">
        <v>1244</v>
      </c>
      <c r="E555" s="2" t="s">
        <v>1245</v>
      </c>
      <c r="F555" s="2" t="s">
        <v>78</v>
      </c>
      <c r="G555" s="2" t="s">
        <v>24</v>
      </c>
      <c r="H555" s="2"/>
      <c r="I555" s="2"/>
      <c r="J555" s="2"/>
      <c r="K555" s="2"/>
      <c r="L555" s="2"/>
      <c r="M555" s="2"/>
      <c r="N555" s="2"/>
      <c r="O555" s="2"/>
      <c r="P555" s="2"/>
      <c r="Q555" s="2"/>
      <c r="R555" s="2"/>
      <c r="S555" s="2"/>
      <c r="T555" s="2"/>
      <c r="U555" s="2"/>
      <c r="V555" s="2"/>
      <c r="W555" s="2"/>
      <c r="X555" s="2"/>
      <c r="Y555" s="2"/>
    </row>
    <row r="556" spans="1:25" x14ac:dyDescent="0.2">
      <c r="A556">
        <v>764</v>
      </c>
      <c r="B556" t="s">
        <v>1243</v>
      </c>
      <c r="C556" t="s">
        <v>18</v>
      </c>
      <c r="D556" t="s">
        <v>1244</v>
      </c>
      <c r="E556" t="s">
        <v>1245</v>
      </c>
      <c r="F556" t="s">
        <v>78</v>
      </c>
      <c r="G556" t="s">
        <v>24</v>
      </c>
      <c r="H556" t="b">
        <v>1</v>
      </c>
      <c r="K556" t="b">
        <v>1</v>
      </c>
      <c r="L556" t="b">
        <v>1</v>
      </c>
      <c r="M556" t="s">
        <v>1246</v>
      </c>
      <c r="N556" t="s">
        <v>1247</v>
      </c>
    </row>
    <row r="557" spans="1:25" x14ac:dyDescent="0.2">
      <c r="A557">
        <v>765</v>
      </c>
      <c r="B557" t="s">
        <v>1243</v>
      </c>
      <c r="C557" t="s">
        <v>18</v>
      </c>
      <c r="D557" t="s">
        <v>1248</v>
      </c>
      <c r="E557" t="s">
        <v>1249</v>
      </c>
      <c r="F557" t="s">
        <v>78</v>
      </c>
      <c r="G557" t="s">
        <v>24</v>
      </c>
      <c r="H557" t="b">
        <v>0</v>
      </c>
      <c r="K557" t="b">
        <v>0</v>
      </c>
      <c r="L557" t="b">
        <v>0</v>
      </c>
      <c r="M557" t="s">
        <v>1250</v>
      </c>
      <c r="N557" t="s">
        <v>1251</v>
      </c>
    </row>
    <row r="558" spans="1:25" x14ac:dyDescent="0.2">
      <c r="A558">
        <v>766</v>
      </c>
      <c r="B558" t="s">
        <v>1243</v>
      </c>
      <c r="C558" t="s">
        <v>18</v>
      </c>
      <c r="D558" t="s">
        <v>1252</v>
      </c>
      <c r="E558" t="s">
        <v>1253</v>
      </c>
      <c r="F558" t="s">
        <v>78</v>
      </c>
      <c r="G558" t="s">
        <v>24</v>
      </c>
      <c r="H558" t="b">
        <v>0</v>
      </c>
      <c r="K558" t="b">
        <v>0</v>
      </c>
      <c r="L558" t="b">
        <v>0</v>
      </c>
      <c r="M558" t="s">
        <v>1254</v>
      </c>
      <c r="N558" t="s">
        <v>1255</v>
      </c>
    </row>
    <row r="559" spans="1:25" x14ac:dyDescent="0.2">
      <c r="A559">
        <v>767</v>
      </c>
      <c r="B559" t="s">
        <v>1243</v>
      </c>
      <c r="C559" t="s">
        <v>18</v>
      </c>
      <c r="D559" t="s">
        <v>112</v>
      </c>
      <c r="E559" t="s">
        <v>113</v>
      </c>
      <c r="F559" t="s">
        <v>78</v>
      </c>
      <c r="G559" t="s">
        <v>24</v>
      </c>
      <c r="H559" t="b">
        <v>0</v>
      </c>
      <c r="K559" t="b">
        <v>0</v>
      </c>
      <c r="L559" t="b">
        <v>0</v>
      </c>
      <c r="M559" t="s">
        <v>1256</v>
      </c>
      <c r="N559" t="s">
        <v>1257</v>
      </c>
    </row>
    <row r="560" spans="1:25" x14ac:dyDescent="0.2">
      <c r="A560">
        <v>768</v>
      </c>
      <c r="B560" t="s">
        <v>1243</v>
      </c>
      <c r="C560" t="s">
        <v>18</v>
      </c>
      <c r="D560" t="s">
        <v>1258</v>
      </c>
      <c r="E560" t="s">
        <v>1259</v>
      </c>
      <c r="F560" t="s">
        <v>151</v>
      </c>
      <c r="G560" t="s">
        <v>24</v>
      </c>
      <c r="H560" t="b">
        <v>0</v>
      </c>
      <c r="K560" t="b">
        <v>0</v>
      </c>
      <c r="L560" t="b">
        <v>0</v>
      </c>
      <c r="M560" t="s">
        <v>1260</v>
      </c>
    </row>
    <row r="562" spans="1:25" x14ac:dyDescent="0.2">
      <c r="A562" s="2">
        <v>7644</v>
      </c>
      <c r="B562" s="2" t="s">
        <v>1261</v>
      </c>
      <c r="C562" s="2" t="s">
        <v>13</v>
      </c>
      <c r="D562" s="2" t="s">
        <v>1262</v>
      </c>
      <c r="E562" s="2" t="s">
        <v>1263</v>
      </c>
      <c r="F562" s="2" t="s">
        <v>168</v>
      </c>
      <c r="G562" s="2" t="s">
        <v>62</v>
      </c>
      <c r="H562" s="2"/>
      <c r="I562" s="2"/>
      <c r="J562" s="2"/>
      <c r="K562" s="2"/>
      <c r="L562" s="2"/>
      <c r="M562" s="2"/>
      <c r="N562" s="2"/>
      <c r="O562" s="2"/>
      <c r="P562" s="2"/>
      <c r="Q562" s="2"/>
      <c r="R562" s="2"/>
      <c r="S562" s="2"/>
      <c r="T562" s="2"/>
      <c r="U562" s="2"/>
      <c r="V562" s="2"/>
      <c r="W562" s="2"/>
      <c r="X562" s="2"/>
      <c r="Y562" s="2"/>
    </row>
    <row r="563" spans="1:25" x14ac:dyDescent="0.2">
      <c r="A563">
        <v>7645</v>
      </c>
      <c r="B563" t="s">
        <v>1261</v>
      </c>
      <c r="C563" t="s">
        <v>18</v>
      </c>
      <c r="D563" t="s">
        <v>1262</v>
      </c>
      <c r="E563" t="s">
        <v>1264</v>
      </c>
      <c r="F563" t="s">
        <v>168</v>
      </c>
      <c r="G563" t="s">
        <v>62</v>
      </c>
      <c r="H563" t="b">
        <v>1</v>
      </c>
      <c r="K563" t="b">
        <v>1</v>
      </c>
      <c r="L563" t="b">
        <v>1</v>
      </c>
      <c r="M563" t="s">
        <v>1265</v>
      </c>
      <c r="N563" t="s">
        <v>1266</v>
      </c>
    </row>
    <row r="564" spans="1:25" x14ac:dyDescent="0.2">
      <c r="A564">
        <v>7646</v>
      </c>
      <c r="B564" t="s">
        <v>1261</v>
      </c>
      <c r="C564" t="s">
        <v>18</v>
      </c>
      <c r="D564" t="s">
        <v>1267</v>
      </c>
      <c r="E564" t="s">
        <v>34</v>
      </c>
      <c r="F564" t="s">
        <v>168</v>
      </c>
      <c r="G564" t="s">
        <v>62</v>
      </c>
      <c r="H564" t="b">
        <v>1</v>
      </c>
      <c r="K564" t="b">
        <v>0</v>
      </c>
      <c r="L564" t="b">
        <v>1</v>
      </c>
      <c r="M564" t="s">
        <v>1268</v>
      </c>
      <c r="N564" t="s">
        <v>1269</v>
      </c>
    </row>
    <row r="565" spans="1:25" x14ac:dyDescent="0.2">
      <c r="A565">
        <v>7647</v>
      </c>
      <c r="B565" t="s">
        <v>1261</v>
      </c>
      <c r="C565" t="s">
        <v>18</v>
      </c>
      <c r="D565" t="s">
        <v>1270</v>
      </c>
      <c r="E565" t="s">
        <v>1271</v>
      </c>
      <c r="F565" t="s">
        <v>316</v>
      </c>
      <c r="G565" t="s">
        <v>62</v>
      </c>
      <c r="H565" t="b">
        <v>0</v>
      </c>
      <c r="K565" t="b">
        <v>0</v>
      </c>
      <c r="L565" t="b">
        <v>0</v>
      </c>
    </row>
    <row r="566" spans="1:25" x14ac:dyDescent="0.2">
      <c r="A566">
        <v>7648</v>
      </c>
      <c r="B566" t="s">
        <v>1261</v>
      </c>
      <c r="C566" t="s">
        <v>18</v>
      </c>
      <c r="D566" t="s">
        <v>1272</v>
      </c>
      <c r="E566" t="s">
        <v>1273</v>
      </c>
      <c r="F566" t="s">
        <v>151</v>
      </c>
      <c r="G566" t="s">
        <v>62</v>
      </c>
      <c r="H566" t="b">
        <v>0</v>
      </c>
      <c r="K566" t="b">
        <v>0</v>
      </c>
      <c r="L566" t="b">
        <v>0</v>
      </c>
      <c r="M566" t="s">
        <v>1274</v>
      </c>
    </row>
    <row r="567" spans="1:25" x14ac:dyDescent="0.2">
      <c r="A567">
        <v>7649</v>
      </c>
      <c r="B567" t="s">
        <v>1261</v>
      </c>
      <c r="C567" t="s">
        <v>18</v>
      </c>
      <c r="D567" t="s">
        <v>1275</v>
      </c>
      <c r="E567" t="s">
        <v>1276</v>
      </c>
      <c r="F567" t="s">
        <v>316</v>
      </c>
      <c r="G567" t="s">
        <v>62</v>
      </c>
      <c r="H567" t="b">
        <v>0</v>
      </c>
      <c r="K567" t="b">
        <v>0</v>
      </c>
      <c r="L567" t="b">
        <v>0</v>
      </c>
    </row>
    <row r="569" spans="1:25" x14ac:dyDescent="0.2">
      <c r="A569" s="2">
        <v>7651</v>
      </c>
      <c r="B569" s="2" t="s">
        <v>1277</v>
      </c>
      <c r="C569" s="2" t="s">
        <v>13</v>
      </c>
      <c r="D569" s="2" t="s">
        <v>1278</v>
      </c>
      <c r="E569" s="2" t="s">
        <v>1279</v>
      </c>
      <c r="F569" s="2" t="s">
        <v>122</v>
      </c>
      <c r="G569" s="2" t="s">
        <v>62</v>
      </c>
      <c r="H569" s="2"/>
      <c r="I569" s="2"/>
      <c r="J569" s="2"/>
      <c r="K569" s="2"/>
      <c r="L569" s="2"/>
      <c r="M569" s="2"/>
      <c r="N569" s="2"/>
      <c r="O569" s="2"/>
      <c r="P569" s="2"/>
      <c r="Q569" s="2"/>
      <c r="R569" s="2"/>
      <c r="S569" s="2"/>
      <c r="T569" s="2"/>
      <c r="U569" s="2"/>
      <c r="V569" s="2"/>
      <c r="W569" s="2"/>
      <c r="X569" s="2"/>
      <c r="Y569" s="2"/>
    </row>
    <row r="570" spans="1:25" x14ac:dyDescent="0.2">
      <c r="A570">
        <v>7652</v>
      </c>
      <c r="B570" t="s">
        <v>1277</v>
      </c>
      <c r="C570" t="s">
        <v>18</v>
      </c>
      <c r="D570" t="s">
        <v>1280</v>
      </c>
      <c r="E570" t="s">
        <v>1279</v>
      </c>
      <c r="F570" t="s">
        <v>122</v>
      </c>
      <c r="G570" t="s">
        <v>62</v>
      </c>
      <c r="H570" t="b">
        <v>1</v>
      </c>
      <c r="I570" t="b">
        <v>1</v>
      </c>
      <c r="L570" t="b">
        <v>1</v>
      </c>
      <c r="M570" t="s">
        <v>1281</v>
      </c>
      <c r="N570" t="s">
        <v>1282</v>
      </c>
      <c r="O570" t="s">
        <v>1283</v>
      </c>
    </row>
    <row r="571" spans="1:25" x14ac:dyDescent="0.2">
      <c r="A571">
        <v>7653</v>
      </c>
      <c r="B571" t="s">
        <v>1277</v>
      </c>
      <c r="C571" t="s">
        <v>18</v>
      </c>
      <c r="D571" t="s">
        <v>1284</v>
      </c>
      <c r="E571" t="s">
        <v>1285</v>
      </c>
      <c r="F571" t="s">
        <v>78</v>
      </c>
      <c r="G571" t="s">
        <v>62</v>
      </c>
      <c r="H571" t="b">
        <v>0</v>
      </c>
      <c r="I571" t="b">
        <v>0</v>
      </c>
      <c r="L571" t="b">
        <v>0</v>
      </c>
      <c r="M571" t="s">
        <v>1286</v>
      </c>
      <c r="N571" t="s">
        <v>1287</v>
      </c>
    </row>
    <row r="572" spans="1:25" x14ac:dyDescent="0.2">
      <c r="A572">
        <v>7654</v>
      </c>
      <c r="B572" t="s">
        <v>1277</v>
      </c>
      <c r="C572" t="s">
        <v>18</v>
      </c>
      <c r="D572" t="s">
        <v>1288</v>
      </c>
      <c r="E572" t="s">
        <v>1289</v>
      </c>
      <c r="F572" t="s">
        <v>122</v>
      </c>
      <c r="G572" t="s">
        <v>1290</v>
      </c>
      <c r="H572" t="b">
        <v>0</v>
      </c>
      <c r="I572" t="b">
        <v>0</v>
      </c>
      <c r="L572" t="b">
        <v>0</v>
      </c>
    </row>
    <row r="573" spans="1:25" x14ac:dyDescent="0.2">
      <c r="A573">
        <v>7655</v>
      </c>
      <c r="B573" t="s">
        <v>1277</v>
      </c>
      <c r="C573" t="s">
        <v>18</v>
      </c>
      <c r="D573" t="s">
        <v>1291</v>
      </c>
      <c r="E573" t="s">
        <v>1292</v>
      </c>
      <c r="F573" t="s">
        <v>122</v>
      </c>
      <c r="G573" t="s">
        <v>1290</v>
      </c>
      <c r="H573" t="b">
        <v>0</v>
      </c>
      <c r="I573" t="b">
        <v>0</v>
      </c>
      <c r="L573" t="b">
        <v>0</v>
      </c>
    </row>
    <row r="574" spans="1:25" x14ac:dyDescent="0.2">
      <c r="A574">
        <v>7656</v>
      </c>
      <c r="B574" t="s">
        <v>1277</v>
      </c>
      <c r="C574" t="s">
        <v>18</v>
      </c>
      <c r="D574" t="s">
        <v>1293</v>
      </c>
      <c r="E574" t="s">
        <v>1294</v>
      </c>
      <c r="F574" t="s">
        <v>151</v>
      </c>
      <c r="G574" t="s">
        <v>62</v>
      </c>
      <c r="H574" t="b">
        <v>0</v>
      </c>
      <c r="I574" t="b">
        <v>0</v>
      </c>
      <c r="L574" t="b">
        <v>0</v>
      </c>
      <c r="M574" t="s">
        <v>1295</v>
      </c>
    </row>
    <row r="576" spans="1:25" x14ac:dyDescent="0.2">
      <c r="A576" s="2">
        <v>7672</v>
      </c>
      <c r="B576" s="2" t="s">
        <v>1296</v>
      </c>
      <c r="C576" s="2" t="s">
        <v>13</v>
      </c>
      <c r="D576" s="2" t="s">
        <v>1297</v>
      </c>
      <c r="E576" s="2" t="s">
        <v>1298</v>
      </c>
      <c r="F576" s="2" t="s">
        <v>369</v>
      </c>
      <c r="G576" s="2" t="s">
        <v>17</v>
      </c>
      <c r="H576" s="2"/>
      <c r="I576" s="2"/>
      <c r="J576" s="2"/>
      <c r="K576" s="2"/>
      <c r="L576" s="2"/>
      <c r="M576" s="2"/>
      <c r="N576" s="2"/>
      <c r="O576" s="2"/>
      <c r="P576" s="2"/>
      <c r="Q576" s="2"/>
      <c r="R576" s="2"/>
      <c r="S576" s="2"/>
      <c r="T576" s="2"/>
      <c r="U576" s="2"/>
      <c r="V576" s="2"/>
      <c r="W576" s="2"/>
      <c r="X576" s="2"/>
      <c r="Y576" s="2"/>
    </row>
    <row r="577" spans="1:25" x14ac:dyDescent="0.2">
      <c r="A577">
        <v>7673</v>
      </c>
      <c r="B577" t="s">
        <v>1296</v>
      </c>
      <c r="C577" t="s">
        <v>18</v>
      </c>
      <c r="D577" t="s">
        <v>1297</v>
      </c>
      <c r="E577" t="s">
        <v>1299</v>
      </c>
      <c r="F577" t="s">
        <v>369</v>
      </c>
      <c r="G577" t="s">
        <v>17</v>
      </c>
      <c r="H577" t="b">
        <v>1</v>
      </c>
      <c r="I577" t="b">
        <v>1</v>
      </c>
      <c r="L577" t="b">
        <v>1</v>
      </c>
    </row>
    <row r="578" spans="1:25" x14ac:dyDescent="0.2">
      <c r="A578">
        <v>7674</v>
      </c>
      <c r="B578" t="s">
        <v>1296</v>
      </c>
      <c r="C578" t="s">
        <v>18</v>
      </c>
      <c r="D578" t="s">
        <v>1300</v>
      </c>
      <c r="E578" t="s">
        <v>1301</v>
      </c>
      <c r="F578" t="s">
        <v>369</v>
      </c>
      <c r="G578" t="s">
        <v>17</v>
      </c>
      <c r="H578" t="b">
        <v>1</v>
      </c>
      <c r="I578" t="b">
        <v>1</v>
      </c>
      <c r="L578" t="b">
        <v>1</v>
      </c>
      <c r="M578" t="s">
        <v>1302</v>
      </c>
    </row>
    <row r="579" spans="1:25" x14ac:dyDescent="0.2">
      <c r="A579">
        <v>7675</v>
      </c>
      <c r="B579" t="s">
        <v>1296</v>
      </c>
      <c r="C579" t="s">
        <v>18</v>
      </c>
      <c r="D579" t="s">
        <v>1303</v>
      </c>
      <c r="E579" t="s">
        <v>405</v>
      </c>
      <c r="F579" t="s">
        <v>159</v>
      </c>
      <c r="G579" t="s">
        <v>345</v>
      </c>
      <c r="H579" t="b">
        <v>0</v>
      </c>
      <c r="I579" t="b">
        <v>0</v>
      </c>
      <c r="L579" t="b">
        <v>0</v>
      </c>
      <c r="M579" t="s">
        <v>1304</v>
      </c>
      <c r="N579" t="s">
        <v>1305</v>
      </c>
    </row>
    <row r="580" spans="1:25" x14ac:dyDescent="0.2">
      <c r="A580">
        <v>7676</v>
      </c>
      <c r="B580" t="s">
        <v>1296</v>
      </c>
      <c r="C580" t="s">
        <v>18</v>
      </c>
      <c r="D580" t="s">
        <v>1306</v>
      </c>
      <c r="E580" t="s">
        <v>1307</v>
      </c>
      <c r="F580" t="s">
        <v>78</v>
      </c>
      <c r="G580" t="s">
        <v>17</v>
      </c>
      <c r="H580" t="b">
        <v>0</v>
      </c>
      <c r="I580" t="b">
        <v>0</v>
      </c>
      <c r="L580" t="b">
        <v>0</v>
      </c>
      <c r="M580" t="s">
        <v>1308</v>
      </c>
      <c r="N580" t="s">
        <v>1309</v>
      </c>
    </row>
    <row r="581" spans="1:25" x14ac:dyDescent="0.2">
      <c r="A581">
        <v>7677</v>
      </c>
      <c r="B581" t="s">
        <v>1296</v>
      </c>
      <c r="C581" t="s">
        <v>18</v>
      </c>
      <c r="D581" t="s">
        <v>1310</v>
      </c>
      <c r="E581" t="s">
        <v>1311</v>
      </c>
      <c r="F581" t="s">
        <v>369</v>
      </c>
      <c r="G581" t="s">
        <v>17</v>
      </c>
      <c r="H581" t="b">
        <v>0</v>
      </c>
      <c r="I581" t="b">
        <v>0</v>
      </c>
      <c r="L581" t="b">
        <v>0</v>
      </c>
      <c r="M581" t="s">
        <v>1312</v>
      </c>
    </row>
    <row r="583" spans="1:25" x14ac:dyDescent="0.2">
      <c r="A583" s="2">
        <v>7679</v>
      </c>
      <c r="B583" s="2" t="s">
        <v>1313</v>
      </c>
      <c r="C583" s="2" t="s">
        <v>13</v>
      </c>
      <c r="D583" s="2" t="s">
        <v>1314</v>
      </c>
      <c r="E583" s="2" t="s">
        <v>1315</v>
      </c>
      <c r="F583" s="2" t="s">
        <v>45</v>
      </c>
      <c r="G583" s="2" t="s">
        <v>17</v>
      </c>
      <c r="H583" s="2"/>
      <c r="I583" s="2"/>
      <c r="J583" s="2"/>
      <c r="K583" s="2"/>
      <c r="L583" s="2"/>
      <c r="M583" s="2"/>
      <c r="N583" s="2"/>
      <c r="O583" s="2"/>
      <c r="P583" s="2"/>
      <c r="Q583" s="2"/>
      <c r="R583" s="2"/>
      <c r="S583" s="2"/>
      <c r="T583" s="2"/>
      <c r="U583" s="2"/>
      <c r="V583" s="2"/>
      <c r="W583" s="2"/>
      <c r="X583" s="2"/>
      <c r="Y583" s="2"/>
    </row>
    <row r="584" spans="1:25" x14ac:dyDescent="0.2">
      <c r="A584">
        <v>7680</v>
      </c>
      <c r="B584" t="s">
        <v>1313</v>
      </c>
      <c r="C584" t="s">
        <v>18</v>
      </c>
      <c r="D584" t="s">
        <v>1314</v>
      </c>
      <c r="E584" t="s">
        <v>1316</v>
      </c>
      <c r="F584" t="s">
        <v>45</v>
      </c>
      <c r="G584" t="s">
        <v>17</v>
      </c>
      <c r="H584" t="b">
        <v>1</v>
      </c>
      <c r="K584" t="b">
        <v>1</v>
      </c>
      <c r="L584" t="b">
        <v>1</v>
      </c>
      <c r="M584" t="s">
        <v>1317</v>
      </c>
    </row>
    <row r="585" spans="1:25" x14ac:dyDescent="0.2">
      <c r="A585">
        <v>7681</v>
      </c>
      <c r="B585" t="s">
        <v>1313</v>
      </c>
      <c r="C585" t="s">
        <v>18</v>
      </c>
      <c r="D585" t="s">
        <v>1318</v>
      </c>
      <c r="E585" t="s">
        <v>1319</v>
      </c>
      <c r="F585" t="s">
        <v>45</v>
      </c>
      <c r="G585" t="s">
        <v>252</v>
      </c>
      <c r="H585" t="b">
        <v>0</v>
      </c>
      <c r="K585" t="b">
        <v>0</v>
      </c>
      <c r="L585" t="b">
        <v>0</v>
      </c>
      <c r="M585" t="s">
        <v>1320</v>
      </c>
      <c r="N585" t="s">
        <v>1321</v>
      </c>
    </row>
    <row r="586" spans="1:25" x14ac:dyDescent="0.2">
      <c r="A586">
        <v>7682</v>
      </c>
      <c r="B586" t="s">
        <v>1313</v>
      </c>
      <c r="C586" t="s">
        <v>18</v>
      </c>
      <c r="D586" t="s">
        <v>1322</v>
      </c>
      <c r="E586" t="s">
        <v>240</v>
      </c>
      <c r="F586" t="s">
        <v>45</v>
      </c>
      <c r="G586" t="s">
        <v>87</v>
      </c>
      <c r="H586" t="b">
        <v>0</v>
      </c>
      <c r="K586" t="b">
        <v>0</v>
      </c>
      <c r="L586" t="b">
        <v>0</v>
      </c>
      <c r="M586" t="s">
        <v>1323</v>
      </c>
      <c r="N586" t="s">
        <v>1324</v>
      </c>
    </row>
    <row r="587" spans="1:25" x14ac:dyDescent="0.2">
      <c r="A587">
        <v>7683</v>
      </c>
      <c r="B587" t="s">
        <v>1313</v>
      </c>
      <c r="C587" t="s">
        <v>18</v>
      </c>
      <c r="D587" t="s">
        <v>1325</v>
      </c>
      <c r="E587" t="s">
        <v>1326</v>
      </c>
      <c r="F587" t="s">
        <v>174</v>
      </c>
      <c r="G587" t="s">
        <v>17</v>
      </c>
      <c r="H587" t="b">
        <v>0</v>
      </c>
      <c r="K587" t="b">
        <v>0</v>
      </c>
      <c r="L587" t="b">
        <v>0</v>
      </c>
      <c r="M587" t="s">
        <v>1327</v>
      </c>
      <c r="N587" t="s">
        <v>1328</v>
      </c>
    </row>
    <row r="588" spans="1:25" x14ac:dyDescent="0.2">
      <c r="A588">
        <v>7684</v>
      </c>
      <c r="B588" t="s">
        <v>1313</v>
      </c>
      <c r="C588" t="s">
        <v>18</v>
      </c>
      <c r="D588" t="s">
        <v>1329</v>
      </c>
      <c r="E588" t="s">
        <v>1330</v>
      </c>
      <c r="F588" t="s">
        <v>369</v>
      </c>
      <c r="G588" t="s">
        <v>17</v>
      </c>
      <c r="H588" t="b">
        <v>0</v>
      </c>
      <c r="K588" t="b">
        <v>0</v>
      </c>
      <c r="L588" t="b">
        <v>0</v>
      </c>
      <c r="M588" t="s">
        <v>1331</v>
      </c>
      <c r="N588" t="s">
        <v>1332</v>
      </c>
    </row>
    <row r="590" spans="1:25" x14ac:dyDescent="0.2">
      <c r="A590" s="2">
        <v>7686</v>
      </c>
      <c r="B590" s="2" t="s">
        <v>1333</v>
      </c>
      <c r="C590" s="2" t="s">
        <v>13</v>
      </c>
      <c r="D590" s="2" t="s">
        <v>1322</v>
      </c>
      <c r="E590" s="2" t="s">
        <v>1334</v>
      </c>
      <c r="F590" s="2" t="s">
        <v>45</v>
      </c>
      <c r="G590" s="2" t="s">
        <v>771</v>
      </c>
      <c r="H590" s="2"/>
      <c r="I590" s="2"/>
      <c r="J590" s="2"/>
      <c r="K590" s="2"/>
      <c r="L590" s="2"/>
      <c r="M590" s="2"/>
      <c r="N590" s="2"/>
      <c r="O590" s="2"/>
      <c r="P590" s="2"/>
      <c r="Q590" s="2"/>
      <c r="R590" s="2"/>
      <c r="S590" s="2"/>
      <c r="T590" s="2"/>
      <c r="U590" s="2"/>
      <c r="V590" s="2"/>
      <c r="W590" s="2"/>
      <c r="X590" s="2"/>
      <c r="Y590" s="2"/>
    </row>
    <row r="591" spans="1:25" x14ac:dyDescent="0.2">
      <c r="A591">
        <v>7687</v>
      </c>
      <c r="B591" t="s">
        <v>1333</v>
      </c>
      <c r="C591" t="s">
        <v>18</v>
      </c>
      <c r="D591" t="s">
        <v>1322</v>
      </c>
      <c r="E591" t="s">
        <v>240</v>
      </c>
      <c r="F591" t="s">
        <v>45</v>
      </c>
      <c r="G591" t="s">
        <v>87</v>
      </c>
      <c r="H591" t="b">
        <v>1</v>
      </c>
      <c r="K591" t="b">
        <v>1</v>
      </c>
      <c r="L591" t="b">
        <v>1</v>
      </c>
      <c r="M591" t="s">
        <v>1323</v>
      </c>
      <c r="N591" t="s">
        <v>1324</v>
      </c>
    </row>
    <row r="592" spans="1:25" x14ac:dyDescent="0.2">
      <c r="A592">
        <v>7688</v>
      </c>
      <c r="B592" t="s">
        <v>1333</v>
      </c>
      <c r="C592" t="s">
        <v>18</v>
      </c>
      <c r="D592" t="s">
        <v>1318</v>
      </c>
      <c r="E592" t="s">
        <v>1319</v>
      </c>
      <c r="F592" t="s">
        <v>45</v>
      </c>
      <c r="G592" t="s">
        <v>252</v>
      </c>
      <c r="H592" t="b">
        <v>1</v>
      </c>
      <c r="K592" t="b">
        <v>1</v>
      </c>
      <c r="L592" t="b">
        <v>1</v>
      </c>
      <c r="M592" t="s">
        <v>1320</v>
      </c>
      <c r="N592" t="s">
        <v>1321</v>
      </c>
    </row>
    <row r="593" spans="1:25" x14ac:dyDescent="0.2">
      <c r="A593">
        <v>7689</v>
      </c>
      <c r="B593" t="s">
        <v>1333</v>
      </c>
      <c r="C593" t="s">
        <v>18</v>
      </c>
      <c r="D593" t="s">
        <v>1314</v>
      </c>
      <c r="E593" t="s">
        <v>1316</v>
      </c>
      <c r="F593" t="s">
        <v>45</v>
      </c>
      <c r="G593" t="s">
        <v>17</v>
      </c>
      <c r="H593" t="b">
        <v>0</v>
      </c>
      <c r="K593" t="b">
        <v>0</v>
      </c>
      <c r="L593" t="b">
        <v>0</v>
      </c>
      <c r="M593" t="s">
        <v>1317</v>
      </c>
    </row>
    <row r="594" spans="1:25" x14ac:dyDescent="0.2">
      <c r="A594">
        <v>7690</v>
      </c>
      <c r="B594" t="s">
        <v>1333</v>
      </c>
      <c r="C594" t="s">
        <v>18</v>
      </c>
      <c r="D594" t="s">
        <v>1335</v>
      </c>
      <c r="E594" t="s">
        <v>1336</v>
      </c>
      <c r="F594" t="s">
        <v>45</v>
      </c>
      <c r="G594" t="s">
        <v>24</v>
      </c>
      <c r="H594" t="b">
        <v>0</v>
      </c>
      <c r="K594" t="b">
        <v>0</v>
      </c>
      <c r="L594" t="b">
        <v>0</v>
      </c>
    </row>
    <row r="595" spans="1:25" x14ac:dyDescent="0.2">
      <c r="A595">
        <v>7691</v>
      </c>
      <c r="B595" t="s">
        <v>1333</v>
      </c>
      <c r="C595" t="s">
        <v>18</v>
      </c>
      <c r="D595" t="s">
        <v>1337</v>
      </c>
      <c r="E595" t="s">
        <v>1338</v>
      </c>
      <c r="F595" t="s">
        <v>45</v>
      </c>
      <c r="G595" t="s">
        <v>24</v>
      </c>
      <c r="H595" t="b">
        <v>0</v>
      </c>
      <c r="K595" t="b">
        <v>0</v>
      </c>
      <c r="L595" t="b">
        <v>0</v>
      </c>
    </row>
    <row r="597" spans="1:25" x14ac:dyDescent="0.2">
      <c r="A597" s="2">
        <v>7707</v>
      </c>
      <c r="B597" s="2" t="s">
        <v>1339</v>
      </c>
      <c r="C597" s="2" t="s">
        <v>13</v>
      </c>
      <c r="D597" s="2" t="s">
        <v>1340</v>
      </c>
      <c r="E597" s="2" t="s">
        <v>1341</v>
      </c>
      <c r="F597" s="2" t="s">
        <v>159</v>
      </c>
      <c r="G597" s="2" t="s">
        <v>24</v>
      </c>
      <c r="H597" s="2"/>
      <c r="I597" s="2"/>
      <c r="J597" s="2"/>
      <c r="K597" s="2"/>
      <c r="L597" s="2"/>
      <c r="M597" s="2"/>
      <c r="N597" s="2"/>
      <c r="O597" s="2"/>
      <c r="P597" s="2"/>
      <c r="Q597" s="2"/>
      <c r="R597" s="2"/>
      <c r="S597" s="2"/>
      <c r="T597" s="2"/>
      <c r="U597" s="2"/>
      <c r="V597" s="2"/>
      <c r="W597" s="2"/>
      <c r="X597" s="2"/>
      <c r="Y597" s="2"/>
    </row>
    <row r="598" spans="1:25" x14ac:dyDescent="0.2">
      <c r="A598">
        <v>7708</v>
      </c>
      <c r="B598" t="s">
        <v>1339</v>
      </c>
      <c r="C598" t="s">
        <v>18</v>
      </c>
      <c r="D598" t="s">
        <v>1340</v>
      </c>
      <c r="E598" t="s">
        <v>1342</v>
      </c>
      <c r="F598" t="s">
        <v>159</v>
      </c>
      <c r="G598" t="s">
        <v>24</v>
      </c>
      <c r="H598" t="b">
        <v>1</v>
      </c>
      <c r="K598" t="b">
        <v>1</v>
      </c>
      <c r="L598" t="b">
        <v>1</v>
      </c>
      <c r="M598" t="s">
        <v>1343</v>
      </c>
    </row>
    <row r="599" spans="1:25" x14ac:dyDescent="0.2">
      <c r="A599">
        <v>7709</v>
      </c>
      <c r="B599" t="s">
        <v>1339</v>
      </c>
      <c r="C599" t="s">
        <v>18</v>
      </c>
      <c r="D599" t="s">
        <v>1344</v>
      </c>
      <c r="E599" t="s">
        <v>1345</v>
      </c>
      <c r="F599" t="s">
        <v>159</v>
      </c>
      <c r="G599" t="s">
        <v>24</v>
      </c>
      <c r="H599" t="b">
        <v>1</v>
      </c>
      <c r="K599" t="b">
        <v>1</v>
      </c>
      <c r="L599" t="b">
        <v>1</v>
      </c>
      <c r="M599" t="s">
        <v>1346</v>
      </c>
      <c r="N599" t="s">
        <v>1347</v>
      </c>
    </row>
    <row r="600" spans="1:25" x14ac:dyDescent="0.2">
      <c r="A600">
        <v>7710</v>
      </c>
      <c r="B600" t="s">
        <v>1339</v>
      </c>
      <c r="C600" t="s">
        <v>18</v>
      </c>
      <c r="D600" t="s">
        <v>1348</v>
      </c>
      <c r="E600" t="s">
        <v>1349</v>
      </c>
      <c r="F600" t="s">
        <v>174</v>
      </c>
      <c r="G600" t="s">
        <v>24</v>
      </c>
      <c r="H600" t="b">
        <v>0</v>
      </c>
      <c r="K600" t="b">
        <v>0</v>
      </c>
      <c r="L600" t="b">
        <v>0</v>
      </c>
      <c r="M600" t="s">
        <v>1350</v>
      </c>
      <c r="N600" t="s">
        <v>1351</v>
      </c>
    </row>
    <row r="601" spans="1:25" x14ac:dyDescent="0.2">
      <c r="A601">
        <v>7711</v>
      </c>
      <c r="B601" t="s">
        <v>1339</v>
      </c>
      <c r="C601" t="s">
        <v>18</v>
      </c>
      <c r="D601" t="s">
        <v>1352</v>
      </c>
      <c r="E601" t="s">
        <v>1353</v>
      </c>
      <c r="F601" t="s">
        <v>82</v>
      </c>
      <c r="G601" t="s">
        <v>24</v>
      </c>
      <c r="H601" t="b">
        <v>0</v>
      </c>
      <c r="K601" t="b">
        <v>0</v>
      </c>
      <c r="L601" t="b">
        <v>0</v>
      </c>
      <c r="M601" t="s">
        <v>1354</v>
      </c>
      <c r="N601" t="s">
        <v>1355</v>
      </c>
    </row>
    <row r="602" spans="1:25" x14ac:dyDescent="0.2">
      <c r="A602">
        <v>7712</v>
      </c>
      <c r="B602" t="s">
        <v>1339</v>
      </c>
      <c r="C602" t="s">
        <v>18</v>
      </c>
      <c r="D602" t="s">
        <v>1356</v>
      </c>
      <c r="E602" t="s">
        <v>1357</v>
      </c>
      <c r="F602" t="s">
        <v>82</v>
      </c>
      <c r="G602" t="s">
        <v>24</v>
      </c>
      <c r="H602" t="b">
        <v>0</v>
      </c>
      <c r="K602" t="b">
        <v>0</v>
      </c>
      <c r="L602" t="b">
        <v>0</v>
      </c>
    </row>
    <row r="604" spans="1:25" x14ac:dyDescent="0.2">
      <c r="A604" s="2">
        <v>7728</v>
      </c>
      <c r="B604" s="2" t="s">
        <v>1358</v>
      </c>
      <c r="C604" s="2" t="s">
        <v>13</v>
      </c>
      <c r="D604" s="2" t="s">
        <v>1359</v>
      </c>
      <c r="E604" s="2" t="s">
        <v>1360</v>
      </c>
      <c r="F604" s="2" t="s">
        <v>369</v>
      </c>
      <c r="G604" s="2" t="s">
        <v>17</v>
      </c>
      <c r="H604" s="2"/>
      <c r="I604" s="2"/>
      <c r="J604" s="2"/>
      <c r="K604" s="2"/>
      <c r="L604" s="2"/>
      <c r="M604" s="2"/>
      <c r="N604" s="2"/>
      <c r="O604" s="2"/>
      <c r="P604" s="2"/>
      <c r="Q604" s="2"/>
      <c r="R604" s="2"/>
      <c r="S604" s="2"/>
      <c r="T604" s="2"/>
      <c r="U604" s="2"/>
      <c r="V604" s="2"/>
      <c r="W604" s="2"/>
      <c r="X604" s="2"/>
      <c r="Y604" s="2"/>
    </row>
    <row r="605" spans="1:25" x14ac:dyDescent="0.2">
      <c r="A605">
        <v>7729</v>
      </c>
      <c r="B605" t="s">
        <v>1358</v>
      </c>
      <c r="C605" t="s">
        <v>18</v>
      </c>
      <c r="D605" t="s">
        <v>1361</v>
      </c>
      <c r="E605" t="s">
        <v>1362</v>
      </c>
      <c r="F605" t="s">
        <v>369</v>
      </c>
      <c r="G605" t="s">
        <v>17</v>
      </c>
      <c r="H605" t="b">
        <v>1</v>
      </c>
      <c r="I605" t="b">
        <v>1</v>
      </c>
      <c r="L605" t="b">
        <v>1</v>
      </c>
      <c r="M605" t="s">
        <v>1363</v>
      </c>
    </row>
    <row r="606" spans="1:25" x14ac:dyDescent="0.2">
      <c r="A606">
        <v>7730</v>
      </c>
      <c r="B606" t="s">
        <v>1358</v>
      </c>
      <c r="C606" t="s">
        <v>18</v>
      </c>
      <c r="D606" t="s">
        <v>1364</v>
      </c>
      <c r="E606" t="s">
        <v>1365</v>
      </c>
      <c r="F606" t="s">
        <v>369</v>
      </c>
      <c r="G606" t="s">
        <v>17</v>
      </c>
      <c r="H606" t="b">
        <v>0</v>
      </c>
      <c r="I606" t="b">
        <v>0</v>
      </c>
      <c r="L606" t="b">
        <v>0</v>
      </c>
      <c r="M606" t="s">
        <v>1366</v>
      </c>
      <c r="N606" t="s">
        <v>1367</v>
      </c>
    </row>
    <row r="607" spans="1:25" x14ac:dyDescent="0.2">
      <c r="A607">
        <v>7731</v>
      </c>
      <c r="B607" t="s">
        <v>1358</v>
      </c>
      <c r="C607" t="s">
        <v>18</v>
      </c>
      <c r="D607" t="s">
        <v>1368</v>
      </c>
      <c r="E607" t="s">
        <v>1369</v>
      </c>
      <c r="F607" t="s">
        <v>174</v>
      </c>
      <c r="G607" t="s">
        <v>17</v>
      </c>
      <c r="H607" t="b">
        <v>0</v>
      </c>
      <c r="I607" t="b">
        <v>0</v>
      </c>
      <c r="L607" t="b">
        <v>0</v>
      </c>
      <c r="M607" t="s">
        <v>1370</v>
      </c>
      <c r="N607" t="s">
        <v>1371</v>
      </c>
      <c r="O607" t="s">
        <v>745</v>
      </c>
    </row>
    <row r="608" spans="1:25" x14ac:dyDescent="0.2">
      <c r="A608">
        <v>7732</v>
      </c>
      <c r="B608" t="s">
        <v>1358</v>
      </c>
      <c r="C608" t="s">
        <v>18</v>
      </c>
      <c r="D608" t="s">
        <v>1372</v>
      </c>
      <c r="E608" t="s">
        <v>1373</v>
      </c>
      <c r="F608" t="s">
        <v>78</v>
      </c>
      <c r="G608" t="s">
        <v>864</v>
      </c>
      <c r="H608" t="b">
        <v>0</v>
      </c>
      <c r="I608" t="b">
        <v>0</v>
      </c>
      <c r="L608" t="b">
        <v>0</v>
      </c>
      <c r="M608" t="s">
        <v>1374</v>
      </c>
      <c r="N608" t="s">
        <v>1375</v>
      </c>
    </row>
    <row r="609" spans="1:25" x14ac:dyDescent="0.2">
      <c r="A609">
        <v>7733</v>
      </c>
      <c r="B609" t="s">
        <v>1358</v>
      </c>
      <c r="C609" t="s">
        <v>18</v>
      </c>
      <c r="D609" t="s">
        <v>1376</v>
      </c>
      <c r="E609" t="s">
        <v>1377</v>
      </c>
      <c r="F609" t="s">
        <v>248</v>
      </c>
      <c r="G609" t="s">
        <v>62</v>
      </c>
      <c r="H609" t="b">
        <v>0</v>
      </c>
      <c r="I609" t="b">
        <v>0</v>
      </c>
      <c r="L609" t="b">
        <v>0</v>
      </c>
      <c r="M609" t="s">
        <v>1378</v>
      </c>
      <c r="N609" t="s">
        <v>1379</v>
      </c>
      <c r="O609" t="s">
        <v>1380</v>
      </c>
      <c r="P609" t="s">
        <v>1381</v>
      </c>
    </row>
    <row r="611" spans="1:25" x14ac:dyDescent="0.2">
      <c r="A611" s="2">
        <v>7735</v>
      </c>
      <c r="B611" s="2" t="s">
        <v>1382</v>
      </c>
      <c r="C611" s="2" t="s">
        <v>13</v>
      </c>
      <c r="D611" s="2" t="s">
        <v>1383</v>
      </c>
      <c r="E611" s="2" t="s">
        <v>1384</v>
      </c>
      <c r="F611" s="2" t="s">
        <v>654</v>
      </c>
      <c r="G611" s="2" t="s">
        <v>88</v>
      </c>
      <c r="H611" s="2"/>
      <c r="I611" s="2"/>
      <c r="J611" s="2"/>
      <c r="K611" s="2"/>
      <c r="L611" s="2"/>
      <c r="M611" s="2"/>
      <c r="N611" s="2"/>
      <c r="O611" s="2"/>
      <c r="P611" s="2"/>
      <c r="Q611" s="2"/>
      <c r="R611" s="2"/>
      <c r="S611" s="2"/>
      <c r="T611" s="2"/>
      <c r="U611" s="2"/>
      <c r="V611" s="2"/>
      <c r="W611" s="2"/>
      <c r="X611" s="2"/>
      <c r="Y611" s="2"/>
    </row>
    <row r="612" spans="1:25" x14ac:dyDescent="0.2">
      <c r="A612">
        <v>7736</v>
      </c>
      <c r="B612" t="s">
        <v>1382</v>
      </c>
      <c r="C612" t="s">
        <v>18</v>
      </c>
      <c r="D612" t="s">
        <v>1383</v>
      </c>
      <c r="E612" t="s">
        <v>321</v>
      </c>
      <c r="F612" t="s">
        <v>654</v>
      </c>
      <c r="G612" t="s">
        <v>88</v>
      </c>
      <c r="H612" t="b">
        <v>1</v>
      </c>
      <c r="K612" t="b">
        <v>1</v>
      </c>
      <c r="L612" t="b">
        <v>1</v>
      </c>
      <c r="M612" t="s">
        <v>1385</v>
      </c>
      <c r="N612" t="s">
        <v>1386</v>
      </c>
    </row>
    <row r="613" spans="1:25" x14ac:dyDescent="0.2">
      <c r="A613">
        <v>7737</v>
      </c>
      <c r="B613" t="s">
        <v>1382</v>
      </c>
      <c r="C613" t="s">
        <v>18</v>
      </c>
      <c r="D613" t="s">
        <v>1387</v>
      </c>
      <c r="E613" t="s">
        <v>1388</v>
      </c>
      <c r="F613" t="s">
        <v>654</v>
      </c>
      <c r="G613" t="s">
        <v>88</v>
      </c>
      <c r="H613" t="b">
        <v>1</v>
      </c>
      <c r="K613" t="b">
        <v>1</v>
      </c>
      <c r="L613" t="b">
        <v>1</v>
      </c>
      <c r="M613" t="s">
        <v>1389</v>
      </c>
      <c r="N613" t="s">
        <v>1390</v>
      </c>
    </row>
    <row r="614" spans="1:25" x14ac:dyDescent="0.2">
      <c r="A614">
        <v>7738</v>
      </c>
      <c r="B614" t="s">
        <v>1382</v>
      </c>
      <c r="C614" t="s">
        <v>18</v>
      </c>
      <c r="D614" t="s">
        <v>1391</v>
      </c>
      <c r="E614" t="s">
        <v>1392</v>
      </c>
      <c r="F614" t="s">
        <v>420</v>
      </c>
      <c r="G614" t="s">
        <v>88</v>
      </c>
      <c r="H614" t="b">
        <v>0</v>
      </c>
      <c r="K614" t="b">
        <v>0</v>
      </c>
      <c r="L614" t="b">
        <v>0</v>
      </c>
      <c r="M614" t="s">
        <v>1393</v>
      </c>
      <c r="N614" t="s">
        <v>1394</v>
      </c>
      <c r="O614" t="s">
        <v>1395</v>
      </c>
      <c r="P614" t="s">
        <v>1396</v>
      </c>
    </row>
    <row r="615" spans="1:25" x14ac:dyDescent="0.2">
      <c r="A615">
        <v>7739</v>
      </c>
      <c r="B615" t="s">
        <v>1382</v>
      </c>
      <c r="C615" t="s">
        <v>18</v>
      </c>
      <c r="D615" t="s">
        <v>1099</v>
      </c>
      <c r="E615" t="s">
        <v>1100</v>
      </c>
      <c r="F615" t="s">
        <v>151</v>
      </c>
      <c r="G615" t="s">
        <v>24</v>
      </c>
      <c r="H615" t="b">
        <v>0</v>
      </c>
      <c r="K615" t="b">
        <v>0</v>
      </c>
      <c r="L615" t="b">
        <v>0</v>
      </c>
      <c r="M615" t="s">
        <v>1101</v>
      </c>
      <c r="N615" t="s">
        <v>1102</v>
      </c>
    </row>
    <row r="616" spans="1:25" x14ac:dyDescent="0.2">
      <c r="A616">
        <v>7740</v>
      </c>
      <c r="B616" t="s">
        <v>1382</v>
      </c>
      <c r="C616" t="s">
        <v>18</v>
      </c>
      <c r="D616" t="s">
        <v>1397</v>
      </c>
      <c r="E616" t="s">
        <v>1398</v>
      </c>
      <c r="F616" t="s">
        <v>151</v>
      </c>
      <c r="G616" t="s">
        <v>24</v>
      </c>
      <c r="H616" t="b">
        <v>0</v>
      </c>
      <c r="K616" t="b">
        <v>0</v>
      </c>
      <c r="L616" t="b">
        <v>0</v>
      </c>
      <c r="M616" t="s">
        <v>1399</v>
      </c>
      <c r="N616" t="s">
        <v>1400</v>
      </c>
    </row>
    <row r="618" spans="1:25" x14ac:dyDescent="0.2">
      <c r="A618" s="2">
        <v>7742</v>
      </c>
      <c r="B618" s="2" t="s">
        <v>1401</v>
      </c>
      <c r="C618" s="2" t="s">
        <v>13</v>
      </c>
      <c r="D618" s="2" t="s">
        <v>1402</v>
      </c>
      <c r="E618" s="2" t="s">
        <v>1403</v>
      </c>
      <c r="F618" s="2" t="s">
        <v>1404</v>
      </c>
      <c r="G618" s="2" t="s">
        <v>1405</v>
      </c>
      <c r="H618" s="2"/>
      <c r="I618" s="2"/>
      <c r="J618" s="2"/>
      <c r="K618" s="2"/>
      <c r="L618" s="2"/>
      <c r="M618" s="2"/>
      <c r="N618" s="2"/>
      <c r="O618" s="2"/>
      <c r="P618" s="2"/>
      <c r="Q618" s="2"/>
      <c r="R618" s="2"/>
      <c r="S618" s="2"/>
      <c r="T618" s="2"/>
      <c r="U618" s="2"/>
      <c r="V618" s="2"/>
      <c r="W618" s="2"/>
      <c r="X618" s="2"/>
      <c r="Y618" s="2"/>
    </row>
    <row r="619" spans="1:25" x14ac:dyDescent="0.2">
      <c r="A619">
        <v>7743</v>
      </c>
      <c r="B619" t="s">
        <v>1401</v>
      </c>
      <c r="C619" t="s">
        <v>18</v>
      </c>
      <c r="D619" t="s">
        <v>1402</v>
      </c>
      <c r="E619" t="s">
        <v>1403</v>
      </c>
      <c r="F619" t="s">
        <v>1404</v>
      </c>
      <c r="G619" t="s">
        <v>1406</v>
      </c>
      <c r="H619" t="b">
        <v>1</v>
      </c>
      <c r="K619" t="b">
        <v>1</v>
      </c>
      <c r="L619" t="b">
        <v>1</v>
      </c>
      <c r="M619" t="s">
        <v>1407</v>
      </c>
      <c r="N619" t="s">
        <v>1408</v>
      </c>
    </row>
    <row r="620" spans="1:25" x14ac:dyDescent="0.2">
      <c r="A620">
        <v>7744</v>
      </c>
      <c r="B620" t="s">
        <v>1401</v>
      </c>
      <c r="C620" t="s">
        <v>18</v>
      </c>
      <c r="D620" t="s">
        <v>1409</v>
      </c>
      <c r="E620" t="s">
        <v>1410</v>
      </c>
      <c r="F620" t="s">
        <v>1404</v>
      </c>
      <c r="G620" t="s">
        <v>1406</v>
      </c>
      <c r="H620" t="b">
        <v>0</v>
      </c>
      <c r="K620" t="b">
        <v>0</v>
      </c>
      <c r="L620" t="b">
        <v>0</v>
      </c>
      <c r="M620" t="s">
        <v>1411</v>
      </c>
      <c r="N620" t="s">
        <v>1412</v>
      </c>
    </row>
    <row r="621" spans="1:25" x14ac:dyDescent="0.2">
      <c r="A621">
        <v>7745</v>
      </c>
      <c r="B621" t="s">
        <v>1401</v>
      </c>
      <c r="C621" t="s">
        <v>18</v>
      </c>
      <c r="D621" t="s">
        <v>1413</v>
      </c>
      <c r="E621" t="s">
        <v>647</v>
      </c>
      <c r="F621" t="s">
        <v>1404</v>
      </c>
      <c r="G621" t="s">
        <v>1406</v>
      </c>
      <c r="H621" t="b">
        <v>0</v>
      </c>
      <c r="K621" t="b">
        <v>0</v>
      </c>
      <c r="L621" t="b">
        <v>0</v>
      </c>
      <c r="M621" t="s">
        <v>1414</v>
      </c>
    </row>
    <row r="622" spans="1:25" x14ac:dyDescent="0.2">
      <c r="A622">
        <v>7746</v>
      </c>
      <c r="B622" t="s">
        <v>1401</v>
      </c>
      <c r="C622" t="s">
        <v>18</v>
      </c>
      <c r="D622" t="s">
        <v>1415</v>
      </c>
      <c r="E622" t="s">
        <v>1416</v>
      </c>
      <c r="F622" t="s">
        <v>316</v>
      </c>
      <c r="G622" t="s">
        <v>1406</v>
      </c>
      <c r="H622" t="b">
        <v>0</v>
      </c>
      <c r="K622" t="b">
        <v>0</v>
      </c>
      <c r="L622" t="b">
        <v>0</v>
      </c>
      <c r="M622" t="s">
        <v>1417</v>
      </c>
      <c r="N622" t="s">
        <v>1418</v>
      </c>
    </row>
    <row r="623" spans="1:25" x14ac:dyDescent="0.2">
      <c r="A623">
        <v>7747</v>
      </c>
      <c r="B623" t="s">
        <v>1401</v>
      </c>
      <c r="C623" t="s">
        <v>18</v>
      </c>
      <c r="D623" t="s">
        <v>1419</v>
      </c>
      <c r="E623" t="s">
        <v>1420</v>
      </c>
      <c r="F623" t="s">
        <v>1404</v>
      </c>
      <c r="G623" t="s">
        <v>1406</v>
      </c>
      <c r="H623" t="b">
        <v>0</v>
      </c>
      <c r="K623" t="b">
        <v>0</v>
      </c>
      <c r="L623" t="b">
        <v>0</v>
      </c>
    </row>
    <row r="625" spans="1:25" x14ac:dyDescent="0.2">
      <c r="A625" s="2">
        <v>7756</v>
      </c>
      <c r="B625" s="2" t="s">
        <v>1421</v>
      </c>
      <c r="C625" s="2" t="s">
        <v>13</v>
      </c>
      <c r="D625" s="2" t="s">
        <v>1422</v>
      </c>
      <c r="E625" s="2" t="s">
        <v>1423</v>
      </c>
      <c r="F625" s="2" t="s">
        <v>16</v>
      </c>
      <c r="G625" s="2" t="s">
        <v>24</v>
      </c>
      <c r="H625" s="2"/>
      <c r="I625" s="2"/>
      <c r="J625" s="2"/>
      <c r="K625" s="2"/>
      <c r="L625" s="2"/>
      <c r="M625" s="2"/>
      <c r="N625" s="2"/>
      <c r="O625" s="2"/>
      <c r="P625" s="2"/>
      <c r="Q625" s="2"/>
      <c r="R625" s="2"/>
      <c r="S625" s="2"/>
      <c r="T625" s="2"/>
      <c r="U625" s="2"/>
      <c r="V625" s="2"/>
      <c r="W625" s="2"/>
      <c r="X625" s="2"/>
      <c r="Y625" s="2"/>
    </row>
    <row r="626" spans="1:25" x14ac:dyDescent="0.2">
      <c r="A626">
        <v>7757</v>
      </c>
      <c r="B626" t="s">
        <v>1421</v>
      </c>
      <c r="C626" t="s">
        <v>18</v>
      </c>
      <c r="D626" t="s">
        <v>1422</v>
      </c>
      <c r="E626" t="s">
        <v>455</v>
      </c>
      <c r="F626" t="s">
        <v>16</v>
      </c>
      <c r="G626" t="s">
        <v>24</v>
      </c>
      <c r="H626" t="b">
        <v>1</v>
      </c>
      <c r="K626" t="b">
        <v>1</v>
      </c>
      <c r="L626" t="b">
        <v>1</v>
      </c>
    </row>
    <row r="627" spans="1:25" x14ac:dyDescent="0.2">
      <c r="A627">
        <v>7758</v>
      </c>
      <c r="B627" t="s">
        <v>1421</v>
      </c>
      <c r="C627" t="s">
        <v>18</v>
      </c>
      <c r="D627" t="s">
        <v>1424</v>
      </c>
      <c r="E627" t="s">
        <v>1425</v>
      </c>
      <c r="F627" t="s">
        <v>16</v>
      </c>
      <c r="G627" t="s">
        <v>24</v>
      </c>
      <c r="H627" t="b">
        <v>1</v>
      </c>
      <c r="K627" t="b">
        <v>1</v>
      </c>
      <c r="L627" t="b">
        <v>1</v>
      </c>
      <c r="M627" t="s">
        <v>1426</v>
      </c>
    </row>
    <row r="628" spans="1:25" x14ac:dyDescent="0.2">
      <c r="A628">
        <v>7759</v>
      </c>
      <c r="B628" t="s">
        <v>1421</v>
      </c>
      <c r="C628" t="s">
        <v>18</v>
      </c>
      <c r="D628" t="s">
        <v>1427</v>
      </c>
      <c r="E628" t="s">
        <v>1428</v>
      </c>
      <c r="F628" t="s">
        <v>174</v>
      </c>
      <c r="G628" t="s">
        <v>24</v>
      </c>
      <c r="H628" t="b">
        <v>0</v>
      </c>
      <c r="K628" t="b">
        <v>0</v>
      </c>
      <c r="L628" t="b">
        <v>0</v>
      </c>
      <c r="M628" t="s">
        <v>1429</v>
      </c>
    </row>
    <row r="629" spans="1:25" x14ac:dyDescent="0.2">
      <c r="A629">
        <v>7760</v>
      </c>
      <c r="B629" t="s">
        <v>1421</v>
      </c>
      <c r="C629" t="s">
        <v>18</v>
      </c>
      <c r="D629" t="s">
        <v>1430</v>
      </c>
      <c r="E629" t="s">
        <v>1431</v>
      </c>
      <c r="F629" t="s">
        <v>16</v>
      </c>
      <c r="G629" t="s">
        <v>17</v>
      </c>
      <c r="H629" t="b">
        <v>0</v>
      </c>
      <c r="K629" t="b">
        <v>0</v>
      </c>
      <c r="L629" t="b">
        <v>0</v>
      </c>
    </row>
    <row r="630" spans="1:25" x14ac:dyDescent="0.2">
      <c r="A630">
        <v>7761</v>
      </c>
      <c r="B630" t="s">
        <v>1421</v>
      </c>
      <c r="C630" t="s">
        <v>18</v>
      </c>
      <c r="D630" t="s">
        <v>768</v>
      </c>
      <c r="E630" t="s">
        <v>770</v>
      </c>
      <c r="F630" t="s">
        <v>248</v>
      </c>
      <c r="G630" t="s">
        <v>771</v>
      </c>
      <c r="H630" t="b">
        <v>0</v>
      </c>
      <c r="K630" t="b">
        <v>0</v>
      </c>
      <c r="L630" t="b">
        <v>0</v>
      </c>
      <c r="M630" t="s">
        <v>772</v>
      </c>
      <c r="N630" t="s">
        <v>773</v>
      </c>
    </row>
    <row r="632" spans="1:25" x14ac:dyDescent="0.2">
      <c r="A632" s="2">
        <v>777</v>
      </c>
      <c r="B632" s="2" t="s">
        <v>1432</v>
      </c>
      <c r="C632" s="2" t="s">
        <v>13</v>
      </c>
      <c r="D632" s="2" t="s">
        <v>1433</v>
      </c>
      <c r="E632" s="2" t="s">
        <v>1434</v>
      </c>
      <c r="F632" s="2" t="s">
        <v>654</v>
      </c>
      <c r="G632" s="2" t="s">
        <v>88</v>
      </c>
      <c r="H632" s="2"/>
      <c r="I632" s="2"/>
      <c r="J632" s="2"/>
      <c r="K632" s="2"/>
      <c r="L632" s="2"/>
      <c r="M632" s="2"/>
      <c r="N632" s="2"/>
      <c r="O632" s="2"/>
      <c r="P632" s="2"/>
      <c r="Q632" s="2"/>
      <c r="R632" s="2"/>
      <c r="S632" s="2"/>
      <c r="T632" s="2"/>
      <c r="U632" s="2"/>
      <c r="V632" s="2"/>
      <c r="W632" s="2"/>
      <c r="X632" s="2"/>
      <c r="Y632" s="2"/>
    </row>
    <row r="633" spans="1:25" x14ac:dyDescent="0.2">
      <c r="A633">
        <v>778</v>
      </c>
      <c r="B633" t="s">
        <v>1432</v>
      </c>
      <c r="C633" t="s">
        <v>18</v>
      </c>
      <c r="D633" t="s">
        <v>1433</v>
      </c>
      <c r="E633" t="s">
        <v>1435</v>
      </c>
      <c r="F633" t="s">
        <v>654</v>
      </c>
      <c r="G633" t="s">
        <v>88</v>
      </c>
      <c r="H633" t="b">
        <v>1</v>
      </c>
      <c r="I633" t="b">
        <v>1</v>
      </c>
      <c r="L633" t="b">
        <v>1</v>
      </c>
      <c r="M633" t="s">
        <v>1436</v>
      </c>
      <c r="N633" t="s">
        <v>1437</v>
      </c>
    </row>
    <row r="634" spans="1:25" x14ac:dyDescent="0.2">
      <c r="A634">
        <v>779</v>
      </c>
      <c r="B634" t="s">
        <v>1432</v>
      </c>
      <c r="C634" t="s">
        <v>18</v>
      </c>
      <c r="D634" t="s">
        <v>1438</v>
      </c>
      <c r="E634" t="s">
        <v>299</v>
      </c>
      <c r="F634" t="s">
        <v>654</v>
      </c>
      <c r="G634" t="s">
        <v>88</v>
      </c>
      <c r="H634" t="b">
        <v>0</v>
      </c>
      <c r="I634" t="b">
        <v>0</v>
      </c>
      <c r="L634" t="b">
        <v>0</v>
      </c>
      <c r="M634" t="s">
        <v>1439</v>
      </c>
      <c r="N634" t="s">
        <v>1440</v>
      </c>
    </row>
    <row r="635" spans="1:25" x14ac:dyDescent="0.2">
      <c r="A635">
        <v>780</v>
      </c>
      <c r="B635" t="s">
        <v>1432</v>
      </c>
      <c r="C635" t="s">
        <v>18</v>
      </c>
      <c r="D635" t="s">
        <v>1441</v>
      </c>
      <c r="E635" t="s">
        <v>1442</v>
      </c>
      <c r="F635" t="s">
        <v>78</v>
      </c>
      <c r="G635" t="s">
        <v>88</v>
      </c>
      <c r="H635" t="b">
        <v>0</v>
      </c>
      <c r="I635" t="b">
        <v>0</v>
      </c>
      <c r="L635" t="b">
        <v>0</v>
      </c>
      <c r="M635" t="s">
        <v>1443</v>
      </c>
      <c r="N635" t="s">
        <v>1444</v>
      </c>
    </row>
    <row r="636" spans="1:25" x14ac:dyDescent="0.2">
      <c r="A636">
        <v>781</v>
      </c>
      <c r="B636" t="s">
        <v>1432</v>
      </c>
      <c r="C636" t="s">
        <v>18</v>
      </c>
      <c r="D636" t="s">
        <v>1445</v>
      </c>
      <c r="E636" t="s">
        <v>1446</v>
      </c>
      <c r="F636" t="s">
        <v>654</v>
      </c>
      <c r="G636" t="s">
        <v>88</v>
      </c>
      <c r="H636" t="b">
        <v>0</v>
      </c>
      <c r="I636" t="b">
        <v>0</v>
      </c>
      <c r="L636" t="b">
        <v>0</v>
      </c>
      <c r="M636" t="s">
        <v>1447</v>
      </c>
      <c r="N636" t="s">
        <v>1448</v>
      </c>
    </row>
    <row r="637" spans="1:25" x14ac:dyDescent="0.2">
      <c r="A637">
        <v>782</v>
      </c>
      <c r="B637" t="s">
        <v>1432</v>
      </c>
      <c r="C637" t="s">
        <v>18</v>
      </c>
      <c r="D637" t="s">
        <v>330</v>
      </c>
      <c r="E637" t="s">
        <v>331</v>
      </c>
      <c r="F637" t="s">
        <v>200</v>
      </c>
      <c r="G637" t="s">
        <v>88</v>
      </c>
      <c r="H637" t="b">
        <v>0</v>
      </c>
      <c r="I637" t="b">
        <v>0</v>
      </c>
      <c r="L637" t="b">
        <v>0</v>
      </c>
      <c r="M637" t="s">
        <v>1449</v>
      </c>
      <c r="N637" t="s">
        <v>1450</v>
      </c>
    </row>
    <row r="639" spans="1:25" x14ac:dyDescent="0.2">
      <c r="A639" s="2">
        <v>7784</v>
      </c>
      <c r="B639" s="2" t="s">
        <v>1451</v>
      </c>
      <c r="C639" s="2" t="s">
        <v>13</v>
      </c>
      <c r="D639" s="2" t="s">
        <v>67</v>
      </c>
      <c r="E639" s="2" t="s">
        <v>68</v>
      </c>
      <c r="F639" s="2" t="s">
        <v>23</v>
      </c>
      <c r="G639" s="2" t="s">
        <v>62</v>
      </c>
      <c r="H639" s="2"/>
      <c r="I639" s="2"/>
      <c r="J639" s="2"/>
      <c r="K639" s="2"/>
      <c r="L639" s="2"/>
      <c r="M639" s="2"/>
      <c r="N639" s="2"/>
      <c r="O639" s="2"/>
      <c r="P639" s="2"/>
      <c r="Q639" s="2"/>
      <c r="R639" s="2"/>
      <c r="S639" s="2"/>
      <c r="T639" s="2"/>
      <c r="U639" s="2"/>
      <c r="V639" s="2"/>
      <c r="W639" s="2"/>
      <c r="X639" s="2"/>
      <c r="Y639" s="2"/>
    </row>
    <row r="640" spans="1:25" x14ac:dyDescent="0.2">
      <c r="A640">
        <v>7785</v>
      </c>
      <c r="B640" t="s">
        <v>1451</v>
      </c>
      <c r="C640" t="s">
        <v>18</v>
      </c>
      <c r="D640" t="s">
        <v>67</v>
      </c>
      <c r="E640" t="s">
        <v>68</v>
      </c>
      <c r="F640" t="s">
        <v>23</v>
      </c>
      <c r="G640" t="s">
        <v>62</v>
      </c>
      <c r="H640" t="b">
        <v>1</v>
      </c>
      <c r="K640" t="b">
        <v>1</v>
      </c>
      <c r="L640" t="b">
        <v>1</v>
      </c>
      <c r="M640" t="s">
        <v>1452</v>
      </c>
      <c r="N640" t="s">
        <v>1453</v>
      </c>
    </row>
    <row r="641" spans="1:25" x14ac:dyDescent="0.2">
      <c r="A641">
        <v>7786</v>
      </c>
      <c r="B641" t="s">
        <v>1451</v>
      </c>
      <c r="C641" t="s">
        <v>18</v>
      </c>
      <c r="D641" t="s">
        <v>60</v>
      </c>
      <c r="E641" t="s">
        <v>63</v>
      </c>
      <c r="F641" t="s">
        <v>23</v>
      </c>
      <c r="G641" t="s">
        <v>62</v>
      </c>
      <c r="H641" t="b">
        <v>0</v>
      </c>
      <c r="K641" t="b">
        <v>0</v>
      </c>
      <c r="L641" t="b">
        <v>0</v>
      </c>
      <c r="M641" t="s">
        <v>1454</v>
      </c>
      <c r="N641" t="s">
        <v>1455</v>
      </c>
    </row>
    <row r="642" spans="1:25" x14ac:dyDescent="0.2">
      <c r="A642">
        <v>7787</v>
      </c>
      <c r="B642" t="s">
        <v>1451</v>
      </c>
      <c r="C642" t="s">
        <v>18</v>
      </c>
      <c r="D642" t="s">
        <v>64</v>
      </c>
      <c r="E642" t="s">
        <v>65</v>
      </c>
      <c r="F642" t="s">
        <v>23</v>
      </c>
      <c r="G642" t="s">
        <v>62</v>
      </c>
      <c r="H642" t="b">
        <v>0</v>
      </c>
      <c r="K642" t="b">
        <v>0</v>
      </c>
      <c r="L642" t="b">
        <v>0</v>
      </c>
      <c r="M642" t="s">
        <v>1456</v>
      </c>
    </row>
    <row r="643" spans="1:25" x14ac:dyDescent="0.2">
      <c r="A643">
        <v>7788</v>
      </c>
      <c r="B643" t="s">
        <v>1451</v>
      </c>
      <c r="C643" t="s">
        <v>18</v>
      </c>
      <c r="D643" t="s">
        <v>1457</v>
      </c>
      <c r="E643" t="s">
        <v>1458</v>
      </c>
      <c r="F643" t="s">
        <v>82</v>
      </c>
      <c r="G643" t="s">
        <v>32</v>
      </c>
      <c r="H643" t="b">
        <v>0</v>
      </c>
      <c r="K643" t="b">
        <v>0</v>
      </c>
      <c r="L643" t="b">
        <v>0</v>
      </c>
    </row>
    <row r="644" spans="1:25" x14ac:dyDescent="0.2">
      <c r="A644">
        <v>7789</v>
      </c>
      <c r="B644" t="s">
        <v>1451</v>
      </c>
      <c r="C644" t="s">
        <v>18</v>
      </c>
      <c r="D644" t="s">
        <v>1459</v>
      </c>
      <c r="E644" t="s">
        <v>1460</v>
      </c>
      <c r="F644" t="s">
        <v>23</v>
      </c>
      <c r="G644" t="s">
        <v>88</v>
      </c>
      <c r="H644" t="b">
        <v>0</v>
      </c>
      <c r="K644" t="b">
        <v>0</v>
      </c>
      <c r="L644" t="b">
        <v>0</v>
      </c>
    </row>
    <row r="646" spans="1:25" x14ac:dyDescent="0.2">
      <c r="A646" s="2">
        <v>7805</v>
      </c>
      <c r="B646" s="2" t="s">
        <v>1461</v>
      </c>
      <c r="C646" s="2" t="s">
        <v>13</v>
      </c>
      <c r="D646" s="2" t="s">
        <v>1462</v>
      </c>
      <c r="E646" s="2" t="s">
        <v>1463</v>
      </c>
      <c r="F646" s="2" t="s">
        <v>168</v>
      </c>
      <c r="G646" s="2" t="s">
        <v>17</v>
      </c>
      <c r="H646" s="2"/>
      <c r="I646" s="2"/>
      <c r="J646" s="2"/>
      <c r="K646" s="2"/>
      <c r="L646" s="2"/>
      <c r="M646" s="2"/>
      <c r="N646" s="2"/>
      <c r="O646" s="2"/>
      <c r="P646" s="2"/>
      <c r="Q646" s="2"/>
      <c r="R646" s="2"/>
      <c r="S646" s="2"/>
      <c r="T646" s="2"/>
      <c r="U646" s="2"/>
      <c r="V646" s="2"/>
      <c r="W646" s="2"/>
      <c r="X646" s="2"/>
      <c r="Y646" s="2"/>
    </row>
    <row r="647" spans="1:25" x14ac:dyDescent="0.2">
      <c r="A647">
        <v>7806</v>
      </c>
      <c r="B647" t="s">
        <v>1461</v>
      </c>
      <c r="C647" t="s">
        <v>18</v>
      </c>
      <c r="D647" t="s">
        <v>1462</v>
      </c>
      <c r="E647" t="s">
        <v>1463</v>
      </c>
      <c r="F647" t="s">
        <v>1464</v>
      </c>
      <c r="G647" t="s">
        <v>17</v>
      </c>
      <c r="H647" t="b">
        <v>1</v>
      </c>
      <c r="K647" t="b">
        <v>1</v>
      </c>
      <c r="L647" t="b">
        <v>1</v>
      </c>
      <c r="M647" t="s">
        <v>1465</v>
      </c>
      <c r="N647" t="s">
        <v>1466</v>
      </c>
    </row>
    <row r="648" spans="1:25" x14ac:dyDescent="0.2">
      <c r="A648">
        <v>7807</v>
      </c>
      <c r="B648" t="s">
        <v>1461</v>
      </c>
      <c r="C648" t="s">
        <v>18</v>
      </c>
      <c r="D648" t="s">
        <v>1467</v>
      </c>
      <c r="E648" t="s">
        <v>1468</v>
      </c>
      <c r="F648" t="s">
        <v>82</v>
      </c>
      <c r="G648" t="s">
        <v>17</v>
      </c>
      <c r="H648" t="b">
        <v>0</v>
      </c>
      <c r="K648" t="b">
        <v>0</v>
      </c>
      <c r="L648" t="b">
        <v>0</v>
      </c>
    </row>
    <row r="649" spans="1:25" x14ac:dyDescent="0.2">
      <c r="A649">
        <v>7808</v>
      </c>
      <c r="B649" t="s">
        <v>1461</v>
      </c>
      <c r="C649" t="s">
        <v>18</v>
      </c>
      <c r="D649" t="s">
        <v>984</v>
      </c>
      <c r="E649" t="s">
        <v>985</v>
      </c>
      <c r="F649" t="s">
        <v>159</v>
      </c>
      <c r="G649" t="s">
        <v>17</v>
      </c>
      <c r="H649" t="b">
        <v>0</v>
      </c>
      <c r="K649" t="b">
        <v>1</v>
      </c>
      <c r="L649" t="b">
        <v>1</v>
      </c>
      <c r="M649" s="3" t="s">
        <v>986</v>
      </c>
      <c r="N649" t="s">
        <v>987</v>
      </c>
    </row>
    <row r="650" spans="1:25" x14ac:dyDescent="0.2">
      <c r="A650">
        <v>7809</v>
      </c>
      <c r="B650" t="s">
        <v>1461</v>
      </c>
      <c r="C650" t="s">
        <v>18</v>
      </c>
      <c r="D650" t="s">
        <v>1469</v>
      </c>
      <c r="E650" t="s">
        <v>1470</v>
      </c>
      <c r="F650" t="s">
        <v>82</v>
      </c>
      <c r="G650" t="s">
        <v>17</v>
      </c>
      <c r="H650" t="b">
        <v>0</v>
      </c>
      <c r="K650" t="b">
        <v>0</v>
      </c>
      <c r="L650" t="b">
        <v>0</v>
      </c>
    </row>
    <row r="651" spans="1:25" x14ac:dyDescent="0.2">
      <c r="A651">
        <v>7810</v>
      </c>
      <c r="B651" t="s">
        <v>1461</v>
      </c>
      <c r="C651" t="s">
        <v>18</v>
      </c>
      <c r="D651" t="s">
        <v>1471</v>
      </c>
      <c r="E651" t="s">
        <v>1472</v>
      </c>
      <c r="F651" t="s">
        <v>174</v>
      </c>
      <c r="G651" t="s">
        <v>17</v>
      </c>
      <c r="H651" t="b">
        <v>0</v>
      </c>
      <c r="K651" t="b">
        <v>0</v>
      </c>
      <c r="L651" t="b">
        <v>0</v>
      </c>
      <c r="M651" t="s">
        <v>1473</v>
      </c>
      <c r="N651" t="s">
        <v>1474</v>
      </c>
    </row>
    <row r="653" spans="1:25" x14ac:dyDescent="0.2">
      <c r="A653" s="2">
        <v>7812</v>
      </c>
      <c r="B653" s="2" t="s">
        <v>1475</v>
      </c>
      <c r="C653" s="2" t="s">
        <v>13</v>
      </c>
      <c r="D653" s="2" t="s">
        <v>1476</v>
      </c>
      <c r="E653" s="2" t="s">
        <v>1477</v>
      </c>
      <c r="F653" s="2" t="s">
        <v>78</v>
      </c>
      <c r="G653" s="2" t="s">
        <v>252</v>
      </c>
      <c r="H653" s="2"/>
      <c r="I653" s="2"/>
      <c r="J653" s="2"/>
      <c r="K653" s="2"/>
      <c r="L653" s="2"/>
      <c r="M653" s="2"/>
      <c r="N653" s="2"/>
      <c r="O653" s="2"/>
      <c r="P653" s="2"/>
      <c r="Q653" s="2"/>
      <c r="R653" s="2"/>
      <c r="S653" s="2"/>
      <c r="T653" s="2"/>
      <c r="U653" s="2"/>
      <c r="V653" s="2"/>
      <c r="W653" s="2"/>
      <c r="X653" s="2"/>
      <c r="Y653" s="2"/>
    </row>
    <row r="654" spans="1:25" x14ac:dyDescent="0.2">
      <c r="A654">
        <v>7813</v>
      </c>
      <c r="B654" t="s">
        <v>1475</v>
      </c>
      <c r="C654" t="s">
        <v>18</v>
      </c>
      <c r="D654" t="s">
        <v>1476</v>
      </c>
      <c r="E654" t="s">
        <v>1477</v>
      </c>
      <c r="F654" t="s">
        <v>78</v>
      </c>
      <c r="G654" t="s">
        <v>252</v>
      </c>
      <c r="H654" t="b">
        <v>1</v>
      </c>
      <c r="K654" t="b">
        <v>1</v>
      </c>
      <c r="L654" t="b">
        <v>1</v>
      </c>
      <c r="M654" t="s">
        <v>1478</v>
      </c>
      <c r="N654" t="s">
        <v>1479</v>
      </c>
    </row>
    <row r="655" spans="1:25" x14ac:dyDescent="0.2">
      <c r="A655">
        <v>7814</v>
      </c>
      <c r="B655" t="s">
        <v>1475</v>
      </c>
      <c r="C655" t="s">
        <v>18</v>
      </c>
      <c r="D655" t="s">
        <v>1480</v>
      </c>
      <c r="E655" t="s">
        <v>1481</v>
      </c>
      <c r="F655" t="s">
        <v>78</v>
      </c>
      <c r="G655" t="s">
        <v>252</v>
      </c>
      <c r="H655" t="b">
        <v>0</v>
      </c>
      <c r="K655" t="b">
        <v>0</v>
      </c>
      <c r="L655" t="b">
        <v>0</v>
      </c>
      <c r="M655" t="s">
        <v>1482</v>
      </c>
      <c r="N655" t="s">
        <v>1483</v>
      </c>
    </row>
    <row r="656" spans="1:25" x14ac:dyDescent="0.2">
      <c r="A656">
        <v>7815</v>
      </c>
      <c r="B656" t="s">
        <v>1475</v>
      </c>
      <c r="C656" t="s">
        <v>18</v>
      </c>
      <c r="D656" t="s">
        <v>1484</v>
      </c>
      <c r="E656" t="s">
        <v>1485</v>
      </c>
      <c r="F656" t="s">
        <v>78</v>
      </c>
      <c r="G656" t="s">
        <v>252</v>
      </c>
      <c r="H656" t="b">
        <v>0</v>
      </c>
      <c r="K656" t="b">
        <v>0</v>
      </c>
      <c r="L656" t="b">
        <v>0</v>
      </c>
    </row>
    <row r="657" spans="1:25" x14ac:dyDescent="0.2">
      <c r="A657">
        <v>7816</v>
      </c>
      <c r="B657" t="s">
        <v>1475</v>
      </c>
      <c r="C657" t="s">
        <v>18</v>
      </c>
      <c r="D657" t="s">
        <v>1486</v>
      </c>
      <c r="E657" t="s">
        <v>1487</v>
      </c>
      <c r="F657" t="s">
        <v>78</v>
      </c>
      <c r="G657" t="s">
        <v>17</v>
      </c>
      <c r="H657" t="b">
        <v>0</v>
      </c>
      <c r="K657" t="b">
        <v>0</v>
      </c>
      <c r="L657" t="b">
        <v>0</v>
      </c>
    </row>
    <row r="658" spans="1:25" x14ac:dyDescent="0.2">
      <c r="A658">
        <v>7817</v>
      </c>
      <c r="B658" t="s">
        <v>1475</v>
      </c>
      <c r="C658" t="s">
        <v>18</v>
      </c>
      <c r="D658" t="s">
        <v>1488</v>
      </c>
      <c r="E658" t="s">
        <v>1489</v>
      </c>
      <c r="F658" t="s">
        <v>78</v>
      </c>
      <c r="G658" t="s">
        <v>252</v>
      </c>
      <c r="H658" t="b">
        <v>0</v>
      </c>
      <c r="K658" t="b">
        <v>0</v>
      </c>
      <c r="L658" t="b">
        <v>0</v>
      </c>
    </row>
    <row r="660" spans="1:25" x14ac:dyDescent="0.2">
      <c r="A660" s="2">
        <v>7819</v>
      </c>
      <c r="B660" s="2" t="s">
        <v>1490</v>
      </c>
      <c r="C660" s="2" t="s">
        <v>13</v>
      </c>
      <c r="D660" s="2" t="s">
        <v>1491</v>
      </c>
      <c r="E660" s="2" t="s">
        <v>1492</v>
      </c>
      <c r="F660" s="2" t="s">
        <v>78</v>
      </c>
      <c r="G660" s="2" t="s">
        <v>130</v>
      </c>
      <c r="H660" s="2"/>
      <c r="I660" s="2"/>
      <c r="J660" s="2"/>
      <c r="K660" s="2"/>
      <c r="L660" s="2"/>
      <c r="M660" s="2"/>
      <c r="N660" s="2"/>
      <c r="O660" s="2"/>
      <c r="P660" s="2"/>
      <c r="Q660" s="2"/>
      <c r="R660" s="2"/>
      <c r="S660" s="2"/>
      <c r="T660" s="2"/>
      <c r="U660" s="2"/>
      <c r="V660" s="2"/>
      <c r="W660" s="2"/>
      <c r="X660" s="2"/>
      <c r="Y660" s="2"/>
    </row>
    <row r="661" spans="1:25" x14ac:dyDescent="0.2">
      <c r="A661">
        <v>7820</v>
      </c>
      <c r="B661" t="s">
        <v>1490</v>
      </c>
      <c r="C661" t="s">
        <v>18</v>
      </c>
      <c r="D661" t="s">
        <v>1491</v>
      </c>
      <c r="E661" t="s">
        <v>1493</v>
      </c>
      <c r="F661" t="s">
        <v>78</v>
      </c>
      <c r="G661" t="s">
        <v>130</v>
      </c>
      <c r="H661" t="b">
        <v>1</v>
      </c>
      <c r="K661" t="b">
        <v>1</v>
      </c>
      <c r="L661" t="b">
        <v>1</v>
      </c>
      <c r="M661" t="s">
        <v>1494</v>
      </c>
      <c r="N661" t="s">
        <v>1495</v>
      </c>
    </row>
    <row r="662" spans="1:25" x14ac:dyDescent="0.2">
      <c r="A662">
        <v>7821</v>
      </c>
      <c r="B662" t="s">
        <v>1490</v>
      </c>
      <c r="C662" t="s">
        <v>18</v>
      </c>
      <c r="D662" t="s">
        <v>1496</v>
      </c>
      <c r="E662" t="s">
        <v>1497</v>
      </c>
      <c r="F662" t="s">
        <v>78</v>
      </c>
      <c r="G662" t="s">
        <v>130</v>
      </c>
      <c r="H662" t="b">
        <v>0</v>
      </c>
      <c r="K662" t="b">
        <v>0</v>
      </c>
      <c r="L662" t="b">
        <v>0</v>
      </c>
      <c r="M662" t="s">
        <v>1498</v>
      </c>
      <c r="N662" t="s">
        <v>1499</v>
      </c>
    </row>
    <row r="663" spans="1:25" x14ac:dyDescent="0.2">
      <c r="A663">
        <v>7822</v>
      </c>
      <c r="B663" t="s">
        <v>1490</v>
      </c>
      <c r="C663" t="s">
        <v>18</v>
      </c>
      <c r="D663" t="s">
        <v>1500</v>
      </c>
      <c r="E663" t="s">
        <v>1501</v>
      </c>
      <c r="F663" t="s">
        <v>78</v>
      </c>
      <c r="G663" t="s">
        <v>134</v>
      </c>
      <c r="H663" t="b">
        <v>0</v>
      </c>
      <c r="K663" t="b">
        <v>0</v>
      </c>
      <c r="L663" t="b">
        <v>0</v>
      </c>
      <c r="M663" t="s">
        <v>1502</v>
      </c>
      <c r="N663" t="s">
        <v>745</v>
      </c>
    </row>
    <row r="664" spans="1:25" x14ac:dyDescent="0.2">
      <c r="A664">
        <v>7823</v>
      </c>
      <c r="B664" t="s">
        <v>1490</v>
      </c>
      <c r="C664" t="s">
        <v>18</v>
      </c>
      <c r="D664" t="s">
        <v>1503</v>
      </c>
      <c r="E664" t="s">
        <v>1504</v>
      </c>
      <c r="F664" t="s">
        <v>78</v>
      </c>
      <c r="G664" t="s">
        <v>88</v>
      </c>
      <c r="H664" t="b">
        <v>0</v>
      </c>
      <c r="K664" t="b">
        <v>0</v>
      </c>
      <c r="L664" t="b">
        <v>0</v>
      </c>
    </row>
    <row r="665" spans="1:25" x14ac:dyDescent="0.2">
      <c r="A665">
        <v>7824</v>
      </c>
      <c r="B665" t="s">
        <v>1490</v>
      </c>
      <c r="C665" t="s">
        <v>18</v>
      </c>
      <c r="D665" t="s">
        <v>1505</v>
      </c>
      <c r="E665" t="s">
        <v>1506</v>
      </c>
      <c r="F665" t="s">
        <v>78</v>
      </c>
      <c r="G665" t="s">
        <v>130</v>
      </c>
      <c r="H665" t="b">
        <v>0</v>
      </c>
      <c r="K665" t="b">
        <v>0</v>
      </c>
      <c r="L665" t="b">
        <v>0</v>
      </c>
    </row>
    <row r="667" spans="1:25" x14ac:dyDescent="0.2">
      <c r="A667" s="2">
        <v>7840</v>
      </c>
      <c r="B667" s="2" t="s">
        <v>1507</v>
      </c>
      <c r="C667" s="2" t="s">
        <v>13</v>
      </c>
      <c r="D667" s="2" t="s">
        <v>1508</v>
      </c>
      <c r="E667" s="2" t="s">
        <v>1509</v>
      </c>
      <c r="F667" s="2" t="s">
        <v>174</v>
      </c>
      <c r="G667" s="2" t="s">
        <v>24</v>
      </c>
      <c r="H667" s="2"/>
      <c r="I667" s="2"/>
      <c r="J667" s="2"/>
      <c r="K667" s="2"/>
      <c r="L667" s="2"/>
      <c r="M667" s="2"/>
      <c r="N667" s="2"/>
      <c r="O667" s="2"/>
      <c r="P667" s="2"/>
      <c r="Q667" s="2"/>
      <c r="R667" s="2"/>
      <c r="S667" s="2"/>
      <c r="T667" s="2"/>
      <c r="U667" s="2"/>
      <c r="V667" s="2"/>
      <c r="W667" s="2"/>
      <c r="X667" s="2"/>
      <c r="Y667" s="2"/>
    </row>
    <row r="668" spans="1:25" x14ac:dyDescent="0.2">
      <c r="A668">
        <v>7841</v>
      </c>
      <c r="B668" t="s">
        <v>1507</v>
      </c>
      <c r="C668" t="s">
        <v>18</v>
      </c>
      <c r="D668" t="s">
        <v>1508</v>
      </c>
      <c r="E668" t="s">
        <v>1509</v>
      </c>
      <c r="F668" t="s">
        <v>174</v>
      </c>
      <c r="G668" t="s">
        <v>24</v>
      </c>
      <c r="H668" t="b">
        <v>1</v>
      </c>
      <c r="K668" t="b">
        <v>1</v>
      </c>
      <c r="L668" t="b">
        <v>1</v>
      </c>
      <c r="M668" t="s">
        <v>1510</v>
      </c>
      <c r="N668" t="s">
        <v>1511</v>
      </c>
    </row>
    <row r="669" spans="1:25" x14ac:dyDescent="0.2">
      <c r="A669">
        <v>7842</v>
      </c>
      <c r="B669" t="s">
        <v>1507</v>
      </c>
      <c r="C669" t="s">
        <v>18</v>
      </c>
      <c r="D669" t="s">
        <v>1512</v>
      </c>
      <c r="E669" t="s">
        <v>1513</v>
      </c>
      <c r="F669" t="s">
        <v>174</v>
      </c>
      <c r="G669" t="s">
        <v>24</v>
      </c>
      <c r="H669" t="b">
        <v>0</v>
      </c>
      <c r="K669" t="b">
        <v>0</v>
      </c>
      <c r="L669" t="b">
        <v>0</v>
      </c>
      <c r="M669" t="s">
        <v>1514</v>
      </c>
      <c r="N669" t="s">
        <v>1515</v>
      </c>
    </row>
    <row r="670" spans="1:25" x14ac:dyDescent="0.2">
      <c r="A670">
        <v>7843</v>
      </c>
      <c r="B670" t="s">
        <v>1507</v>
      </c>
      <c r="C670" t="s">
        <v>18</v>
      </c>
      <c r="D670" t="s">
        <v>1516</v>
      </c>
      <c r="E670" t="s">
        <v>1517</v>
      </c>
      <c r="F670" t="s">
        <v>174</v>
      </c>
      <c r="G670" t="s">
        <v>24</v>
      </c>
      <c r="H670" t="b">
        <v>0</v>
      </c>
      <c r="K670" t="b">
        <v>0</v>
      </c>
      <c r="L670" t="b">
        <v>0</v>
      </c>
    </row>
    <row r="671" spans="1:25" x14ac:dyDescent="0.2">
      <c r="A671">
        <v>7844</v>
      </c>
      <c r="B671" t="s">
        <v>1507</v>
      </c>
      <c r="C671" t="s">
        <v>18</v>
      </c>
      <c r="D671" t="s">
        <v>1518</v>
      </c>
      <c r="E671" t="s">
        <v>301</v>
      </c>
      <c r="F671" t="s">
        <v>159</v>
      </c>
      <c r="G671" t="s">
        <v>24</v>
      </c>
      <c r="H671" t="b">
        <v>0</v>
      </c>
      <c r="K671" t="b">
        <v>0</v>
      </c>
      <c r="L671" t="b">
        <v>0</v>
      </c>
      <c r="M671" t="s">
        <v>1519</v>
      </c>
    </row>
    <row r="672" spans="1:25" x14ac:dyDescent="0.2">
      <c r="A672">
        <v>7845</v>
      </c>
      <c r="B672" t="s">
        <v>1507</v>
      </c>
      <c r="C672" t="s">
        <v>18</v>
      </c>
      <c r="D672" t="s">
        <v>1520</v>
      </c>
      <c r="E672" t="s">
        <v>1521</v>
      </c>
      <c r="F672" t="s">
        <v>31</v>
      </c>
      <c r="G672" t="s">
        <v>917</v>
      </c>
      <c r="H672" t="b">
        <v>0</v>
      </c>
      <c r="K672" t="b">
        <v>0</v>
      </c>
      <c r="L672" t="b">
        <v>0</v>
      </c>
    </row>
    <row r="674" spans="1:25" x14ac:dyDescent="0.2">
      <c r="A674" s="2">
        <v>7847</v>
      </c>
      <c r="B674" s="2" t="s">
        <v>1522</v>
      </c>
      <c r="C674" s="2" t="s">
        <v>13</v>
      </c>
      <c r="D674" s="2" t="s">
        <v>1523</v>
      </c>
      <c r="E674" s="2" t="s">
        <v>1524</v>
      </c>
      <c r="F674" s="2" t="s">
        <v>78</v>
      </c>
      <c r="G674" s="2" t="s">
        <v>24</v>
      </c>
      <c r="H674" s="2"/>
      <c r="I674" s="2"/>
      <c r="J674" s="2"/>
      <c r="K674" s="2"/>
      <c r="L674" s="2"/>
      <c r="M674" s="2"/>
      <c r="N674" s="2"/>
      <c r="O674" s="2"/>
      <c r="P674" s="2"/>
      <c r="Q674" s="2"/>
      <c r="R674" s="2"/>
      <c r="S674" s="2"/>
      <c r="T674" s="2"/>
      <c r="U674" s="2"/>
      <c r="V674" s="2"/>
      <c r="W674" s="2"/>
      <c r="X674" s="2"/>
      <c r="Y674" s="2"/>
    </row>
    <row r="675" spans="1:25" x14ac:dyDescent="0.2">
      <c r="A675">
        <v>7848</v>
      </c>
      <c r="B675" t="s">
        <v>1522</v>
      </c>
      <c r="C675" t="s">
        <v>18</v>
      </c>
      <c r="D675" t="s">
        <v>1523</v>
      </c>
      <c r="E675" t="s">
        <v>431</v>
      </c>
      <c r="F675" t="s">
        <v>78</v>
      </c>
      <c r="G675" t="s">
        <v>24</v>
      </c>
      <c r="H675" t="b">
        <v>1</v>
      </c>
      <c r="I675" t="b">
        <v>1</v>
      </c>
      <c r="L675" t="b">
        <v>1</v>
      </c>
      <c r="M675" t="s">
        <v>1525</v>
      </c>
      <c r="N675" t="s">
        <v>1526</v>
      </c>
    </row>
    <row r="676" spans="1:25" x14ac:dyDescent="0.2">
      <c r="A676">
        <v>7849</v>
      </c>
      <c r="B676" t="s">
        <v>1522</v>
      </c>
      <c r="C676" t="s">
        <v>18</v>
      </c>
      <c r="D676" t="s">
        <v>1527</v>
      </c>
      <c r="E676" t="s">
        <v>1063</v>
      </c>
      <c r="F676" t="s">
        <v>78</v>
      </c>
      <c r="G676" t="s">
        <v>24</v>
      </c>
      <c r="H676" t="b">
        <v>0</v>
      </c>
      <c r="I676" t="b">
        <v>0</v>
      </c>
      <c r="L676" t="b">
        <v>0</v>
      </c>
      <c r="M676" t="s">
        <v>1528</v>
      </c>
    </row>
    <row r="677" spans="1:25" x14ac:dyDescent="0.2">
      <c r="A677">
        <v>7850</v>
      </c>
      <c r="B677" t="s">
        <v>1522</v>
      </c>
      <c r="C677" t="s">
        <v>18</v>
      </c>
      <c r="D677" t="s">
        <v>1529</v>
      </c>
      <c r="E677" t="s">
        <v>1530</v>
      </c>
      <c r="F677" t="s">
        <v>78</v>
      </c>
      <c r="G677" t="s">
        <v>24</v>
      </c>
      <c r="H677" t="b">
        <v>0</v>
      </c>
      <c r="I677" t="b">
        <v>0</v>
      </c>
      <c r="L677" t="b">
        <v>0</v>
      </c>
      <c r="M677" t="s">
        <v>1531</v>
      </c>
    </row>
    <row r="678" spans="1:25" x14ac:dyDescent="0.2">
      <c r="A678">
        <v>7851</v>
      </c>
      <c r="B678" t="s">
        <v>1522</v>
      </c>
      <c r="C678" t="s">
        <v>18</v>
      </c>
      <c r="D678" t="s">
        <v>1532</v>
      </c>
      <c r="E678" t="s">
        <v>1533</v>
      </c>
      <c r="F678" t="s">
        <v>78</v>
      </c>
      <c r="G678" t="s">
        <v>24</v>
      </c>
      <c r="H678" t="b">
        <v>1</v>
      </c>
      <c r="I678" t="b">
        <v>1</v>
      </c>
      <c r="L678" t="b">
        <v>1</v>
      </c>
      <c r="M678" t="s">
        <v>1534</v>
      </c>
    </row>
    <row r="679" spans="1:25" x14ac:dyDescent="0.2">
      <c r="A679">
        <v>7852</v>
      </c>
      <c r="B679" t="s">
        <v>1522</v>
      </c>
      <c r="C679" t="s">
        <v>18</v>
      </c>
      <c r="D679" t="s">
        <v>1535</v>
      </c>
      <c r="E679" t="s">
        <v>1536</v>
      </c>
      <c r="F679" t="s">
        <v>78</v>
      </c>
      <c r="G679" t="s">
        <v>24</v>
      </c>
      <c r="H679" t="b">
        <v>0</v>
      </c>
      <c r="I679" t="b">
        <v>0</v>
      </c>
      <c r="L679" t="b">
        <v>0</v>
      </c>
      <c r="M679" t="s">
        <v>1537</v>
      </c>
    </row>
    <row r="681" spans="1:25" x14ac:dyDescent="0.2">
      <c r="A681" s="2">
        <v>7854</v>
      </c>
      <c r="B681" s="2" t="s">
        <v>1538</v>
      </c>
      <c r="C681" s="2" t="s">
        <v>13</v>
      </c>
      <c r="D681" s="2" t="s">
        <v>1539</v>
      </c>
      <c r="E681" s="2" t="s">
        <v>1540</v>
      </c>
      <c r="F681" s="2" t="s">
        <v>122</v>
      </c>
      <c r="G681" s="2" t="s">
        <v>62</v>
      </c>
      <c r="H681" s="2"/>
      <c r="I681" s="2"/>
      <c r="J681" s="2"/>
      <c r="K681" s="2"/>
      <c r="L681" s="2"/>
      <c r="M681" s="2"/>
      <c r="N681" s="2"/>
      <c r="O681" s="2"/>
      <c r="P681" s="2"/>
      <c r="Q681" s="2"/>
      <c r="R681" s="2"/>
      <c r="S681" s="2"/>
      <c r="T681" s="2"/>
      <c r="U681" s="2"/>
      <c r="V681" s="2"/>
      <c r="W681" s="2"/>
      <c r="X681" s="2"/>
      <c r="Y681" s="2"/>
    </row>
    <row r="682" spans="1:25" x14ac:dyDescent="0.2">
      <c r="A682">
        <v>7855</v>
      </c>
      <c r="B682" t="s">
        <v>1538</v>
      </c>
      <c r="C682" t="s">
        <v>18</v>
      </c>
      <c r="D682" t="s">
        <v>1539</v>
      </c>
      <c r="E682" t="s">
        <v>1541</v>
      </c>
      <c r="F682" t="s">
        <v>122</v>
      </c>
      <c r="G682" t="s">
        <v>62</v>
      </c>
      <c r="H682" t="b">
        <v>1</v>
      </c>
      <c r="I682" t="b">
        <v>1</v>
      </c>
      <c r="L682" t="b">
        <v>1</v>
      </c>
      <c r="M682" t="s">
        <v>1542</v>
      </c>
    </row>
    <row r="683" spans="1:25" x14ac:dyDescent="0.2">
      <c r="A683">
        <v>7856</v>
      </c>
      <c r="B683" t="s">
        <v>1538</v>
      </c>
      <c r="C683" t="s">
        <v>18</v>
      </c>
      <c r="D683" t="s">
        <v>415</v>
      </c>
      <c r="E683" t="s">
        <v>416</v>
      </c>
      <c r="F683" t="s">
        <v>159</v>
      </c>
      <c r="G683" t="s">
        <v>417</v>
      </c>
      <c r="H683" t="b">
        <v>0</v>
      </c>
      <c r="I683" t="b">
        <v>0</v>
      </c>
      <c r="L683" t="b">
        <v>0</v>
      </c>
      <c r="M683" t="s">
        <v>1543</v>
      </c>
      <c r="N683" t="s">
        <v>1544</v>
      </c>
    </row>
    <row r="684" spans="1:25" x14ac:dyDescent="0.2">
      <c r="A684">
        <v>7857</v>
      </c>
      <c r="B684" t="s">
        <v>1538</v>
      </c>
      <c r="C684" t="s">
        <v>18</v>
      </c>
      <c r="D684" t="s">
        <v>1545</v>
      </c>
      <c r="E684" t="s">
        <v>1546</v>
      </c>
      <c r="F684" t="s">
        <v>264</v>
      </c>
      <c r="G684" t="s">
        <v>62</v>
      </c>
      <c r="H684" t="b">
        <v>0</v>
      </c>
      <c r="I684" t="b">
        <v>0</v>
      </c>
      <c r="L684" t="b">
        <v>0</v>
      </c>
      <c r="M684" t="s">
        <v>1547</v>
      </c>
      <c r="N684" t="s">
        <v>1548</v>
      </c>
    </row>
    <row r="685" spans="1:25" x14ac:dyDescent="0.2">
      <c r="A685">
        <v>7858</v>
      </c>
      <c r="B685" t="s">
        <v>1538</v>
      </c>
      <c r="C685" t="s">
        <v>18</v>
      </c>
      <c r="D685" t="s">
        <v>1549</v>
      </c>
      <c r="E685" t="s">
        <v>1550</v>
      </c>
      <c r="F685" t="s">
        <v>205</v>
      </c>
      <c r="G685" t="s">
        <v>252</v>
      </c>
      <c r="H685" t="b">
        <v>0</v>
      </c>
      <c r="I685" t="b">
        <v>0</v>
      </c>
      <c r="L685" t="b">
        <v>0</v>
      </c>
      <c r="M685" t="s">
        <v>1551</v>
      </c>
    </row>
    <row r="686" spans="1:25" x14ac:dyDescent="0.2">
      <c r="A686">
        <v>7859</v>
      </c>
      <c r="B686" t="s">
        <v>1538</v>
      </c>
      <c r="C686" t="s">
        <v>18</v>
      </c>
      <c r="D686" t="s">
        <v>1552</v>
      </c>
      <c r="E686" t="s">
        <v>1553</v>
      </c>
      <c r="F686" t="s">
        <v>122</v>
      </c>
      <c r="G686" t="s">
        <v>62</v>
      </c>
      <c r="H686" t="b">
        <v>0</v>
      </c>
      <c r="I686" t="b">
        <v>0</v>
      </c>
      <c r="L686" t="b">
        <v>0</v>
      </c>
    </row>
    <row r="688" spans="1:25" x14ac:dyDescent="0.2">
      <c r="A688" s="2">
        <v>7861</v>
      </c>
      <c r="B688" s="2" t="s">
        <v>1554</v>
      </c>
      <c r="C688" s="2" t="s">
        <v>13</v>
      </c>
      <c r="D688" s="2" t="s">
        <v>1555</v>
      </c>
      <c r="E688" s="2" t="s">
        <v>1556</v>
      </c>
      <c r="F688" s="2" t="s">
        <v>174</v>
      </c>
      <c r="G688" s="2" t="s">
        <v>24</v>
      </c>
      <c r="H688" s="2"/>
      <c r="I688" s="2"/>
      <c r="J688" s="2"/>
      <c r="K688" s="2"/>
      <c r="L688" s="2"/>
      <c r="M688" s="2"/>
      <c r="N688" s="2"/>
      <c r="O688" s="2"/>
      <c r="P688" s="2"/>
      <c r="Q688" s="2"/>
      <c r="R688" s="2"/>
      <c r="S688" s="2"/>
      <c r="T688" s="2"/>
      <c r="U688" s="2"/>
      <c r="V688" s="2"/>
      <c r="W688" s="2"/>
      <c r="X688" s="2"/>
      <c r="Y688" s="2"/>
    </row>
    <row r="689" spans="1:25" x14ac:dyDescent="0.2">
      <c r="A689">
        <v>7862</v>
      </c>
      <c r="B689" t="s">
        <v>1554</v>
      </c>
      <c r="C689" t="s">
        <v>18</v>
      </c>
      <c r="D689" t="s">
        <v>1557</v>
      </c>
      <c r="E689" t="s">
        <v>1558</v>
      </c>
      <c r="F689" t="s">
        <v>174</v>
      </c>
      <c r="G689" t="s">
        <v>24</v>
      </c>
      <c r="H689" t="b">
        <v>1</v>
      </c>
      <c r="I689" t="b">
        <v>1</v>
      </c>
      <c r="L689" t="b">
        <v>1</v>
      </c>
      <c r="M689" t="s">
        <v>1559</v>
      </c>
      <c r="N689" t="s">
        <v>1560</v>
      </c>
    </row>
    <row r="690" spans="1:25" x14ac:dyDescent="0.2">
      <c r="A690">
        <v>7863</v>
      </c>
      <c r="B690" t="s">
        <v>1554</v>
      </c>
      <c r="C690" t="s">
        <v>18</v>
      </c>
      <c r="D690" t="s">
        <v>1561</v>
      </c>
      <c r="E690" t="s">
        <v>1562</v>
      </c>
      <c r="F690" t="s">
        <v>78</v>
      </c>
      <c r="G690" t="s">
        <v>88</v>
      </c>
      <c r="H690" t="b">
        <v>0</v>
      </c>
      <c r="I690" t="b">
        <v>0</v>
      </c>
      <c r="L690" t="b">
        <v>0</v>
      </c>
      <c r="M690" t="s">
        <v>1563</v>
      </c>
      <c r="N690" t="s">
        <v>1564</v>
      </c>
    </row>
    <row r="691" spans="1:25" x14ac:dyDescent="0.2">
      <c r="A691">
        <v>7864</v>
      </c>
      <c r="B691" t="s">
        <v>1554</v>
      </c>
      <c r="C691" t="s">
        <v>18</v>
      </c>
      <c r="D691" t="s">
        <v>1565</v>
      </c>
      <c r="E691" t="s">
        <v>1566</v>
      </c>
      <c r="F691" t="s">
        <v>174</v>
      </c>
      <c r="G691" t="s">
        <v>24</v>
      </c>
      <c r="H691" t="b">
        <v>0</v>
      </c>
      <c r="I691" t="b">
        <v>0</v>
      </c>
      <c r="L691" t="b">
        <v>0</v>
      </c>
    </row>
    <row r="692" spans="1:25" x14ac:dyDescent="0.2">
      <c r="A692">
        <v>7865</v>
      </c>
      <c r="B692" t="s">
        <v>1554</v>
      </c>
      <c r="C692" t="s">
        <v>18</v>
      </c>
      <c r="D692" t="s">
        <v>1567</v>
      </c>
      <c r="E692" t="s">
        <v>1568</v>
      </c>
      <c r="F692" t="s">
        <v>78</v>
      </c>
      <c r="G692" t="s">
        <v>252</v>
      </c>
      <c r="H692" t="b">
        <v>0</v>
      </c>
      <c r="I692" t="b">
        <v>0</v>
      </c>
      <c r="L692" t="b">
        <v>0</v>
      </c>
    </row>
    <row r="693" spans="1:25" x14ac:dyDescent="0.2">
      <c r="A693">
        <v>7866</v>
      </c>
      <c r="B693" t="s">
        <v>1554</v>
      </c>
      <c r="C693" t="s">
        <v>18</v>
      </c>
      <c r="D693" t="s">
        <v>1569</v>
      </c>
      <c r="E693" t="s">
        <v>1570</v>
      </c>
      <c r="F693" t="s">
        <v>78</v>
      </c>
      <c r="G693" t="s">
        <v>88</v>
      </c>
      <c r="H693" t="b">
        <v>0</v>
      </c>
      <c r="I693" t="b">
        <v>0</v>
      </c>
      <c r="L693" t="b">
        <v>0</v>
      </c>
      <c r="M693" t="s">
        <v>1571</v>
      </c>
      <c r="N693" t="s">
        <v>1572</v>
      </c>
    </row>
    <row r="695" spans="1:25" x14ac:dyDescent="0.2">
      <c r="A695" s="2">
        <v>7889</v>
      </c>
      <c r="B695" s="2" t="s">
        <v>1573</v>
      </c>
      <c r="C695" s="2" t="s">
        <v>13</v>
      </c>
      <c r="D695" s="2" t="s">
        <v>1574</v>
      </c>
      <c r="E695" s="2" t="s">
        <v>1575</v>
      </c>
      <c r="F695" s="2" t="s">
        <v>122</v>
      </c>
      <c r="G695" s="2" t="s">
        <v>24</v>
      </c>
      <c r="H695" s="2"/>
      <c r="I695" s="2"/>
      <c r="J695" s="2"/>
      <c r="K695" s="2"/>
      <c r="L695" s="2"/>
      <c r="M695" s="2"/>
      <c r="N695" s="2"/>
      <c r="O695" s="2"/>
      <c r="P695" s="2"/>
      <c r="Q695" s="2"/>
      <c r="R695" s="2"/>
      <c r="S695" s="2"/>
      <c r="T695" s="2"/>
      <c r="U695" s="2"/>
      <c r="V695" s="2"/>
      <c r="W695" s="2"/>
      <c r="X695" s="2"/>
      <c r="Y695" s="2"/>
    </row>
    <row r="696" spans="1:25" x14ac:dyDescent="0.2">
      <c r="A696">
        <v>7890</v>
      </c>
      <c r="B696" t="s">
        <v>1573</v>
      </c>
      <c r="C696" t="s">
        <v>18</v>
      </c>
      <c r="D696" t="s">
        <v>1574</v>
      </c>
      <c r="E696" t="s">
        <v>1576</v>
      </c>
      <c r="F696" t="s">
        <v>122</v>
      </c>
      <c r="G696" t="s">
        <v>24</v>
      </c>
      <c r="H696" t="b">
        <v>1</v>
      </c>
      <c r="K696" t="b">
        <v>1</v>
      </c>
      <c r="L696" t="b">
        <v>1</v>
      </c>
      <c r="M696" t="s">
        <v>1577</v>
      </c>
      <c r="N696" t="s">
        <v>745</v>
      </c>
      <c r="O696" t="s">
        <v>1578</v>
      </c>
    </row>
    <row r="697" spans="1:25" x14ac:dyDescent="0.2">
      <c r="A697">
        <v>7891</v>
      </c>
      <c r="B697" t="s">
        <v>1573</v>
      </c>
      <c r="C697" t="s">
        <v>18</v>
      </c>
      <c r="D697" t="s">
        <v>1579</v>
      </c>
      <c r="E697" t="s">
        <v>1580</v>
      </c>
      <c r="F697" t="s">
        <v>122</v>
      </c>
      <c r="G697" t="s">
        <v>24</v>
      </c>
      <c r="H697" t="b">
        <v>0</v>
      </c>
      <c r="K697" t="b">
        <v>0</v>
      </c>
      <c r="L697" t="b">
        <v>0</v>
      </c>
      <c r="M697" t="s">
        <v>1581</v>
      </c>
      <c r="N697" t="s">
        <v>1582</v>
      </c>
    </row>
    <row r="698" spans="1:25" x14ac:dyDescent="0.2">
      <c r="A698">
        <v>7892</v>
      </c>
      <c r="B698" t="s">
        <v>1573</v>
      </c>
      <c r="C698" t="s">
        <v>18</v>
      </c>
      <c r="D698" t="s">
        <v>1583</v>
      </c>
      <c r="E698" t="s">
        <v>1584</v>
      </c>
      <c r="F698" t="s">
        <v>16</v>
      </c>
      <c r="G698" t="s">
        <v>24</v>
      </c>
      <c r="H698" t="b">
        <v>0</v>
      </c>
      <c r="K698" t="b">
        <v>0</v>
      </c>
      <c r="L698" t="b">
        <v>0</v>
      </c>
    </row>
    <row r="699" spans="1:25" x14ac:dyDescent="0.2">
      <c r="A699">
        <v>7893</v>
      </c>
      <c r="B699" t="s">
        <v>1573</v>
      </c>
      <c r="C699" t="s">
        <v>18</v>
      </c>
      <c r="D699" t="s">
        <v>375</v>
      </c>
      <c r="E699" t="s">
        <v>377</v>
      </c>
      <c r="F699" t="s">
        <v>369</v>
      </c>
      <c r="G699" t="s">
        <v>24</v>
      </c>
      <c r="H699" t="b">
        <v>0</v>
      </c>
      <c r="K699" t="b">
        <v>0</v>
      </c>
      <c r="L699" t="b">
        <v>0</v>
      </c>
      <c r="M699" t="s">
        <v>1585</v>
      </c>
      <c r="N699" t="s">
        <v>1586</v>
      </c>
    </row>
    <row r="700" spans="1:25" x14ac:dyDescent="0.2">
      <c r="A700">
        <v>7894</v>
      </c>
      <c r="B700" t="s">
        <v>1573</v>
      </c>
      <c r="C700" t="s">
        <v>18</v>
      </c>
      <c r="D700" t="s">
        <v>1587</v>
      </c>
      <c r="E700" t="s">
        <v>1588</v>
      </c>
      <c r="F700" t="s">
        <v>122</v>
      </c>
      <c r="G700" t="s">
        <v>24</v>
      </c>
      <c r="H700" t="b">
        <v>0</v>
      </c>
      <c r="K700" t="b">
        <v>0</v>
      </c>
      <c r="L700" t="b">
        <v>0</v>
      </c>
      <c r="M700" t="s">
        <v>1589</v>
      </c>
    </row>
    <row r="702" spans="1:25" x14ac:dyDescent="0.2">
      <c r="A702" s="2">
        <v>7903</v>
      </c>
      <c r="B702" s="2" t="s">
        <v>1590</v>
      </c>
      <c r="C702" s="2" t="s">
        <v>13</v>
      </c>
      <c r="D702" s="2" t="s">
        <v>1591</v>
      </c>
      <c r="E702" s="2" t="s">
        <v>1592</v>
      </c>
      <c r="F702" s="2" t="s">
        <v>264</v>
      </c>
      <c r="G702" s="2" t="s">
        <v>62</v>
      </c>
      <c r="H702" s="2"/>
      <c r="I702" s="2"/>
      <c r="J702" s="2"/>
      <c r="K702" s="2"/>
      <c r="L702" s="2"/>
      <c r="M702" s="2"/>
      <c r="N702" s="2"/>
      <c r="O702" s="2"/>
      <c r="P702" s="2"/>
      <c r="Q702" s="2"/>
      <c r="R702" s="2"/>
      <c r="S702" s="2"/>
      <c r="T702" s="2"/>
      <c r="U702" s="2"/>
      <c r="V702" s="2"/>
      <c r="W702" s="2"/>
      <c r="X702" s="2"/>
      <c r="Y702" s="2"/>
    </row>
    <row r="703" spans="1:25" x14ac:dyDescent="0.2">
      <c r="A703">
        <v>7904</v>
      </c>
      <c r="B703" t="s">
        <v>1590</v>
      </c>
      <c r="C703" t="s">
        <v>18</v>
      </c>
      <c r="D703" t="s">
        <v>1591</v>
      </c>
      <c r="E703" t="s">
        <v>1593</v>
      </c>
      <c r="F703" t="s">
        <v>264</v>
      </c>
      <c r="G703" t="s">
        <v>62</v>
      </c>
      <c r="H703" t="b">
        <v>1</v>
      </c>
      <c r="K703" t="b">
        <v>1</v>
      </c>
      <c r="L703" t="b">
        <v>1</v>
      </c>
      <c r="M703" t="s">
        <v>1594</v>
      </c>
      <c r="N703" t="s">
        <v>1595</v>
      </c>
    </row>
    <row r="704" spans="1:25" x14ac:dyDescent="0.2">
      <c r="A704">
        <v>7905</v>
      </c>
      <c r="B704" t="s">
        <v>1590</v>
      </c>
      <c r="C704" t="s">
        <v>18</v>
      </c>
      <c r="D704" t="s">
        <v>1596</v>
      </c>
      <c r="E704" t="s">
        <v>939</v>
      </c>
      <c r="F704" t="s">
        <v>264</v>
      </c>
      <c r="G704" t="s">
        <v>62</v>
      </c>
      <c r="H704" t="b">
        <v>1</v>
      </c>
      <c r="K704" t="b">
        <v>1</v>
      </c>
      <c r="L704" t="b">
        <v>1</v>
      </c>
      <c r="M704" t="s">
        <v>1597</v>
      </c>
      <c r="N704" t="s">
        <v>1598</v>
      </c>
    </row>
    <row r="705" spans="1:25" x14ac:dyDescent="0.2">
      <c r="A705">
        <v>7906</v>
      </c>
      <c r="B705" t="s">
        <v>1590</v>
      </c>
      <c r="C705" t="s">
        <v>18</v>
      </c>
      <c r="D705" t="s">
        <v>1599</v>
      </c>
      <c r="E705" t="s">
        <v>1600</v>
      </c>
      <c r="F705" t="s">
        <v>264</v>
      </c>
      <c r="G705" t="s">
        <v>62</v>
      </c>
      <c r="H705" t="b">
        <v>0</v>
      </c>
      <c r="K705" t="b">
        <v>0</v>
      </c>
      <c r="L705" t="b">
        <v>0</v>
      </c>
    </row>
    <row r="706" spans="1:25" x14ac:dyDescent="0.2">
      <c r="A706">
        <v>7907</v>
      </c>
      <c r="B706" t="s">
        <v>1590</v>
      </c>
      <c r="C706" t="s">
        <v>18</v>
      </c>
      <c r="D706" t="s">
        <v>1601</v>
      </c>
      <c r="E706" t="s">
        <v>1602</v>
      </c>
      <c r="F706" t="s">
        <v>264</v>
      </c>
      <c r="G706" t="s">
        <v>62</v>
      </c>
      <c r="H706" t="b">
        <v>0</v>
      </c>
      <c r="K706" t="b">
        <v>0</v>
      </c>
      <c r="L706" t="b">
        <v>0</v>
      </c>
    </row>
    <row r="707" spans="1:25" x14ac:dyDescent="0.2">
      <c r="A707">
        <v>7908</v>
      </c>
      <c r="B707" t="s">
        <v>1590</v>
      </c>
      <c r="C707" t="s">
        <v>18</v>
      </c>
      <c r="D707" t="s">
        <v>1603</v>
      </c>
      <c r="E707" t="s">
        <v>1604</v>
      </c>
      <c r="F707" t="s">
        <v>264</v>
      </c>
      <c r="G707" t="s">
        <v>62</v>
      </c>
      <c r="H707" t="b">
        <v>0</v>
      </c>
      <c r="K707" t="b">
        <v>0</v>
      </c>
      <c r="L707" t="b">
        <v>0</v>
      </c>
    </row>
    <row r="709" spans="1:25" x14ac:dyDescent="0.2">
      <c r="A709" s="2">
        <v>7910</v>
      </c>
      <c r="B709" s="2" t="s">
        <v>1605</v>
      </c>
      <c r="C709" s="2" t="s">
        <v>13</v>
      </c>
      <c r="D709" s="2" t="s">
        <v>1606</v>
      </c>
      <c r="E709" s="2" t="s">
        <v>1607</v>
      </c>
      <c r="F709" s="2" t="s">
        <v>78</v>
      </c>
      <c r="G709" s="2" t="s">
        <v>88</v>
      </c>
      <c r="H709" s="2"/>
      <c r="I709" s="2"/>
      <c r="J709" s="2"/>
      <c r="K709" s="2"/>
      <c r="L709" s="2"/>
      <c r="M709" s="2"/>
      <c r="N709" s="2"/>
      <c r="O709" s="2"/>
      <c r="P709" s="2"/>
      <c r="Q709" s="2"/>
      <c r="R709" s="2"/>
      <c r="S709" s="2"/>
      <c r="T709" s="2"/>
      <c r="U709" s="2"/>
      <c r="V709" s="2"/>
      <c r="W709" s="2"/>
      <c r="X709" s="2"/>
      <c r="Y709" s="2"/>
    </row>
    <row r="710" spans="1:25" x14ac:dyDescent="0.2">
      <c r="A710">
        <v>7911</v>
      </c>
      <c r="B710" t="s">
        <v>1605</v>
      </c>
      <c r="C710" t="s">
        <v>18</v>
      </c>
      <c r="D710" t="s">
        <v>1606</v>
      </c>
      <c r="E710" t="s">
        <v>1608</v>
      </c>
      <c r="F710" t="s">
        <v>78</v>
      </c>
      <c r="G710" t="s">
        <v>88</v>
      </c>
      <c r="H710" t="b">
        <v>1</v>
      </c>
      <c r="K710" t="b">
        <v>1</v>
      </c>
      <c r="L710" t="b">
        <v>1</v>
      </c>
      <c r="M710" t="s">
        <v>1609</v>
      </c>
      <c r="N710" t="s">
        <v>1610</v>
      </c>
    </row>
    <row r="711" spans="1:25" x14ac:dyDescent="0.2">
      <c r="A711">
        <v>7912</v>
      </c>
      <c r="B711" t="s">
        <v>1605</v>
      </c>
      <c r="C711" t="s">
        <v>18</v>
      </c>
      <c r="D711" t="s">
        <v>1611</v>
      </c>
      <c r="E711" t="s">
        <v>1612</v>
      </c>
      <c r="F711" t="s">
        <v>78</v>
      </c>
      <c r="G711" t="s">
        <v>88</v>
      </c>
      <c r="H711" t="b">
        <v>1</v>
      </c>
      <c r="K711" t="b">
        <v>1</v>
      </c>
      <c r="L711" t="b">
        <v>1</v>
      </c>
      <c r="M711" t="s">
        <v>1613</v>
      </c>
      <c r="N711" t="s">
        <v>1614</v>
      </c>
    </row>
    <row r="712" spans="1:25" x14ac:dyDescent="0.2">
      <c r="A712">
        <v>7913</v>
      </c>
      <c r="B712" t="s">
        <v>1605</v>
      </c>
      <c r="C712" t="s">
        <v>18</v>
      </c>
      <c r="D712" t="s">
        <v>1615</v>
      </c>
      <c r="E712" t="s">
        <v>1616</v>
      </c>
      <c r="F712" t="s">
        <v>1617</v>
      </c>
      <c r="G712" t="s">
        <v>345</v>
      </c>
      <c r="H712" t="b">
        <v>0</v>
      </c>
      <c r="K712" t="b">
        <v>0</v>
      </c>
      <c r="L712" t="b">
        <v>0</v>
      </c>
    </row>
    <row r="713" spans="1:25" x14ac:dyDescent="0.2">
      <c r="A713">
        <v>7914</v>
      </c>
      <c r="B713" t="s">
        <v>1605</v>
      </c>
      <c r="C713" t="s">
        <v>18</v>
      </c>
      <c r="D713" t="s">
        <v>1618</v>
      </c>
      <c r="E713" t="s">
        <v>1619</v>
      </c>
      <c r="F713" t="s">
        <v>31</v>
      </c>
      <c r="G713" t="s">
        <v>17</v>
      </c>
      <c r="H713" t="b">
        <v>0</v>
      </c>
      <c r="K713" t="b">
        <v>0</v>
      </c>
      <c r="L713" t="b">
        <v>0</v>
      </c>
      <c r="M713" t="s">
        <v>1620</v>
      </c>
      <c r="N713" t="s">
        <v>1621</v>
      </c>
      <c r="O713" t="s">
        <v>1622</v>
      </c>
    </row>
    <row r="714" spans="1:25" x14ac:dyDescent="0.2">
      <c r="A714">
        <v>7915</v>
      </c>
      <c r="B714" t="s">
        <v>1605</v>
      </c>
      <c r="C714" t="s">
        <v>18</v>
      </c>
      <c r="D714" t="s">
        <v>1623</v>
      </c>
      <c r="E714" t="s">
        <v>1624</v>
      </c>
      <c r="F714" t="s">
        <v>78</v>
      </c>
      <c r="G714" t="s">
        <v>88</v>
      </c>
      <c r="H714" t="b">
        <v>0</v>
      </c>
      <c r="K714" t="b">
        <v>0</v>
      </c>
      <c r="L714" t="b">
        <v>0</v>
      </c>
      <c r="M714" t="s">
        <v>1625</v>
      </c>
      <c r="N714" t="s">
        <v>1626</v>
      </c>
      <c r="O714" t="s">
        <v>1627</v>
      </c>
      <c r="P714" t="s">
        <v>1628</v>
      </c>
    </row>
    <row r="716" spans="1:25" x14ac:dyDescent="0.2">
      <c r="A716" s="2">
        <v>7938</v>
      </c>
      <c r="B716" s="2" t="s">
        <v>1629</v>
      </c>
      <c r="C716" s="2" t="s">
        <v>13</v>
      </c>
      <c r="D716" s="2" t="s">
        <v>1630</v>
      </c>
      <c r="E716" s="2" t="s">
        <v>1631</v>
      </c>
      <c r="F716" s="2" t="s">
        <v>174</v>
      </c>
      <c r="G716" s="2" t="s">
        <v>17</v>
      </c>
      <c r="H716" s="2"/>
      <c r="I716" s="2"/>
      <c r="J716" s="2"/>
      <c r="K716" s="2"/>
      <c r="L716" s="2"/>
      <c r="M716" s="2"/>
      <c r="N716" s="2"/>
      <c r="O716" s="2"/>
      <c r="P716" s="2"/>
      <c r="Q716" s="2"/>
      <c r="R716" s="2"/>
      <c r="S716" s="2"/>
      <c r="T716" s="2"/>
      <c r="U716" s="2"/>
      <c r="V716" s="2"/>
      <c r="W716" s="2"/>
      <c r="X716" s="2"/>
      <c r="Y716" s="2"/>
    </row>
    <row r="717" spans="1:25" x14ac:dyDescent="0.2">
      <c r="A717">
        <v>7939</v>
      </c>
      <c r="B717" t="s">
        <v>1629</v>
      </c>
      <c r="C717" t="s">
        <v>18</v>
      </c>
      <c r="D717" t="s">
        <v>1630</v>
      </c>
      <c r="E717" t="s">
        <v>1631</v>
      </c>
      <c r="F717" t="s">
        <v>174</v>
      </c>
      <c r="G717" t="s">
        <v>17</v>
      </c>
      <c r="H717" t="b">
        <v>1</v>
      </c>
      <c r="K717" t="b">
        <v>1</v>
      </c>
      <c r="L717" t="b">
        <v>1</v>
      </c>
      <c r="M717" t="s">
        <v>1632</v>
      </c>
      <c r="N717" t="s">
        <v>1633</v>
      </c>
    </row>
    <row r="718" spans="1:25" x14ac:dyDescent="0.2">
      <c r="A718">
        <v>7940</v>
      </c>
      <c r="B718" t="s">
        <v>1629</v>
      </c>
      <c r="C718" t="s">
        <v>18</v>
      </c>
      <c r="D718" t="s">
        <v>1634</v>
      </c>
      <c r="E718" t="s">
        <v>1635</v>
      </c>
      <c r="F718" t="s">
        <v>174</v>
      </c>
      <c r="G718" t="s">
        <v>17</v>
      </c>
      <c r="H718" t="b">
        <v>0</v>
      </c>
      <c r="K718" t="b">
        <v>0</v>
      </c>
      <c r="L718" t="b">
        <v>0</v>
      </c>
      <c r="M718" t="s">
        <v>1636</v>
      </c>
    </row>
    <row r="719" spans="1:25" x14ac:dyDescent="0.2">
      <c r="A719">
        <v>7941</v>
      </c>
      <c r="B719" t="s">
        <v>1629</v>
      </c>
      <c r="C719" t="s">
        <v>18</v>
      </c>
      <c r="D719" t="s">
        <v>1637</v>
      </c>
      <c r="E719" t="s">
        <v>1638</v>
      </c>
      <c r="F719" t="s">
        <v>174</v>
      </c>
      <c r="G719" t="s">
        <v>17</v>
      </c>
      <c r="H719" t="b">
        <v>0</v>
      </c>
      <c r="K719" t="b">
        <v>0</v>
      </c>
      <c r="L719" t="b">
        <v>0</v>
      </c>
      <c r="M719" t="s">
        <v>1639</v>
      </c>
    </row>
    <row r="720" spans="1:25" x14ac:dyDescent="0.2">
      <c r="A720">
        <v>7942</v>
      </c>
      <c r="B720" t="s">
        <v>1629</v>
      </c>
      <c r="C720" t="s">
        <v>18</v>
      </c>
      <c r="D720" t="s">
        <v>1640</v>
      </c>
      <c r="E720" t="s">
        <v>1641</v>
      </c>
      <c r="F720" t="s">
        <v>174</v>
      </c>
      <c r="G720" t="s">
        <v>17</v>
      </c>
      <c r="H720" t="b">
        <v>0</v>
      </c>
      <c r="K720" t="b">
        <v>0</v>
      </c>
      <c r="L720" t="b">
        <v>0</v>
      </c>
    </row>
    <row r="721" spans="1:25" x14ac:dyDescent="0.2">
      <c r="A721">
        <v>7943</v>
      </c>
      <c r="B721" t="s">
        <v>1629</v>
      </c>
      <c r="C721" t="s">
        <v>18</v>
      </c>
      <c r="D721" t="s">
        <v>1642</v>
      </c>
      <c r="E721" t="s">
        <v>1643</v>
      </c>
      <c r="F721" t="s">
        <v>174</v>
      </c>
      <c r="G721" t="s">
        <v>17</v>
      </c>
      <c r="H721" t="b">
        <v>0</v>
      </c>
      <c r="K721" t="b">
        <v>0</v>
      </c>
      <c r="L721" t="b">
        <v>0</v>
      </c>
      <c r="M721" t="s">
        <v>1644</v>
      </c>
      <c r="N721" t="s">
        <v>1645</v>
      </c>
    </row>
    <row r="723" spans="1:25" x14ac:dyDescent="0.2">
      <c r="A723" s="2">
        <v>798</v>
      </c>
      <c r="B723" s="2" t="s">
        <v>1646</v>
      </c>
      <c r="C723" s="2" t="s">
        <v>13</v>
      </c>
      <c r="D723" s="2" t="s">
        <v>1647</v>
      </c>
      <c r="E723" s="2" t="s">
        <v>1648</v>
      </c>
      <c r="F723" s="2" t="s">
        <v>23</v>
      </c>
      <c r="G723" s="2" t="s">
        <v>345</v>
      </c>
      <c r="H723" s="2"/>
      <c r="I723" s="2"/>
      <c r="J723" s="2"/>
      <c r="K723" s="2"/>
      <c r="L723" s="2"/>
      <c r="M723" s="2"/>
      <c r="N723" s="2"/>
      <c r="O723" s="2"/>
      <c r="P723" s="2"/>
      <c r="Q723" s="2"/>
      <c r="R723" s="2"/>
      <c r="S723" s="2"/>
      <c r="T723" s="2"/>
      <c r="U723" s="2"/>
      <c r="V723" s="2"/>
      <c r="W723" s="2"/>
      <c r="X723" s="2"/>
      <c r="Y723" s="2"/>
    </row>
    <row r="724" spans="1:25" x14ac:dyDescent="0.2">
      <c r="A724">
        <v>799</v>
      </c>
      <c r="B724" t="s">
        <v>1646</v>
      </c>
      <c r="C724" t="s">
        <v>18</v>
      </c>
      <c r="D724" t="s">
        <v>1647</v>
      </c>
      <c r="E724" t="s">
        <v>1648</v>
      </c>
      <c r="F724" t="s">
        <v>23</v>
      </c>
      <c r="G724" t="s">
        <v>345</v>
      </c>
      <c r="H724" t="b">
        <v>1</v>
      </c>
      <c r="K724" t="b">
        <v>1</v>
      </c>
      <c r="L724" t="b">
        <v>1</v>
      </c>
      <c r="M724" t="s">
        <v>1649</v>
      </c>
      <c r="N724" t="s">
        <v>1650</v>
      </c>
    </row>
    <row r="725" spans="1:25" x14ac:dyDescent="0.2">
      <c r="A725">
        <v>800</v>
      </c>
      <c r="B725" t="s">
        <v>1646</v>
      </c>
      <c r="C725" t="s">
        <v>18</v>
      </c>
      <c r="D725" t="s">
        <v>1651</v>
      </c>
      <c r="E725" t="s">
        <v>1652</v>
      </c>
      <c r="F725" t="s">
        <v>23</v>
      </c>
      <c r="G725" t="s">
        <v>345</v>
      </c>
      <c r="H725" t="b">
        <v>0</v>
      </c>
      <c r="K725" t="b">
        <v>0</v>
      </c>
      <c r="L725" t="b">
        <v>0</v>
      </c>
    </row>
    <row r="726" spans="1:25" x14ac:dyDescent="0.2">
      <c r="A726">
        <v>801</v>
      </c>
      <c r="B726" t="s">
        <v>1646</v>
      </c>
      <c r="C726" t="s">
        <v>18</v>
      </c>
      <c r="D726" t="s">
        <v>1653</v>
      </c>
      <c r="E726" t="s">
        <v>1654</v>
      </c>
      <c r="F726" t="s">
        <v>23</v>
      </c>
      <c r="G726" t="s">
        <v>345</v>
      </c>
      <c r="H726" t="b">
        <v>0</v>
      </c>
      <c r="K726" t="b">
        <v>0</v>
      </c>
      <c r="L726" t="b">
        <v>0</v>
      </c>
      <c r="M726" t="s">
        <v>1655</v>
      </c>
      <c r="N726" t="s">
        <v>1656</v>
      </c>
    </row>
    <row r="727" spans="1:25" x14ac:dyDescent="0.2">
      <c r="A727">
        <v>802</v>
      </c>
      <c r="B727" t="s">
        <v>1646</v>
      </c>
      <c r="C727" t="s">
        <v>18</v>
      </c>
      <c r="D727" t="s">
        <v>1657</v>
      </c>
      <c r="E727" t="s">
        <v>1658</v>
      </c>
      <c r="F727" t="s">
        <v>23</v>
      </c>
      <c r="G727" t="s">
        <v>17</v>
      </c>
      <c r="H727" t="b">
        <v>0</v>
      </c>
      <c r="K727" t="b">
        <v>0</v>
      </c>
      <c r="L727" t="b">
        <v>0</v>
      </c>
    </row>
    <row r="728" spans="1:25" x14ac:dyDescent="0.2">
      <c r="A728">
        <v>803</v>
      </c>
      <c r="B728" t="s">
        <v>1646</v>
      </c>
      <c r="C728" t="s">
        <v>18</v>
      </c>
      <c r="D728" t="s">
        <v>1659</v>
      </c>
      <c r="E728" t="s">
        <v>1660</v>
      </c>
      <c r="F728" t="s">
        <v>82</v>
      </c>
      <c r="G728" t="s">
        <v>345</v>
      </c>
      <c r="H728" t="b">
        <v>0</v>
      </c>
      <c r="K728" t="b">
        <v>0</v>
      </c>
      <c r="L728" t="b">
        <v>0</v>
      </c>
      <c r="M728" t="s">
        <v>1661</v>
      </c>
      <c r="N728" t="s">
        <v>1662</v>
      </c>
    </row>
    <row r="730" spans="1:25" x14ac:dyDescent="0.2">
      <c r="A730" s="2">
        <v>7980</v>
      </c>
      <c r="B730" s="2" t="s">
        <v>1663</v>
      </c>
      <c r="C730" s="2" t="s">
        <v>13</v>
      </c>
      <c r="D730" s="2" t="s">
        <v>1664</v>
      </c>
      <c r="E730" s="2" t="s">
        <v>1665</v>
      </c>
      <c r="F730" s="2" t="s">
        <v>952</v>
      </c>
      <c r="G730" s="2" t="s">
        <v>252</v>
      </c>
      <c r="H730" s="2"/>
      <c r="I730" s="2"/>
      <c r="J730" s="2"/>
      <c r="K730" s="2"/>
      <c r="L730" s="2"/>
      <c r="M730" s="2"/>
      <c r="N730" s="2"/>
      <c r="O730" s="2"/>
      <c r="P730" s="2"/>
      <c r="Q730" s="2"/>
      <c r="R730" s="2"/>
      <c r="S730" s="2"/>
      <c r="T730" s="2"/>
      <c r="U730" s="2"/>
      <c r="V730" s="2"/>
      <c r="W730" s="2"/>
      <c r="X730" s="2"/>
      <c r="Y730" s="2"/>
    </row>
    <row r="731" spans="1:25" x14ac:dyDescent="0.2">
      <c r="A731">
        <v>7981</v>
      </c>
      <c r="B731" t="s">
        <v>1663</v>
      </c>
      <c r="C731" t="s">
        <v>18</v>
      </c>
      <c r="D731" t="s">
        <v>1664</v>
      </c>
      <c r="E731" t="s">
        <v>1665</v>
      </c>
      <c r="F731" t="s">
        <v>952</v>
      </c>
      <c r="G731" t="s">
        <v>252</v>
      </c>
      <c r="H731" t="b">
        <v>1</v>
      </c>
      <c r="I731" t="b">
        <v>1</v>
      </c>
      <c r="L731" t="b">
        <v>1</v>
      </c>
      <c r="M731" t="s">
        <v>1666</v>
      </c>
      <c r="N731" t="s">
        <v>1667</v>
      </c>
    </row>
    <row r="732" spans="1:25" x14ac:dyDescent="0.2">
      <c r="A732">
        <v>7982</v>
      </c>
      <c r="B732" t="s">
        <v>1663</v>
      </c>
      <c r="C732" t="s">
        <v>18</v>
      </c>
      <c r="D732" t="s">
        <v>1668</v>
      </c>
      <c r="E732" t="s">
        <v>1669</v>
      </c>
      <c r="F732" t="s">
        <v>616</v>
      </c>
      <c r="G732" t="s">
        <v>252</v>
      </c>
      <c r="H732" t="b">
        <v>0</v>
      </c>
      <c r="I732" t="b">
        <v>0</v>
      </c>
      <c r="L732" t="b">
        <v>0</v>
      </c>
      <c r="M732" t="s">
        <v>1670</v>
      </c>
    </row>
    <row r="733" spans="1:25" x14ac:dyDescent="0.2">
      <c r="A733">
        <v>7983</v>
      </c>
      <c r="B733" t="s">
        <v>1663</v>
      </c>
      <c r="C733" t="s">
        <v>18</v>
      </c>
      <c r="D733" t="s">
        <v>1671</v>
      </c>
      <c r="E733" t="s">
        <v>1672</v>
      </c>
      <c r="F733" t="s">
        <v>616</v>
      </c>
      <c r="G733" t="s">
        <v>252</v>
      </c>
      <c r="H733" t="b">
        <v>0</v>
      </c>
      <c r="I733" t="b">
        <v>0</v>
      </c>
      <c r="L733" t="b">
        <v>0</v>
      </c>
      <c r="M733" t="s">
        <v>1673</v>
      </c>
    </row>
    <row r="734" spans="1:25" x14ac:dyDescent="0.2">
      <c r="A734">
        <v>7984</v>
      </c>
      <c r="B734" t="s">
        <v>1663</v>
      </c>
      <c r="C734" t="s">
        <v>18</v>
      </c>
      <c r="D734" t="s">
        <v>1674</v>
      </c>
      <c r="E734" t="s">
        <v>323</v>
      </c>
      <c r="F734" t="s">
        <v>1077</v>
      </c>
      <c r="G734" t="s">
        <v>252</v>
      </c>
      <c r="H734" t="b">
        <v>0</v>
      </c>
      <c r="I734" t="b">
        <v>0</v>
      </c>
      <c r="L734" t="b">
        <v>0</v>
      </c>
      <c r="M734" t="s">
        <v>1675</v>
      </c>
    </row>
    <row r="735" spans="1:25" x14ac:dyDescent="0.2">
      <c r="A735">
        <v>7985</v>
      </c>
      <c r="B735" t="s">
        <v>1663</v>
      </c>
      <c r="C735" t="s">
        <v>18</v>
      </c>
      <c r="D735" t="s">
        <v>1676</v>
      </c>
      <c r="E735" t="s">
        <v>1677</v>
      </c>
      <c r="F735" t="s">
        <v>316</v>
      </c>
      <c r="G735" t="s">
        <v>252</v>
      </c>
      <c r="H735" t="b">
        <v>0</v>
      </c>
      <c r="I735" t="b">
        <v>0</v>
      </c>
      <c r="L735" t="b">
        <v>0</v>
      </c>
      <c r="M735" t="s">
        <v>1678</v>
      </c>
    </row>
    <row r="737" spans="1:25" x14ac:dyDescent="0.2">
      <c r="A737" s="2">
        <v>7987</v>
      </c>
      <c r="B737" s="2" t="s">
        <v>1679</v>
      </c>
      <c r="C737" s="2" t="s">
        <v>13</v>
      </c>
      <c r="D737" s="2" t="s">
        <v>1680</v>
      </c>
      <c r="E737" s="2" t="s">
        <v>1681</v>
      </c>
      <c r="F737" s="2" t="s">
        <v>264</v>
      </c>
      <c r="G737" s="2" t="s">
        <v>62</v>
      </c>
      <c r="H737" s="2"/>
      <c r="I737" s="2"/>
      <c r="J737" s="2"/>
      <c r="K737" s="2"/>
      <c r="L737" s="2"/>
      <c r="M737" s="2"/>
      <c r="N737" s="2"/>
      <c r="O737" s="2"/>
      <c r="P737" s="2"/>
      <c r="Q737" s="2"/>
      <c r="R737" s="2"/>
      <c r="S737" s="2"/>
      <c r="T737" s="2"/>
      <c r="U737" s="2"/>
      <c r="V737" s="2"/>
      <c r="W737" s="2"/>
      <c r="X737" s="2"/>
      <c r="Y737" s="2"/>
    </row>
    <row r="738" spans="1:25" x14ac:dyDescent="0.2">
      <c r="A738">
        <v>7988</v>
      </c>
      <c r="B738" t="s">
        <v>1679</v>
      </c>
      <c r="C738" t="s">
        <v>18</v>
      </c>
      <c r="D738" t="s">
        <v>1680</v>
      </c>
      <c r="E738" t="s">
        <v>1682</v>
      </c>
      <c r="F738" t="s">
        <v>264</v>
      </c>
      <c r="G738" t="s">
        <v>62</v>
      </c>
      <c r="H738" t="b">
        <v>1</v>
      </c>
      <c r="I738" t="b">
        <v>1</v>
      </c>
      <c r="L738" t="b">
        <v>1</v>
      </c>
      <c r="M738" t="s">
        <v>1683</v>
      </c>
      <c r="N738" t="s">
        <v>1684</v>
      </c>
    </row>
    <row r="739" spans="1:25" x14ac:dyDescent="0.2">
      <c r="A739">
        <v>7989</v>
      </c>
      <c r="B739" t="s">
        <v>1679</v>
      </c>
      <c r="C739" t="s">
        <v>18</v>
      </c>
      <c r="D739" t="s">
        <v>1685</v>
      </c>
      <c r="E739" t="s">
        <v>1686</v>
      </c>
      <c r="F739" t="s">
        <v>264</v>
      </c>
      <c r="G739" t="s">
        <v>62</v>
      </c>
      <c r="H739" t="b">
        <v>0</v>
      </c>
      <c r="I739" t="b">
        <v>0</v>
      </c>
      <c r="L739" t="b">
        <v>0</v>
      </c>
    </row>
    <row r="740" spans="1:25" x14ac:dyDescent="0.2">
      <c r="A740">
        <v>7990</v>
      </c>
      <c r="B740" t="s">
        <v>1679</v>
      </c>
      <c r="C740" t="s">
        <v>18</v>
      </c>
      <c r="D740" t="s">
        <v>1687</v>
      </c>
      <c r="E740" t="s">
        <v>1688</v>
      </c>
      <c r="F740" t="s">
        <v>654</v>
      </c>
      <c r="G740" t="s">
        <v>62</v>
      </c>
      <c r="H740" t="b">
        <v>0</v>
      </c>
      <c r="I740" t="b">
        <v>0</v>
      </c>
      <c r="L740" t="b">
        <v>0</v>
      </c>
    </row>
    <row r="741" spans="1:25" x14ac:dyDescent="0.2">
      <c r="A741">
        <v>7991</v>
      </c>
      <c r="B741" t="s">
        <v>1679</v>
      </c>
      <c r="C741" t="s">
        <v>18</v>
      </c>
      <c r="D741" t="s">
        <v>1689</v>
      </c>
      <c r="E741" t="s">
        <v>1690</v>
      </c>
      <c r="F741" t="s">
        <v>31</v>
      </c>
      <c r="G741" t="s">
        <v>62</v>
      </c>
      <c r="H741" t="b">
        <v>0</v>
      </c>
      <c r="I741" t="b">
        <v>0</v>
      </c>
      <c r="L741" t="b">
        <v>0</v>
      </c>
      <c r="M741" t="s">
        <v>1691</v>
      </c>
    </row>
    <row r="742" spans="1:25" x14ac:dyDescent="0.2">
      <c r="A742">
        <v>7992</v>
      </c>
      <c r="B742" t="s">
        <v>1679</v>
      </c>
      <c r="C742" t="s">
        <v>18</v>
      </c>
      <c r="D742" t="s">
        <v>1692</v>
      </c>
      <c r="E742" t="s">
        <v>1693</v>
      </c>
      <c r="F742" t="s">
        <v>31</v>
      </c>
      <c r="G742" t="s">
        <v>62</v>
      </c>
      <c r="H742" t="b">
        <v>0</v>
      </c>
      <c r="I742" t="b">
        <v>0</v>
      </c>
      <c r="L742" t="b">
        <v>0</v>
      </c>
      <c r="M742" t="s">
        <v>1694</v>
      </c>
    </row>
    <row r="744" spans="1:25" x14ac:dyDescent="0.2">
      <c r="A744" s="2">
        <v>7994</v>
      </c>
      <c r="B744" s="2" t="s">
        <v>1695</v>
      </c>
      <c r="C744" s="2" t="s">
        <v>13</v>
      </c>
      <c r="D744" s="2" t="s">
        <v>1696</v>
      </c>
      <c r="E744" s="2" t="s">
        <v>1697</v>
      </c>
      <c r="F744" s="2" t="s">
        <v>31</v>
      </c>
      <c r="G744" s="2" t="s">
        <v>17</v>
      </c>
      <c r="H744" s="2"/>
      <c r="I744" s="2"/>
      <c r="J744" s="2"/>
      <c r="K744" s="2"/>
      <c r="L744" s="2"/>
      <c r="M744" s="2"/>
      <c r="N744" s="2"/>
      <c r="O744" s="2"/>
      <c r="P744" s="2"/>
      <c r="Q744" s="2"/>
      <c r="R744" s="2"/>
      <c r="S744" s="2"/>
      <c r="T744" s="2"/>
      <c r="U744" s="2"/>
      <c r="V744" s="2"/>
      <c r="W744" s="2"/>
      <c r="X744" s="2"/>
      <c r="Y744" s="2"/>
    </row>
    <row r="745" spans="1:25" x14ac:dyDescent="0.2">
      <c r="A745">
        <v>7995</v>
      </c>
      <c r="B745" t="s">
        <v>1695</v>
      </c>
      <c r="C745" t="s">
        <v>18</v>
      </c>
      <c r="D745" t="s">
        <v>1696</v>
      </c>
      <c r="E745" t="s">
        <v>1698</v>
      </c>
      <c r="F745" t="s">
        <v>31</v>
      </c>
      <c r="G745" t="s">
        <v>17</v>
      </c>
      <c r="H745" t="b">
        <v>1</v>
      </c>
      <c r="I745" t="b">
        <v>1</v>
      </c>
      <c r="L745" t="b">
        <v>1</v>
      </c>
      <c r="M745" t="s">
        <v>1699</v>
      </c>
    </row>
    <row r="746" spans="1:25" x14ac:dyDescent="0.2">
      <c r="A746">
        <v>7996</v>
      </c>
      <c r="B746" t="s">
        <v>1695</v>
      </c>
      <c r="C746" t="s">
        <v>18</v>
      </c>
      <c r="D746" t="s">
        <v>1700</v>
      </c>
      <c r="E746" t="s">
        <v>1701</v>
      </c>
      <c r="F746" t="s">
        <v>31</v>
      </c>
      <c r="G746" t="s">
        <v>17</v>
      </c>
      <c r="H746" t="b">
        <v>1</v>
      </c>
      <c r="I746" t="b">
        <v>1</v>
      </c>
      <c r="L746" t="b">
        <v>1</v>
      </c>
      <c r="M746" t="s">
        <v>1702</v>
      </c>
    </row>
    <row r="747" spans="1:25" x14ac:dyDescent="0.2">
      <c r="A747">
        <v>7997</v>
      </c>
      <c r="B747" t="s">
        <v>1695</v>
      </c>
      <c r="C747" t="s">
        <v>18</v>
      </c>
      <c r="D747" t="s">
        <v>1703</v>
      </c>
      <c r="E747" t="s">
        <v>1704</v>
      </c>
      <c r="F747" t="s">
        <v>78</v>
      </c>
      <c r="G747" t="s">
        <v>17</v>
      </c>
      <c r="H747" t="b">
        <v>0</v>
      </c>
      <c r="I747" t="b">
        <v>0</v>
      </c>
      <c r="L747" t="b">
        <v>0</v>
      </c>
      <c r="M747" t="s">
        <v>1705</v>
      </c>
      <c r="N747" t="s">
        <v>1706</v>
      </c>
    </row>
    <row r="748" spans="1:25" x14ac:dyDescent="0.2">
      <c r="A748">
        <v>7998</v>
      </c>
      <c r="B748" t="s">
        <v>1695</v>
      </c>
      <c r="C748" t="s">
        <v>18</v>
      </c>
      <c r="D748" t="s">
        <v>1707</v>
      </c>
      <c r="E748" t="s">
        <v>1708</v>
      </c>
      <c r="F748" t="s">
        <v>31</v>
      </c>
      <c r="G748" t="s">
        <v>17</v>
      </c>
      <c r="H748" t="b">
        <v>0</v>
      </c>
      <c r="I748" t="b">
        <v>0</v>
      </c>
      <c r="L748" t="b">
        <v>0</v>
      </c>
      <c r="M748" t="s">
        <v>1709</v>
      </c>
      <c r="N748" t="s">
        <v>1710</v>
      </c>
    </row>
    <row r="749" spans="1:25" x14ac:dyDescent="0.2">
      <c r="A749">
        <v>7999</v>
      </c>
      <c r="B749" t="s">
        <v>1695</v>
      </c>
      <c r="C749" t="s">
        <v>18</v>
      </c>
      <c r="D749" t="s">
        <v>1711</v>
      </c>
      <c r="E749" t="s">
        <v>1712</v>
      </c>
      <c r="F749" t="s">
        <v>168</v>
      </c>
      <c r="G749" t="s">
        <v>17</v>
      </c>
      <c r="H749" t="b">
        <v>0</v>
      </c>
      <c r="I749" t="b">
        <v>0</v>
      </c>
      <c r="L749" t="b">
        <v>0</v>
      </c>
      <c r="M749" t="s">
        <v>1713</v>
      </c>
    </row>
    <row r="751" spans="1:25" x14ac:dyDescent="0.2">
      <c r="A751" s="2">
        <v>8001</v>
      </c>
      <c r="B751" s="2" t="s">
        <v>1714</v>
      </c>
      <c r="C751" s="2" t="s">
        <v>13</v>
      </c>
      <c r="D751" s="2" t="s">
        <v>1715</v>
      </c>
      <c r="E751" s="2" t="s">
        <v>1716</v>
      </c>
      <c r="F751" s="2" t="s">
        <v>23</v>
      </c>
      <c r="G751" s="2" t="s">
        <v>134</v>
      </c>
      <c r="H751" s="2"/>
      <c r="I751" s="2"/>
      <c r="J751" s="2"/>
      <c r="K751" s="2"/>
      <c r="L751" s="2"/>
      <c r="M751" s="2"/>
      <c r="N751" s="2"/>
      <c r="O751" s="2"/>
      <c r="P751" s="2"/>
      <c r="Q751" s="2"/>
      <c r="R751" s="2"/>
      <c r="S751" s="2"/>
      <c r="T751" s="2"/>
      <c r="U751" s="2"/>
      <c r="V751" s="2"/>
      <c r="W751" s="2"/>
      <c r="X751" s="2"/>
      <c r="Y751" s="2"/>
    </row>
    <row r="752" spans="1:25" x14ac:dyDescent="0.2">
      <c r="A752">
        <v>8002</v>
      </c>
      <c r="B752" t="s">
        <v>1714</v>
      </c>
      <c r="C752" t="s">
        <v>18</v>
      </c>
      <c r="D752" t="s">
        <v>1715</v>
      </c>
      <c r="E752" t="s">
        <v>1717</v>
      </c>
      <c r="F752" t="s">
        <v>23</v>
      </c>
      <c r="G752" t="s">
        <v>134</v>
      </c>
      <c r="H752" t="b">
        <v>1</v>
      </c>
      <c r="K752" t="b">
        <v>1</v>
      </c>
      <c r="L752" t="b">
        <v>1</v>
      </c>
      <c r="M752" t="s">
        <v>1718</v>
      </c>
      <c r="N752" t="s">
        <v>1719</v>
      </c>
    </row>
    <row r="753" spans="1:25" x14ac:dyDescent="0.2">
      <c r="A753">
        <v>8003</v>
      </c>
      <c r="B753" t="s">
        <v>1714</v>
      </c>
      <c r="C753" t="s">
        <v>18</v>
      </c>
      <c r="D753" t="s">
        <v>1720</v>
      </c>
      <c r="E753" t="s">
        <v>1721</v>
      </c>
      <c r="F753" t="s">
        <v>596</v>
      </c>
      <c r="G753" t="s">
        <v>134</v>
      </c>
      <c r="H753" t="b">
        <v>0</v>
      </c>
      <c r="K753" t="b">
        <v>0</v>
      </c>
      <c r="L753" t="b">
        <v>0</v>
      </c>
      <c r="M753" t="s">
        <v>1722</v>
      </c>
      <c r="N753" t="s">
        <v>1723</v>
      </c>
    </row>
    <row r="754" spans="1:25" x14ac:dyDescent="0.2">
      <c r="A754">
        <v>8004</v>
      </c>
      <c r="B754" t="s">
        <v>1714</v>
      </c>
      <c r="C754" t="s">
        <v>18</v>
      </c>
      <c r="D754" t="s">
        <v>1724</v>
      </c>
      <c r="E754" t="s">
        <v>1725</v>
      </c>
      <c r="F754" t="s">
        <v>168</v>
      </c>
      <c r="G754" t="s">
        <v>134</v>
      </c>
      <c r="H754" t="b">
        <v>0</v>
      </c>
      <c r="K754" t="b">
        <v>0</v>
      </c>
      <c r="L754" t="b">
        <v>0</v>
      </c>
      <c r="M754" t="s">
        <v>1726</v>
      </c>
      <c r="N754" t="s">
        <v>1727</v>
      </c>
    </row>
    <row r="755" spans="1:25" x14ac:dyDescent="0.2">
      <c r="A755">
        <v>8005</v>
      </c>
      <c r="B755" t="s">
        <v>1714</v>
      </c>
      <c r="C755" t="s">
        <v>18</v>
      </c>
      <c r="D755" t="s">
        <v>1728</v>
      </c>
      <c r="E755" t="s">
        <v>1729</v>
      </c>
      <c r="F755" t="s">
        <v>248</v>
      </c>
      <c r="G755" t="s">
        <v>134</v>
      </c>
      <c r="H755" t="b">
        <v>0</v>
      </c>
      <c r="K755" t="b">
        <v>0</v>
      </c>
      <c r="L755" t="b">
        <v>0</v>
      </c>
      <c r="M755" t="s">
        <v>1730</v>
      </c>
      <c r="N755" t="s">
        <v>745</v>
      </c>
    </row>
    <row r="756" spans="1:25" x14ac:dyDescent="0.2">
      <c r="A756">
        <v>8006</v>
      </c>
      <c r="B756" t="s">
        <v>1714</v>
      </c>
      <c r="C756" t="s">
        <v>18</v>
      </c>
      <c r="D756" t="s">
        <v>1731</v>
      </c>
      <c r="E756" t="s">
        <v>1732</v>
      </c>
      <c r="F756" t="s">
        <v>23</v>
      </c>
      <c r="G756" t="s">
        <v>134</v>
      </c>
      <c r="H756" t="b">
        <v>0</v>
      </c>
      <c r="K756" t="b">
        <v>0</v>
      </c>
      <c r="L756" t="b">
        <v>0</v>
      </c>
      <c r="M756" t="s">
        <v>1733</v>
      </c>
    </row>
    <row r="758" spans="1:25" x14ac:dyDescent="0.2">
      <c r="A758" s="2">
        <v>8015</v>
      </c>
      <c r="B758" s="2" t="s">
        <v>1734</v>
      </c>
      <c r="C758" s="2" t="s">
        <v>13</v>
      </c>
      <c r="D758" s="2" t="s">
        <v>1735</v>
      </c>
      <c r="E758" s="2" t="s">
        <v>1736</v>
      </c>
      <c r="F758" s="2" t="s">
        <v>369</v>
      </c>
      <c r="G758" s="2" t="s">
        <v>17</v>
      </c>
      <c r="H758" s="2"/>
      <c r="I758" s="2"/>
      <c r="J758" s="2"/>
      <c r="K758" s="2"/>
      <c r="L758" s="2"/>
      <c r="M758" s="2"/>
      <c r="N758" s="2"/>
      <c r="O758" s="2"/>
      <c r="P758" s="2"/>
      <c r="Q758" s="2"/>
      <c r="R758" s="2"/>
      <c r="S758" s="2"/>
      <c r="T758" s="2"/>
      <c r="U758" s="2"/>
      <c r="V758" s="2"/>
      <c r="W758" s="2"/>
      <c r="X758" s="2"/>
      <c r="Y758" s="2"/>
    </row>
    <row r="759" spans="1:25" x14ac:dyDescent="0.2">
      <c r="A759">
        <v>8016</v>
      </c>
      <c r="B759" t="s">
        <v>1734</v>
      </c>
      <c r="C759" t="s">
        <v>18</v>
      </c>
      <c r="D759" t="s">
        <v>1735</v>
      </c>
      <c r="E759" t="s">
        <v>1736</v>
      </c>
      <c r="F759" t="s">
        <v>369</v>
      </c>
      <c r="G759" t="s">
        <v>17</v>
      </c>
      <c r="H759" t="b">
        <v>1</v>
      </c>
      <c r="I759" t="b">
        <v>1</v>
      </c>
      <c r="L759" t="b">
        <v>1</v>
      </c>
      <c r="M759" t="s">
        <v>1737</v>
      </c>
      <c r="N759" t="s">
        <v>1738</v>
      </c>
    </row>
    <row r="760" spans="1:25" x14ac:dyDescent="0.2">
      <c r="A760">
        <v>8017</v>
      </c>
      <c r="B760" t="s">
        <v>1734</v>
      </c>
      <c r="C760" t="s">
        <v>18</v>
      </c>
      <c r="D760" t="s">
        <v>1739</v>
      </c>
      <c r="E760" t="s">
        <v>1740</v>
      </c>
      <c r="F760" t="s">
        <v>369</v>
      </c>
      <c r="G760" t="s">
        <v>17</v>
      </c>
      <c r="H760" t="b">
        <v>0</v>
      </c>
      <c r="I760" t="b">
        <v>0</v>
      </c>
      <c r="L760" t="b">
        <v>0</v>
      </c>
      <c r="M760" t="s">
        <v>1741</v>
      </c>
    </row>
    <row r="761" spans="1:25" x14ac:dyDescent="0.2">
      <c r="A761">
        <v>8018</v>
      </c>
      <c r="B761" t="s">
        <v>1734</v>
      </c>
      <c r="C761" t="s">
        <v>18</v>
      </c>
      <c r="D761" t="s">
        <v>1742</v>
      </c>
      <c r="E761" t="s">
        <v>1743</v>
      </c>
      <c r="F761" t="s">
        <v>369</v>
      </c>
      <c r="G761" t="s">
        <v>17</v>
      </c>
      <c r="H761" t="b">
        <v>0</v>
      </c>
      <c r="I761" t="b">
        <v>0</v>
      </c>
      <c r="L761" t="b">
        <v>0</v>
      </c>
    </row>
    <row r="762" spans="1:25" x14ac:dyDescent="0.2">
      <c r="A762">
        <v>8019</v>
      </c>
      <c r="B762" t="s">
        <v>1734</v>
      </c>
      <c r="C762" t="s">
        <v>18</v>
      </c>
      <c r="D762" t="s">
        <v>1744</v>
      </c>
      <c r="E762" t="s">
        <v>1745</v>
      </c>
      <c r="F762" t="s">
        <v>369</v>
      </c>
      <c r="G762" t="s">
        <v>17</v>
      </c>
      <c r="H762" t="b">
        <v>0</v>
      </c>
      <c r="I762" t="b">
        <v>0</v>
      </c>
      <c r="L762" t="b">
        <v>0</v>
      </c>
      <c r="M762" t="s">
        <v>1746</v>
      </c>
    </row>
    <row r="763" spans="1:25" x14ac:dyDescent="0.2">
      <c r="A763">
        <v>8020</v>
      </c>
      <c r="B763" t="s">
        <v>1734</v>
      </c>
      <c r="C763" t="s">
        <v>18</v>
      </c>
      <c r="D763" t="s">
        <v>1747</v>
      </c>
      <c r="E763" t="s">
        <v>1748</v>
      </c>
      <c r="F763" t="s">
        <v>369</v>
      </c>
      <c r="G763" t="s">
        <v>17</v>
      </c>
      <c r="H763" t="b">
        <v>0</v>
      </c>
      <c r="I763" t="b">
        <v>0</v>
      </c>
      <c r="L763" t="b">
        <v>0</v>
      </c>
    </row>
    <row r="765" spans="1:25" x14ac:dyDescent="0.2">
      <c r="A765" s="2">
        <v>8022</v>
      </c>
      <c r="B765" s="2" t="s">
        <v>1749</v>
      </c>
      <c r="C765" s="2" t="s">
        <v>13</v>
      </c>
      <c r="D765" s="2" t="s">
        <v>1750</v>
      </c>
      <c r="E765" s="2" t="s">
        <v>1751</v>
      </c>
      <c r="F765" s="2" t="s">
        <v>78</v>
      </c>
      <c r="G765" s="2" t="s">
        <v>1752</v>
      </c>
      <c r="H765" s="2"/>
      <c r="I765" s="2"/>
      <c r="J765" s="2"/>
      <c r="K765" s="2"/>
      <c r="L765" s="2"/>
      <c r="M765" s="2"/>
      <c r="N765" s="2"/>
      <c r="O765" s="2"/>
      <c r="P765" s="2"/>
      <c r="Q765" s="2"/>
      <c r="R765" s="2"/>
      <c r="S765" s="2"/>
      <c r="T765" s="2"/>
      <c r="U765" s="2"/>
      <c r="V765" s="2"/>
      <c r="W765" s="2"/>
      <c r="X765" s="2"/>
      <c r="Y765" s="2"/>
    </row>
    <row r="766" spans="1:25" x14ac:dyDescent="0.2">
      <c r="A766">
        <v>8023</v>
      </c>
      <c r="B766" t="s">
        <v>1749</v>
      </c>
      <c r="C766" t="s">
        <v>18</v>
      </c>
      <c r="D766" t="s">
        <v>1750</v>
      </c>
      <c r="E766" t="s">
        <v>1751</v>
      </c>
      <c r="F766" t="s">
        <v>78</v>
      </c>
      <c r="G766" t="s">
        <v>917</v>
      </c>
      <c r="H766" t="b">
        <v>1</v>
      </c>
      <c r="K766" t="b">
        <v>1</v>
      </c>
      <c r="L766" t="b">
        <v>1</v>
      </c>
      <c r="M766" t="s">
        <v>1753</v>
      </c>
      <c r="N766" t="s">
        <v>1754</v>
      </c>
      <c r="O766" t="s">
        <v>1755</v>
      </c>
    </row>
    <row r="767" spans="1:25" x14ac:dyDescent="0.2">
      <c r="A767">
        <v>8024</v>
      </c>
      <c r="B767" t="s">
        <v>1749</v>
      </c>
      <c r="C767" t="s">
        <v>18</v>
      </c>
      <c r="D767" t="s">
        <v>1756</v>
      </c>
      <c r="E767" t="s">
        <v>1757</v>
      </c>
      <c r="F767" t="s">
        <v>78</v>
      </c>
      <c r="G767" t="s">
        <v>1758</v>
      </c>
      <c r="H767" t="b">
        <v>0</v>
      </c>
      <c r="K767" t="b">
        <v>0</v>
      </c>
      <c r="L767" t="b">
        <v>0</v>
      </c>
      <c r="M767" t="s">
        <v>1759</v>
      </c>
    </row>
    <row r="768" spans="1:25" x14ac:dyDescent="0.2">
      <c r="A768">
        <v>8025</v>
      </c>
      <c r="B768" t="s">
        <v>1749</v>
      </c>
      <c r="C768" t="s">
        <v>18</v>
      </c>
      <c r="D768" t="s">
        <v>1760</v>
      </c>
      <c r="E768" t="s">
        <v>1608</v>
      </c>
      <c r="F768" t="s">
        <v>78</v>
      </c>
      <c r="G768" t="s">
        <v>917</v>
      </c>
      <c r="H768" t="b">
        <v>0</v>
      </c>
      <c r="K768" t="b">
        <v>0</v>
      </c>
      <c r="L768" t="b">
        <v>0</v>
      </c>
      <c r="M768" t="s">
        <v>1761</v>
      </c>
      <c r="N768" t="s">
        <v>1762</v>
      </c>
    </row>
    <row r="769" spans="1:25" x14ac:dyDescent="0.2">
      <c r="A769">
        <v>8026</v>
      </c>
      <c r="B769" t="s">
        <v>1749</v>
      </c>
      <c r="C769" t="s">
        <v>18</v>
      </c>
      <c r="D769" t="s">
        <v>1763</v>
      </c>
      <c r="E769" t="s">
        <v>1764</v>
      </c>
      <c r="F769" t="s">
        <v>78</v>
      </c>
      <c r="G769" t="s">
        <v>917</v>
      </c>
      <c r="H769" t="b">
        <v>0</v>
      </c>
      <c r="K769" t="b">
        <v>0</v>
      </c>
      <c r="L769" t="b">
        <v>0</v>
      </c>
      <c r="M769" t="s">
        <v>1765</v>
      </c>
      <c r="N769" t="s">
        <v>1766</v>
      </c>
    </row>
    <row r="770" spans="1:25" x14ac:dyDescent="0.2">
      <c r="A770">
        <v>8027</v>
      </c>
      <c r="B770" t="s">
        <v>1749</v>
      </c>
      <c r="C770" t="s">
        <v>18</v>
      </c>
      <c r="D770" t="s">
        <v>1767</v>
      </c>
      <c r="E770" t="s">
        <v>1768</v>
      </c>
      <c r="F770" t="s">
        <v>264</v>
      </c>
      <c r="G770" t="s">
        <v>917</v>
      </c>
      <c r="H770" t="b">
        <v>0</v>
      </c>
      <c r="K770" t="b">
        <v>0</v>
      </c>
      <c r="L770" t="b">
        <v>0</v>
      </c>
      <c r="M770" t="s">
        <v>1769</v>
      </c>
    </row>
    <row r="772" spans="1:25" x14ac:dyDescent="0.2">
      <c r="A772" s="2">
        <v>8029</v>
      </c>
      <c r="B772" s="2" t="s">
        <v>1770</v>
      </c>
      <c r="C772" s="2" t="s">
        <v>13</v>
      </c>
      <c r="D772" s="2" t="s">
        <v>1771</v>
      </c>
      <c r="E772" s="2" t="s">
        <v>1772</v>
      </c>
      <c r="F772" s="2" t="s">
        <v>369</v>
      </c>
      <c r="G772" s="2" t="s">
        <v>130</v>
      </c>
      <c r="H772" s="2"/>
      <c r="I772" s="2"/>
      <c r="J772" s="2"/>
      <c r="K772" s="2"/>
      <c r="L772" s="2"/>
      <c r="M772" s="2"/>
      <c r="N772" s="2"/>
      <c r="O772" s="2"/>
      <c r="P772" s="2"/>
      <c r="Q772" s="2"/>
      <c r="R772" s="2"/>
      <c r="S772" s="2"/>
      <c r="T772" s="2"/>
      <c r="U772" s="2"/>
      <c r="V772" s="2"/>
      <c r="W772" s="2"/>
      <c r="X772" s="2"/>
      <c r="Y772" s="2"/>
    </row>
    <row r="773" spans="1:25" x14ac:dyDescent="0.2">
      <c r="A773">
        <v>8030</v>
      </c>
      <c r="B773" t="s">
        <v>1770</v>
      </c>
      <c r="C773" t="s">
        <v>18</v>
      </c>
      <c r="D773" t="s">
        <v>1771</v>
      </c>
      <c r="E773" t="s">
        <v>1772</v>
      </c>
      <c r="F773" t="s">
        <v>369</v>
      </c>
      <c r="G773" t="s">
        <v>130</v>
      </c>
      <c r="H773" t="b">
        <v>1</v>
      </c>
      <c r="I773" t="b">
        <v>1</v>
      </c>
      <c r="L773" t="b">
        <v>1</v>
      </c>
      <c r="M773" t="s">
        <v>1773</v>
      </c>
      <c r="N773" t="s">
        <v>1774</v>
      </c>
    </row>
    <row r="774" spans="1:25" x14ac:dyDescent="0.2">
      <c r="A774">
        <v>8031</v>
      </c>
      <c r="B774" t="s">
        <v>1770</v>
      </c>
      <c r="C774" t="s">
        <v>18</v>
      </c>
      <c r="D774" t="s">
        <v>1775</v>
      </c>
      <c r="E774" t="s">
        <v>1776</v>
      </c>
      <c r="F774" t="s">
        <v>369</v>
      </c>
      <c r="G774" t="s">
        <v>130</v>
      </c>
      <c r="H774" t="b">
        <v>0</v>
      </c>
      <c r="I774" t="b">
        <v>0</v>
      </c>
      <c r="L774" t="b">
        <v>0</v>
      </c>
    </row>
    <row r="775" spans="1:25" x14ac:dyDescent="0.2">
      <c r="A775">
        <v>8032</v>
      </c>
      <c r="B775" t="s">
        <v>1770</v>
      </c>
      <c r="C775" t="s">
        <v>18</v>
      </c>
      <c r="D775" t="s">
        <v>1777</v>
      </c>
      <c r="E775" t="s">
        <v>1778</v>
      </c>
      <c r="F775" t="s">
        <v>369</v>
      </c>
      <c r="G775" t="s">
        <v>17</v>
      </c>
      <c r="H775" t="b">
        <v>0</v>
      </c>
      <c r="I775" t="b">
        <v>0</v>
      </c>
      <c r="L775" t="b">
        <v>0</v>
      </c>
      <c r="M775" t="s">
        <v>1779</v>
      </c>
    </row>
    <row r="776" spans="1:25" x14ac:dyDescent="0.2">
      <c r="A776">
        <v>8033</v>
      </c>
      <c r="B776" t="s">
        <v>1770</v>
      </c>
      <c r="C776" t="s">
        <v>18</v>
      </c>
      <c r="D776" t="s">
        <v>1780</v>
      </c>
      <c r="E776" t="s">
        <v>1781</v>
      </c>
      <c r="F776" t="s">
        <v>369</v>
      </c>
      <c r="G776" t="s">
        <v>252</v>
      </c>
      <c r="H776" t="b">
        <v>0</v>
      </c>
      <c r="I776" t="b">
        <v>0</v>
      </c>
      <c r="L776" t="b">
        <v>0</v>
      </c>
      <c r="M776" t="s">
        <v>1782</v>
      </c>
      <c r="N776" t="s">
        <v>745</v>
      </c>
    </row>
    <row r="777" spans="1:25" x14ac:dyDescent="0.2">
      <c r="A777">
        <v>8034</v>
      </c>
      <c r="B777" t="s">
        <v>1770</v>
      </c>
      <c r="C777" t="s">
        <v>18</v>
      </c>
      <c r="D777" t="s">
        <v>1783</v>
      </c>
      <c r="E777" t="s">
        <v>1784</v>
      </c>
      <c r="F777" t="s">
        <v>369</v>
      </c>
      <c r="G777" t="s">
        <v>17</v>
      </c>
      <c r="H777" t="b">
        <v>0</v>
      </c>
      <c r="I777" t="b">
        <v>0</v>
      </c>
      <c r="L777" t="b">
        <v>0</v>
      </c>
      <c r="M777" t="s">
        <v>1785</v>
      </c>
      <c r="N777" t="s">
        <v>745</v>
      </c>
    </row>
    <row r="779" spans="1:25" x14ac:dyDescent="0.2">
      <c r="A779" s="2">
        <v>8064</v>
      </c>
      <c r="B779" s="2" t="s">
        <v>1786</v>
      </c>
      <c r="C779" s="2" t="s">
        <v>13</v>
      </c>
      <c r="D779" s="2" t="s">
        <v>1787</v>
      </c>
      <c r="E779" s="2" t="s">
        <v>1788</v>
      </c>
      <c r="F779" s="2" t="s">
        <v>248</v>
      </c>
      <c r="G779" s="2" t="s">
        <v>17</v>
      </c>
      <c r="H779" s="2"/>
      <c r="I779" s="2"/>
      <c r="J779" s="2"/>
      <c r="K779" s="2"/>
      <c r="L779" s="2"/>
      <c r="M779" s="2"/>
      <c r="N779" s="2"/>
      <c r="O779" s="2"/>
      <c r="P779" s="2"/>
      <c r="Q779" s="2"/>
      <c r="R779" s="2"/>
      <c r="S779" s="2"/>
      <c r="T779" s="2"/>
      <c r="U779" s="2"/>
      <c r="V779" s="2"/>
      <c r="W779" s="2"/>
      <c r="X779" s="2"/>
      <c r="Y779" s="2"/>
    </row>
    <row r="780" spans="1:25" x14ac:dyDescent="0.2">
      <c r="A780">
        <v>8065</v>
      </c>
      <c r="B780" t="s">
        <v>1786</v>
      </c>
      <c r="C780" t="s">
        <v>18</v>
      </c>
      <c r="D780" t="s">
        <v>1787</v>
      </c>
      <c r="E780" t="s">
        <v>1789</v>
      </c>
      <c r="F780" t="s">
        <v>248</v>
      </c>
      <c r="G780" t="s">
        <v>17</v>
      </c>
      <c r="H780" t="b">
        <v>1</v>
      </c>
      <c r="K780" t="b">
        <v>1</v>
      </c>
      <c r="L780" t="b">
        <v>1</v>
      </c>
      <c r="M780" t="s">
        <v>1790</v>
      </c>
      <c r="N780" t="s">
        <v>1791</v>
      </c>
    </row>
    <row r="781" spans="1:25" x14ac:dyDescent="0.2">
      <c r="A781">
        <v>8066</v>
      </c>
      <c r="B781" t="s">
        <v>1786</v>
      </c>
      <c r="C781" t="s">
        <v>18</v>
      </c>
      <c r="D781" t="s">
        <v>1792</v>
      </c>
      <c r="E781" t="s">
        <v>1793</v>
      </c>
      <c r="F781" t="s">
        <v>248</v>
      </c>
      <c r="G781" t="s">
        <v>17</v>
      </c>
      <c r="H781" t="b">
        <v>0</v>
      </c>
      <c r="K781" t="b">
        <v>0</v>
      </c>
      <c r="L781" t="b">
        <v>0</v>
      </c>
    </row>
    <row r="782" spans="1:25" x14ac:dyDescent="0.2">
      <c r="A782">
        <v>8067</v>
      </c>
      <c r="B782" t="s">
        <v>1786</v>
      </c>
      <c r="C782" t="s">
        <v>18</v>
      </c>
      <c r="D782" t="s">
        <v>1794</v>
      </c>
      <c r="E782" t="s">
        <v>1795</v>
      </c>
      <c r="F782" t="s">
        <v>248</v>
      </c>
      <c r="G782" t="s">
        <v>17</v>
      </c>
      <c r="H782" t="b">
        <v>0</v>
      </c>
      <c r="K782" t="b">
        <v>0</v>
      </c>
      <c r="L782" t="b">
        <v>0</v>
      </c>
      <c r="M782" t="s">
        <v>1796</v>
      </c>
      <c r="N782" t="s">
        <v>1797</v>
      </c>
    </row>
    <row r="783" spans="1:25" x14ac:dyDescent="0.2">
      <c r="A783">
        <v>8068</v>
      </c>
      <c r="B783" t="s">
        <v>1786</v>
      </c>
      <c r="C783" t="s">
        <v>18</v>
      </c>
      <c r="D783" t="s">
        <v>1798</v>
      </c>
      <c r="E783" t="s">
        <v>1799</v>
      </c>
      <c r="F783" t="s">
        <v>248</v>
      </c>
      <c r="G783" t="s">
        <v>17</v>
      </c>
      <c r="H783" t="b">
        <v>0</v>
      </c>
      <c r="K783" t="b">
        <v>0</v>
      </c>
      <c r="L783" t="b">
        <v>0</v>
      </c>
      <c r="M783" t="s">
        <v>1800</v>
      </c>
      <c r="N783" t="s">
        <v>1801</v>
      </c>
    </row>
    <row r="784" spans="1:25" x14ac:dyDescent="0.2">
      <c r="A784">
        <v>8069</v>
      </c>
      <c r="B784" t="s">
        <v>1786</v>
      </c>
      <c r="C784" t="s">
        <v>18</v>
      </c>
      <c r="D784" t="s">
        <v>1802</v>
      </c>
      <c r="E784" t="s">
        <v>1803</v>
      </c>
      <c r="F784" t="s">
        <v>248</v>
      </c>
      <c r="G784" t="s">
        <v>252</v>
      </c>
      <c r="H784" t="b">
        <v>0</v>
      </c>
      <c r="K784" t="b">
        <v>0</v>
      </c>
      <c r="L784" t="b">
        <v>0</v>
      </c>
    </row>
    <row r="786" spans="1:25" x14ac:dyDescent="0.2">
      <c r="A786" s="2">
        <v>8071</v>
      </c>
      <c r="B786" s="2" t="s">
        <v>1804</v>
      </c>
      <c r="C786" s="2" t="s">
        <v>13</v>
      </c>
      <c r="D786" s="2" t="s">
        <v>1805</v>
      </c>
      <c r="E786" s="2" t="s">
        <v>1806</v>
      </c>
      <c r="F786" s="2" t="s">
        <v>16</v>
      </c>
      <c r="G786" s="2" t="s">
        <v>24</v>
      </c>
      <c r="H786" s="2"/>
      <c r="I786" s="2"/>
      <c r="J786" s="2"/>
      <c r="K786" s="2"/>
      <c r="L786" s="2"/>
      <c r="M786" s="2"/>
      <c r="N786" s="2"/>
      <c r="O786" s="2"/>
      <c r="P786" s="2"/>
      <c r="Q786" s="2"/>
      <c r="R786" s="2"/>
      <c r="S786" s="2"/>
      <c r="T786" s="2"/>
      <c r="U786" s="2"/>
      <c r="V786" s="2"/>
      <c r="W786" s="2"/>
      <c r="X786" s="2"/>
      <c r="Y786" s="2"/>
    </row>
    <row r="787" spans="1:25" x14ac:dyDescent="0.2">
      <c r="A787">
        <v>8072</v>
      </c>
      <c r="B787" t="s">
        <v>1804</v>
      </c>
      <c r="C787" t="s">
        <v>18</v>
      </c>
      <c r="D787" t="s">
        <v>1805</v>
      </c>
      <c r="E787" t="s">
        <v>1806</v>
      </c>
      <c r="F787" t="s">
        <v>16</v>
      </c>
      <c r="G787" t="s">
        <v>24</v>
      </c>
      <c r="H787" t="b">
        <v>1</v>
      </c>
      <c r="I787" t="b">
        <v>1</v>
      </c>
      <c r="L787" t="b">
        <v>1</v>
      </c>
      <c r="M787" t="s">
        <v>1807</v>
      </c>
      <c r="N787" t="s">
        <v>745</v>
      </c>
      <c r="O787" t="s">
        <v>1808</v>
      </c>
    </row>
    <row r="788" spans="1:25" x14ac:dyDescent="0.2">
      <c r="A788">
        <v>8073</v>
      </c>
      <c r="B788" t="s">
        <v>1804</v>
      </c>
      <c r="C788" t="s">
        <v>18</v>
      </c>
      <c r="D788" t="s">
        <v>1809</v>
      </c>
      <c r="E788" t="s">
        <v>1810</v>
      </c>
      <c r="F788" t="s">
        <v>16</v>
      </c>
      <c r="G788" t="s">
        <v>24</v>
      </c>
      <c r="H788" t="b">
        <v>0</v>
      </c>
      <c r="I788" t="b">
        <v>0</v>
      </c>
      <c r="L788" t="b">
        <v>0</v>
      </c>
      <c r="M788" t="s">
        <v>1811</v>
      </c>
      <c r="N788" t="s">
        <v>1812</v>
      </c>
    </row>
    <row r="789" spans="1:25" x14ac:dyDescent="0.2">
      <c r="A789">
        <v>8074</v>
      </c>
      <c r="B789" t="s">
        <v>1804</v>
      </c>
      <c r="C789" t="s">
        <v>18</v>
      </c>
      <c r="D789" t="s">
        <v>1813</v>
      </c>
      <c r="E789" t="s">
        <v>1814</v>
      </c>
      <c r="F789" t="s">
        <v>16</v>
      </c>
      <c r="G789" t="s">
        <v>24</v>
      </c>
      <c r="H789" t="b">
        <v>0</v>
      </c>
      <c r="I789" t="b">
        <v>0</v>
      </c>
      <c r="L789" t="b">
        <v>0</v>
      </c>
      <c r="M789" t="s">
        <v>1815</v>
      </c>
      <c r="N789" t="s">
        <v>745</v>
      </c>
    </row>
    <row r="790" spans="1:25" x14ac:dyDescent="0.2">
      <c r="A790">
        <v>8075</v>
      </c>
      <c r="B790" t="s">
        <v>1804</v>
      </c>
      <c r="C790" t="s">
        <v>18</v>
      </c>
      <c r="D790" t="s">
        <v>1816</v>
      </c>
      <c r="E790" t="s">
        <v>1817</v>
      </c>
      <c r="F790" t="s">
        <v>16</v>
      </c>
      <c r="G790" t="s">
        <v>24</v>
      </c>
      <c r="H790" t="b">
        <v>0</v>
      </c>
      <c r="I790" t="b">
        <v>0</v>
      </c>
      <c r="L790" t="b">
        <v>0</v>
      </c>
      <c r="M790" t="s">
        <v>1818</v>
      </c>
      <c r="N790" t="s">
        <v>745</v>
      </c>
    </row>
    <row r="791" spans="1:25" x14ac:dyDescent="0.2">
      <c r="A791">
        <v>8076</v>
      </c>
      <c r="B791" t="s">
        <v>1804</v>
      </c>
      <c r="C791" t="s">
        <v>18</v>
      </c>
      <c r="D791" t="s">
        <v>1819</v>
      </c>
      <c r="E791" t="s">
        <v>1820</v>
      </c>
      <c r="F791" t="s">
        <v>16</v>
      </c>
      <c r="G791" t="s">
        <v>24</v>
      </c>
      <c r="H791" t="b">
        <v>0</v>
      </c>
      <c r="I791" t="b">
        <v>0</v>
      </c>
      <c r="L791" t="b">
        <v>0</v>
      </c>
    </row>
    <row r="793" spans="1:25" x14ac:dyDescent="0.2">
      <c r="A793" s="2">
        <v>8078</v>
      </c>
      <c r="B793" s="2" t="s">
        <v>1821</v>
      </c>
      <c r="C793" s="2" t="s">
        <v>13</v>
      </c>
      <c r="D793" s="2" t="s">
        <v>1822</v>
      </c>
      <c r="E793" s="2" t="s">
        <v>1823</v>
      </c>
      <c r="F793" s="2" t="s">
        <v>16</v>
      </c>
      <c r="G793" s="2" t="s">
        <v>24</v>
      </c>
      <c r="H793" s="2"/>
      <c r="I793" s="2"/>
      <c r="J793" s="2"/>
      <c r="K793" s="2"/>
      <c r="L793" s="2"/>
      <c r="M793" s="2"/>
      <c r="N793" s="2"/>
      <c r="O793" s="2"/>
      <c r="P793" s="2"/>
      <c r="Q793" s="2"/>
      <c r="R793" s="2"/>
      <c r="S793" s="2"/>
      <c r="T793" s="2"/>
      <c r="U793" s="2"/>
      <c r="V793" s="2"/>
      <c r="W793" s="2"/>
      <c r="X793" s="2"/>
      <c r="Y793" s="2"/>
    </row>
    <row r="794" spans="1:25" x14ac:dyDescent="0.2">
      <c r="A794">
        <v>8079</v>
      </c>
      <c r="B794" t="s">
        <v>1821</v>
      </c>
      <c r="C794" t="s">
        <v>18</v>
      </c>
      <c r="D794" t="s">
        <v>1822</v>
      </c>
      <c r="E794" t="s">
        <v>381</v>
      </c>
      <c r="F794" t="s">
        <v>16</v>
      </c>
      <c r="G794" t="s">
        <v>24</v>
      </c>
      <c r="H794" t="b">
        <v>1</v>
      </c>
      <c r="K794" t="b">
        <v>1</v>
      </c>
      <c r="L794" t="b">
        <v>1</v>
      </c>
    </row>
    <row r="795" spans="1:25" x14ac:dyDescent="0.2">
      <c r="A795">
        <v>8080</v>
      </c>
      <c r="B795" t="s">
        <v>1821</v>
      </c>
      <c r="C795" t="s">
        <v>18</v>
      </c>
      <c r="D795" t="s">
        <v>1824</v>
      </c>
      <c r="E795" t="s">
        <v>381</v>
      </c>
      <c r="F795" t="s">
        <v>159</v>
      </c>
      <c r="G795" t="s">
        <v>24</v>
      </c>
      <c r="H795" t="b">
        <v>0</v>
      </c>
      <c r="K795" t="b">
        <v>0</v>
      </c>
      <c r="L795" t="b">
        <v>0</v>
      </c>
      <c r="M795" t="s">
        <v>1825</v>
      </c>
    </row>
    <row r="796" spans="1:25" x14ac:dyDescent="0.2">
      <c r="A796">
        <v>8081</v>
      </c>
      <c r="B796" t="s">
        <v>1821</v>
      </c>
      <c r="C796" t="s">
        <v>18</v>
      </c>
      <c r="D796" t="s">
        <v>1826</v>
      </c>
      <c r="E796" t="s">
        <v>381</v>
      </c>
      <c r="F796" t="s">
        <v>174</v>
      </c>
      <c r="G796" t="s">
        <v>24</v>
      </c>
      <c r="H796" t="b">
        <v>0</v>
      </c>
      <c r="K796" t="b">
        <v>0</v>
      </c>
      <c r="L796" t="b">
        <v>0</v>
      </c>
      <c r="M796" t="s">
        <v>1827</v>
      </c>
      <c r="N796" t="s">
        <v>1828</v>
      </c>
    </row>
    <row r="797" spans="1:25" x14ac:dyDescent="0.2">
      <c r="A797">
        <v>8082</v>
      </c>
      <c r="B797" t="s">
        <v>1821</v>
      </c>
      <c r="C797" t="s">
        <v>18</v>
      </c>
      <c r="D797" t="s">
        <v>1829</v>
      </c>
      <c r="E797" t="s">
        <v>19</v>
      </c>
      <c r="F797" t="s">
        <v>16</v>
      </c>
      <c r="G797" t="s">
        <v>24</v>
      </c>
      <c r="H797" t="b">
        <v>1</v>
      </c>
      <c r="K797" t="b">
        <v>1</v>
      </c>
      <c r="L797" t="b">
        <v>1</v>
      </c>
      <c r="M797" t="s">
        <v>1830</v>
      </c>
    </row>
    <row r="798" spans="1:25" x14ac:dyDescent="0.2">
      <c r="A798">
        <v>8083</v>
      </c>
      <c r="B798" t="s">
        <v>1821</v>
      </c>
      <c r="C798" t="s">
        <v>18</v>
      </c>
      <c r="D798" t="s">
        <v>1831</v>
      </c>
      <c r="E798" t="s">
        <v>381</v>
      </c>
      <c r="F798" t="s">
        <v>369</v>
      </c>
      <c r="G798" t="s">
        <v>24</v>
      </c>
      <c r="H798" t="b">
        <v>0</v>
      </c>
      <c r="K798" t="b">
        <v>0</v>
      </c>
      <c r="L798" t="b">
        <v>0</v>
      </c>
      <c r="M798" t="s">
        <v>1832</v>
      </c>
    </row>
    <row r="800" spans="1:25" x14ac:dyDescent="0.2">
      <c r="A800" s="2">
        <v>8092</v>
      </c>
      <c r="B800" s="2" t="s">
        <v>1833</v>
      </c>
      <c r="C800" s="2" t="s">
        <v>13</v>
      </c>
      <c r="D800" s="2" t="s">
        <v>1834</v>
      </c>
      <c r="E800" s="2" t="s">
        <v>1835</v>
      </c>
      <c r="F800" s="2" t="s">
        <v>159</v>
      </c>
      <c r="G800" s="2" t="s">
        <v>252</v>
      </c>
      <c r="H800" s="2"/>
      <c r="I800" s="2"/>
      <c r="J800" s="2"/>
      <c r="K800" s="2"/>
      <c r="L800" s="2"/>
      <c r="M800" s="2"/>
      <c r="N800" s="2"/>
      <c r="O800" s="2"/>
      <c r="P800" s="2"/>
      <c r="Q800" s="2"/>
      <c r="R800" s="2"/>
      <c r="S800" s="2"/>
      <c r="T800" s="2"/>
      <c r="U800" s="2"/>
      <c r="V800" s="2"/>
      <c r="W800" s="2"/>
      <c r="X800" s="2"/>
      <c r="Y800" s="2"/>
    </row>
    <row r="801" spans="1:25" x14ac:dyDescent="0.2">
      <c r="A801">
        <v>8093</v>
      </c>
      <c r="B801" t="s">
        <v>1833</v>
      </c>
      <c r="C801" t="s">
        <v>18</v>
      </c>
      <c r="D801" t="s">
        <v>1836</v>
      </c>
      <c r="E801" t="s">
        <v>1835</v>
      </c>
      <c r="F801" t="s">
        <v>1837</v>
      </c>
      <c r="G801" t="s">
        <v>252</v>
      </c>
      <c r="H801" t="b">
        <v>1</v>
      </c>
      <c r="I801" t="b">
        <v>1</v>
      </c>
      <c r="L801" t="b">
        <v>1</v>
      </c>
      <c r="M801" t="s">
        <v>1838</v>
      </c>
      <c r="N801" t="s">
        <v>745</v>
      </c>
    </row>
    <row r="802" spans="1:25" x14ac:dyDescent="0.2">
      <c r="A802">
        <v>8094</v>
      </c>
      <c r="B802" t="s">
        <v>1833</v>
      </c>
      <c r="C802" t="s">
        <v>18</v>
      </c>
      <c r="D802" t="s">
        <v>1033</v>
      </c>
      <c r="E802" t="s">
        <v>1034</v>
      </c>
      <c r="F802" t="s">
        <v>16</v>
      </c>
      <c r="G802" t="s">
        <v>252</v>
      </c>
      <c r="H802" t="b">
        <v>1</v>
      </c>
      <c r="I802" t="b">
        <v>0</v>
      </c>
      <c r="L802" t="b">
        <v>0</v>
      </c>
      <c r="M802" t="s">
        <v>1035</v>
      </c>
      <c r="N802" t="s">
        <v>1036</v>
      </c>
    </row>
    <row r="803" spans="1:25" x14ac:dyDescent="0.2">
      <c r="A803">
        <v>8095</v>
      </c>
      <c r="B803" t="s">
        <v>1833</v>
      </c>
      <c r="C803" t="s">
        <v>18</v>
      </c>
      <c r="D803" t="s">
        <v>1839</v>
      </c>
      <c r="E803" t="s">
        <v>1840</v>
      </c>
      <c r="F803" t="s">
        <v>82</v>
      </c>
      <c r="G803" t="s">
        <v>17</v>
      </c>
      <c r="H803" t="b">
        <v>0</v>
      </c>
      <c r="I803" t="b">
        <v>0</v>
      </c>
      <c r="L803" t="b">
        <v>0</v>
      </c>
      <c r="M803" t="s">
        <v>1841</v>
      </c>
      <c r="N803" t="s">
        <v>1842</v>
      </c>
    </row>
    <row r="804" spans="1:25" x14ac:dyDescent="0.2">
      <c r="A804">
        <v>8096</v>
      </c>
      <c r="B804" t="s">
        <v>1833</v>
      </c>
      <c r="C804" t="s">
        <v>18</v>
      </c>
      <c r="D804" t="s">
        <v>1843</v>
      </c>
      <c r="E804" t="s">
        <v>1844</v>
      </c>
      <c r="F804" t="s">
        <v>159</v>
      </c>
      <c r="G804" t="s">
        <v>252</v>
      </c>
      <c r="H804" t="b">
        <v>1</v>
      </c>
      <c r="I804" t="b">
        <v>0</v>
      </c>
      <c r="L804" t="b">
        <v>0</v>
      </c>
      <c r="M804" t="s">
        <v>1845</v>
      </c>
    </row>
    <row r="805" spans="1:25" x14ac:dyDescent="0.2">
      <c r="A805">
        <v>8097</v>
      </c>
      <c r="B805" t="s">
        <v>1833</v>
      </c>
      <c r="C805" t="s">
        <v>18</v>
      </c>
      <c r="D805" t="s">
        <v>1846</v>
      </c>
      <c r="E805" t="s">
        <v>1847</v>
      </c>
      <c r="F805" t="s">
        <v>31</v>
      </c>
      <c r="G805" t="s">
        <v>252</v>
      </c>
      <c r="H805" t="b">
        <v>0</v>
      </c>
      <c r="I805" t="b">
        <v>0</v>
      </c>
      <c r="L805" t="b">
        <v>0</v>
      </c>
    </row>
    <row r="807" spans="1:25" x14ac:dyDescent="0.2">
      <c r="A807" s="2">
        <v>8113</v>
      </c>
      <c r="B807" s="2" t="s">
        <v>1848</v>
      </c>
      <c r="C807" s="2" t="s">
        <v>13</v>
      </c>
      <c r="D807" s="2" t="s">
        <v>1849</v>
      </c>
      <c r="E807" s="2" t="s">
        <v>1850</v>
      </c>
      <c r="F807" s="2" t="s">
        <v>248</v>
      </c>
      <c r="G807" s="2" t="s">
        <v>134</v>
      </c>
      <c r="H807" s="2"/>
      <c r="I807" s="2"/>
      <c r="J807" s="2"/>
      <c r="K807" s="2"/>
      <c r="L807" s="2"/>
      <c r="M807" s="2"/>
      <c r="N807" s="2"/>
      <c r="O807" s="2"/>
      <c r="P807" s="2"/>
      <c r="Q807" s="2"/>
      <c r="R807" s="2"/>
      <c r="S807" s="2"/>
      <c r="T807" s="2"/>
      <c r="U807" s="2"/>
      <c r="V807" s="2"/>
      <c r="W807" s="2"/>
      <c r="X807" s="2"/>
      <c r="Y807" s="2"/>
    </row>
    <row r="808" spans="1:25" x14ac:dyDescent="0.2">
      <c r="A808">
        <v>8114</v>
      </c>
      <c r="B808" t="s">
        <v>1848</v>
      </c>
      <c r="C808" t="s">
        <v>18</v>
      </c>
      <c r="D808" t="s">
        <v>1851</v>
      </c>
      <c r="E808" t="s">
        <v>1850</v>
      </c>
      <c r="F808" t="s">
        <v>248</v>
      </c>
      <c r="G808" t="s">
        <v>134</v>
      </c>
      <c r="H808" t="b">
        <v>1</v>
      </c>
      <c r="K808" t="b">
        <v>1</v>
      </c>
      <c r="L808" t="b">
        <v>1</v>
      </c>
      <c r="M808" t="s">
        <v>1852</v>
      </c>
      <c r="N808" t="s">
        <v>1853</v>
      </c>
    </row>
    <row r="809" spans="1:25" x14ac:dyDescent="0.2">
      <c r="A809">
        <v>8115</v>
      </c>
      <c r="B809" t="s">
        <v>1848</v>
      </c>
      <c r="C809" t="s">
        <v>18</v>
      </c>
      <c r="D809" t="s">
        <v>1854</v>
      </c>
      <c r="E809" t="s">
        <v>1855</v>
      </c>
      <c r="F809" t="s">
        <v>248</v>
      </c>
      <c r="G809" t="s">
        <v>134</v>
      </c>
      <c r="H809" t="b">
        <v>0</v>
      </c>
      <c r="K809" t="b">
        <v>0</v>
      </c>
      <c r="L809" t="b">
        <v>0</v>
      </c>
    </row>
    <row r="810" spans="1:25" x14ac:dyDescent="0.2">
      <c r="A810">
        <v>8116</v>
      </c>
      <c r="B810" t="s">
        <v>1848</v>
      </c>
      <c r="C810" t="s">
        <v>18</v>
      </c>
      <c r="D810" t="s">
        <v>1856</v>
      </c>
      <c r="E810" t="s">
        <v>1857</v>
      </c>
      <c r="F810" t="s">
        <v>248</v>
      </c>
      <c r="G810" t="s">
        <v>134</v>
      </c>
      <c r="H810" t="b">
        <v>0</v>
      </c>
      <c r="K810" t="b">
        <v>0</v>
      </c>
      <c r="L810" t="b">
        <v>0</v>
      </c>
    </row>
    <row r="811" spans="1:25" x14ac:dyDescent="0.2">
      <c r="A811">
        <v>8117</v>
      </c>
      <c r="B811" t="s">
        <v>1848</v>
      </c>
      <c r="C811" t="s">
        <v>18</v>
      </c>
      <c r="D811" t="s">
        <v>1858</v>
      </c>
      <c r="E811" t="s">
        <v>1859</v>
      </c>
      <c r="F811" t="s">
        <v>248</v>
      </c>
      <c r="G811" t="s">
        <v>134</v>
      </c>
      <c r="H811" t="b">
        <v>0</v>
      </c>
      <c r="K811" t="b">
        <v>0</v>
      </c>
      <c r="L811" t="b">
        <v>0</v>
      </c>
      <c r="M811" t="s">
        <v>1860</v>
      </c>
      <c r="N811" t="s">
        <v>1861</v>
      </c>
    </row>
    <row r="812" spans="1:25" x14ac:dyDescent="0.2">
      <c r="A812">
        <v>8118</v>
      </c>
      <c r="B812" t="s">
        <v>1848</v>
      </c>
      <c r="C812" t="s">
        <v>18</v>
      </c>
      <c r="D812" t="s">
        <v>1862</v>
      </c>
      <c r="E812" t="s">
        <v>1863</v>
      </c>
      <c r="F812" t="s">
        <v>248</v>
      </c>
      <c r="G812" t="s">
        <v>134</v>
      </c>
      <c r="H812" t="b">
        <v>0</v>
      </c>
      <c r="K812" t="b">
        <v>0</v>
      </c>
      <c r="L812" t="b">
        <v>0</v>
      </c>
    </row>
    <row r="814" spans="1:25" x14ac:dyDescent="0.2">
      <c r="A814" s="2">
        <v>812</v>
      </c>
      <c r="B814" s="2" t="s">
        <v>1864</v>
      </c>
      <c r="C814" s="2" t="s">
        <v>13</v>
      </c>
      <c r="D814" s="2" t="s">
        <v>1865</v>
      </c>
      <c r="E814" s="2" t="s">
        <v>1866</v>
      </c>
      <c r="F814" s="2" t="s">
        <v>196</v>
      </c>
      <c r="G814" s="2" t="s">
        <v>1867</v>
      </c>
      <c r="H814" s="2"/>
      <c r="I814" s="2"/>
      <c r="J814" s="2"/>
      <c r="K814" s="2"/>
      <c r="L814" s="2"/>
      <c r="M814" s="2"/>
      <c r="N814" s="2"/>
      <c r="O814" s="2"/>
      <c r="P814" s="2"/>
      <c r="Q814" s="2"/>
      <c r="R814" s="2"/>
      <c r="S814" s="2"/>
      <c r="T814" s="2"/>
      <c r="U814" s="2"/>
      <c r="V814" s="2"/>
      <c r="W814" s="2"/>
      <c r="X814" s="2"/>
      <c r="Y814" s="2"/>
    </row>
    <row r="815" spans="1:25" x14ac:dyDescent="0.2">
      <c r="A815">
        <v>813</v>
      </c>
      <c r="B815" t="s">
        <v>1864</v>
      </c>
      <c r="C815" t="s">
        <v>18</v>
      </c>
      <c r="D815" t="s">
        <v>1868</v>
      </c>
      <c r="E815" t="s">
        <v>1866</v>
      </c>
      <c r="F815" t="s">
        <v>196</v>
      </c>
      <c r="G815" t="s">
        <v>1867</v>
      </c>
      <c r="H815" t="b">
        <v>1</v>
      </c>
      <c r="I815" t="b">
        <v>1</v>
      </c>
      <c r="L815" t="b">
        <v>1</v>
      </c>
      <c r="M815" t="s">
        <v>1869</v>
      </c>
      <c r="N815" t="s">
        <v>1870</v>
      </c>
      <c r="O815" t="s">
        <v>1871</v>
      </c>
    </row>
    <row r="816" spans="1:25" x14ac:dyDescent="0.2">
      <c r="A816">
        <v>814</v>
      </c>
      <c r="B816" t="s">
        <v>1864</v>
      </c>
      <c r="C816" t="s">
        <v>18</v>
      </c>
      <c r="D816" t="s">
        <v>1872</v>
      </c>
      <c r="E816" t="s">
        <v>1873</v>
      </c>
      <c r="F816" t="s">
        <v>45</v>
      </c>
      <c r="G816" t="s">
        <v>638</v>
      </c>
      <c r="H816" t="b">
        <v>0</v>
      </c>
      <c r="I816" t="b">
        <v>0</v>
      </c>
      <c r="L816" t="b">
        <v>0</v>
      </c>
      <c r="M816" t="s">
        <v>1874</v>
      </c>
      <c r="N816" t="s">
        <v>745</v>
      </c>
    </row>
    <row r="817" spans="1:25" x14ac:dyDescent="0.2">
      <c r="A817">
        <v>815</v>
      </c>
      <c r="B817" t="s">
        <v>1864</v>
      </c>
      <c r="C817" t="s">
        <v>18</v>
      </c>
      <c r="D817" t="s">
        <v>1875</v>
      </c>
      <c r="E817" t="s">
        <v>1876</v>
      </c>
      <c r="F817" t="s">
        <v>82</v>
      </c>
      <c r="G817" t="s">
        <v>88</v>
      </c>
      <c r="H817" t="b">
        <v>0</v>
      </c>
      <c r="I817" t="b">
        <v>0</v>
      </c>
      <c r="L817" t="b">
        <v>0</v>
      </c>
    </row>
    <row r="818" spans="1:25" x14ac:dyDescent="0.2">
      <c r="A818">
        <v>816</v>
      </c>
      <c r="B818" t="s">
        <v>1864</v>
      </c>
      <c r="C818" t="s">
        <v>18</v>
      </c>
      <c r="D818" t="s">
        <v>1877</v>
      </c>
      <c r="E818" t="s">
        <v>1878</v>
      </c>
      <c r="F818" t="s">
        <v>196</v>
      </c>
      <c r="G818" t="s">
        <v>62</v>
      </c>
      <c r="H818" t="b">
        <v>0</v>
      </c>
      <c r="I818" t="b">
        <v>0</v>
      </c>
      <c r="L818" t="b">
        <v>0</v>
      </c>
    </row>
    <row r="819" spans="1:25" x14ac:dyDescent="0.2">
      <c r="A819">
        <v>817</v>
      </c>
      <c r="B819" t="s">
        <v>1864</v>
      </c>
      <c r="C819" t="s">
        <v>18</v>
      </c>
      <c r="D819" t="s">
        <v>1879</v>
      </c>
      <c r="E819" t="s">
        <v>244</v>
      </c>
      <c r="F819" t="s">
        <v>82</v>
      </c>
      <c r="G819" t="s">
        <v>1867</v>
      </c>
      <c r="H819" t="b">
        <v>0</v>
      </c>
      <c r="I819" t="b">
        <v>0</v>
      </c>
      <c r="L819" t="b">
        <v>0</v>
      </c>
      <c r="M819" t="s">
        <v>1880</v>
      </c>
    </row>
    <row r="821" spans="1:25" x14ac:dyDescent="0.2">
      <c r="A821" s="2">
        <v>833</v>
      </c>
      <c r="B821" s="2" t="s">
        <v>1881</v>
      </c>
      <c r="C821" s="2" t="s">
        <v>13</v>
      </c>
      <c r="D821" s="2" t="s">
        <v>1882</v>
      </c>
      <c r="E821" s="2" t="s">
        <v>1883</v>
      </c>
      <c r="F821" s="2" t="s">
        <v>420</v>
      </c>
      <c r="G821" s="2" t="s">
        <v>88</v>
      </c>
      <c r="H821" s="2"/>
      <c r="I821" s="2"/>
      <c r="J821" s="2"/>
      <c r="K821" s="2"/>
      <c r="L821" s="2"/>
      <c r="M821" s="2"/>
      <c r="N821" s="2"/>
      <c r="O821" s="2"/>
      <c r="P821" s="2"/>
      <c r="Q821" s="2"/>
      <c r="R821" s="2"/>
      <c r="S821" s="2"/>
      <c r="T821" s="2"/>
      <c r="U821" s="2"/>
      <c r="V821" s="2"/>
      <c r="W821" s="2"/>
      <c r="X821" s="2"/>
      <c r="Y821" s="2"/>
    </row>
    <row r="822" spans="1:25" x14ac:dyDescent="0.2">
      <c r="A822">
        <v>834</v>
      </c>
      <c r="B822" t="s">
        <v>1881</v>
      </c>
      <c r="C822" t="s">
        <v>18</v>
      </c>
      <c r="D822" t="s">
        <v>1882</v>
      </c>
      <c r="E822" t="s">
        <v>1884</v>
      </c>
      <c r="F822" t="s">
        <v>420</v>
      </c>
      <c r="G822" t="s">
        <v>88</v>
      </c>
      <c r="H822" t="b">
        <v>1</v>
      </c>
      <c r="I822" t="b">
        <v>1</v>
      </c>
      <c r="L822" t="b">
        <v>1</v>
      </c>
      <c r="M822" t="s">
        <v>1885</v>
      </c>
      <c r="N822" t="s">
        <v>1886</v>
      </c>
    </row>
    <row r="823" spans="1:25" x14ac:dyDescent="0.2">
      <c r="A823">
        <v>835</v>
      </c>
      <c r="B823" t="s">
        <v>1881</v>
      </c>
      <c r="C823" t="s">
        <v>18</v>
      </c>
      <c r="D823" t="s">
        <v>1887</v>
      </c>
      <c r="E823" t="s">
        <v>1888</v>
      </c>
      <c r="F823" t="s">
        <v>420</v>
      </c>
      <c r="G823" t="s">
        <v>88</v>
      </c>
      <c r="H823" t="b">
        <v>0</v>
      </c>
      <c r="I823" t="b">
        <v>0</v>
      </c>
      <c r="L823" t="b">
        <v>0</v>
      </c>
      <c r="M823" t="s">
        <v>1889</v>
      </c>
    </row>
    <row r="824" spans="1:25" x14ac:dyDescent="0.2">
      <c r="A824">
        <v>836</v>
      </c>
      <c r="B824" t="s">
        <v>1881</v>
      </c>
      <c r="C824" t="s">
        <v>18</v>
      </c>
      <c r="D824" t="s">
        <v>1890</v>
      </c>
      <c r="E824" t="s">
        <v>1891</v>
      </c>
      <c r="F824" t="s">
        <v>420</v>
      </c>
      <c r="G824" t="s">
        <v>88</v>
      </c>
      <c r="H824" t="b">
        <v>0</v>
      </c>
      <c r="I824" t="b">
        <v>0</v>
      </c>
      <c r="L824" t="b">
        <v>0</v>
      </c>
    </row>
    <row r="825" spans="1:25" x14ac:dyDescent="0.2">
      <c r="A825">
        <v>837</v>
      </c>
      <c r="B825" t="s">
        <v>1881</v>
      </c>
      <c r="C825" t="s">
        <v>18</v>
      </c>
      <c r="D825" t="s">
        <v>1892</v>
      </c>
      <c r="E825" t="s">
        <v>1893</v>
      </c>
      <c r="F825" t="s">
        <v>420</v>
      </c>
      <c r="G825" t="s">
        <v>88</v>
      </c>
      <c r="H825" t="b">
        <v>0</v>
      </c>
      <c r="I825" t="b">
        <v>0</v>
      </c>
      <c r="L825" t="b">
        <v>0</v>
      </c>
      <c r="M825" t="s">
        <v>1894</v>
      </c>
    </row>
    <row r="826" spans="1:25" x14ac:dyDescent="0.2">
      <c r="A826">
        <v>838</v>
      </c>
      <c r="B826" t="s">
        <v>1881</v>
      </c>
      <c r="C826" t="s">
        <v>18</v>
      </c>
      <c r="D826" t="s">
        <v>442</v>
      </c>
      <c r="E826" t="s">
        <v>443</v>
      </c>
      <c r="F826" t="s">
        <v>420</v>
      </c>
      <c r="G826" t="s">
        <v>88</v>
      </c>
      <c r="H826" t="b">
        <v>1</v>
      </c>
      <c r="I826" t="b">
        <v>0</v>
      </c>
      <c r="L826" t="b">
        <v>0</v>
      </c>
    </row>
    <row r="828" spans="1:25" x14ac:dyDescent="0.2">
      <c r="A828" s="2">
        <v>840</v>
      </c>
      <c r="B828" s="2" t="s">
        <v>1895</v>
      </c>
      <c r="C828" s="2" t="s">
        <v>13</v>
      </c>
      <c r="D828" s="2" t="s">
        <v>1896</v>
      </c>
      <c r="E828" s="2" t="s">
        <v>1897</v>
      </c>
      <c r="F828" s="2" t="s">
        <v>151</v>
      </c>
      <c r="G828" s="2" t="s">
        <v>17</v>
      </c>
      <c r="H828" s="2"/>
      <c r="I828" s="2"/>
      <c r="J828" s="2"/>
      <c r="K828" s="2"/>
      <c r="L828" s="2"/>
      <c r="M828" s="2"/>
      <c r="N828" s="2"/>
      <c r="O828" s="2"/>
      <c r="P828" s="2"/>
      <c r="Q828" s="2"/>
      <c r="R828" s="2"/>
      <c r="S828" s="2"/>
      <c r="T828" s="2"/>
      <c r="U828" s="2"/>
      <c r="V828" s="2"/>
      <c r="W828" s="2"/>
      <c r="X828" s="2"/>
      <c r="Y828" s="2"/>
    </row>
    <row r="829" spans="1:25" x14ac:dyDescent="0.2">
      <c r="A829">
        <v>841</v>
      </c>
      <c r="B829" t="s">
        <v>1895</v>
      </c>
      <c r="C829" t="s">
        <v>18</v>
      </c>
      <c r="D829" t="s">
        <v>1896</v>
      </c>
      <c r="E829" t="s">
        <v>1897</v>
      </c>
      <c r="F829" t="s">
        <v>1898</v>
      </c>
      <c r="G829" t="s">
        <v>17</v>
      </c>
      <c r="H829" t="b">
        <v>1</v>
      </c>
      <c r="K829" t="b">
        <v>1</v>
      </c>
      <c r="L829" t="b">
        <v>1</v>
      </c>
      <c r="M829" t="s">
        <v>1899</v>
      </c>
      <c r="N829" t="s">
        <v>1900</v>
      </c>
    </row>
    <row r="830" spans="1:25" x14ac:dyDescent="0.2">
      <c r="A830">
        <v>842</v>
      </c>
      <c r="B830" t="s">
        <v>1895</v>
      </c>
      <c r="C830" t="s">
        <v>18</v>
      </c>
      <c r="D830" t="s">
        <v>1901</v>
      </c>
      <c r="E830" t="s">
        <v>1902</v>
      </c>
      <c r="F830" t="s">
        <v>82</v>
      </c>
      <c r="G830" t="s">
        <v>17</v>
      </c>
      <c r="H830" t="b">
        <v>0</v>
      </c>
      <c r="K830" t="b">
        <v>0</v>
      </c>
      <c r="L830" t="b">
        <v>0</v>
      </c>
      <c r="M830" t="s">
        <v>1903</v>
      </c>
    </row>
    <row r="831" spans="1:25" x14ac:dyDescent="0.2">
      <c r="A831">
        <v>843</v>
      </c>
      <c r="B831" t="s">
        <v>1895</v>
      </c>
      <c r="C831" t="s">
        <v>18</v>
      </c>
      <c r="D831" t="s">
        <v>1904</v>
      </c>
      <c r="E831" t="s">
        <v>1905</v>
      </c>
      <c r="F831" t="s">
        <v>82</v>
      </c>
      <c r="G831" t="s">
        <v>17</v>
      </c>
      <c r="H831" t="b">
        <v>0</v>
      </c>
      <c r="K831" t="b">
        <v>0</v>
      </c>
      <c r="L831" t="b">
        <v>0</v>
      </c>
      <c r="M831" t="s">
        <v>1906</v>
      </c>
    </row>
    <row r="832" spans="1:25" x14ac:dyDescent="0.2">
      <c r="A832">
        <v>844</v>
      </c>
      <c r="B832" t="s">
        <v>1895</v>
      </c>
      <c r="C832" t="s">
        <v>18</v>
      </c>
      <c r="D832" t="s">
        <v>1907</v>
      </c>
      <c r="E832" t="s">
        <v>1908</v>
      </c>
      <c r="F832" t="s">
        <v>151</v>
      </c>
      <c r="G832" t="s">
        <v>17</v>
      </c>
      <c r="H832" t="b">
        <v>0</v>
      </c>
      <c r="K832" t="b">
        <v>0</v>
      </c>
      <c r="L832" t="b">
        <v>0</v>
      </c>
      <c r="M832" t="s">
        <v>1909</v>
      </c>
      <c r="N832" t="s">
        <v>1910</v>
      </c>
    </row>
    <row r="833" spans="1:25" x14ac:dyDescent="0.2">
      <c r="A833">
        <v>845</v>
      </c>
      <c r="B833" t="s">
        <v>1895</v>
      </c>
      <c r="C833" t="s">
        <v>18</v>
      </c>
      <c r="D833" t="s">
        <v>1911</v>
      </c>
      <c r="E833" t="s">
        <v>1912</v>
      </c>
      <c r="F833" t="s">
        <v>78</v>
      </c>
      <c r="G833" t="s">
        <v>17</v>
      </c>
      <c r="H833" t="b">
        <v>0</v>
      </c>
      <c r="K833" t="b">
        <v>0</v>
      </c>
      <c r="L833" t="b">
        <v>0</v>
      </c>
      <c r="M833" t="s">
        <v>1913</v>
      </c>
    </row>
    <row r="835" spans="1:25" x14ac:dyDescent="0.2">
      <c r="A835" s="2">
        <v>847</v>
      </c>
      <c r="B835" s="2" t="s">
        <v>1914</v>
      </c>
      <c r="C835" s="2" t="s">
        <v>13</v>
      </c>
      <c r="D835" s="2" t="s">
        <v>1915</v>
      </c>
      <c r="E835" s="2" t="s">
        <v>1916</v>
      </c>
      <c r="F835" s="2" t="s">
        <v>248</v>
      </c>
      <c r="G835" s="2" t="s">
        <v>252</v>
      </c>
      <c r="H835" s="2"/>
      <c r="I835" s="2"/>
      <c r="J835" s="2"/>
      <c r="K835" s="2"/>
      <c r="L835" s="2"/>
      <c r="M835" s="2"/>
      <c r="N835" s="2"/>
      <c r="O835" s="2"/>
      <c r="P835" s="2"/>
      <c r="Q835" s="2"/>
      <c r="R835" s="2"/>
      <c r="S835" s="2"/>
      <c r="T835" s="2"/>
      <c r="U835" s="2"/>
      <c r="V835" s="2"/>
      <c r="W835" s="2"/>
      <c r="X835" s="2"/>
      <c r="Y835" s="2"/>
    </row>
    <row r="836" spans="1:25" x14ac:dyDescent="0.2">
      <c r="A836">
        <v>848</v>
      </c>
      <c r="B836" t="s">
        <v>1914</v>
      </c>
      <c r="C836" t="s">
        <v>18</v>
      </c>
      <c r="D836" t="s">
        <v>1915</v>
      </c>
      <c r="E836" t="s">
        <v>1917</v>
      </c>
      <c r="F836" t="s">
        <v>248</v>
      </c>
      <c r="G836" t="s">
        <v>252</v>
      </c>
      <c r="H836" t="b">
        <v>1</v>
      </c>
      <c r="K836" t="b">
        <v>1</v>
      </c>
      <c r="L836" t="b">
        <v>1</v>
      </c>
      <c r="M836" t="s">
        <v>1918</v>
      </c>
      <c r="N836" t="s">
        <v>1919</v>
      </c>
    </row>
    <row r="837" spans="1:25" x14ac:dyDescent="0.2">
      <c r="A837">
        <v>849</v>
      </c>
      <c r="B837" t="s">
        <v>1914</v>
      </c>
      <c r="C837" t="s">
        <v>18</v>
      </c>
      <c r="D837" t="s">
        <v>1920</v>
      </c>
      <c r="E837" t="s">
        <v>1921</v>
      </c>
      <c r="F837" t="s">
        <v>248</v>
      </c>
      <c r="G837" t="s">
        <v>252</v>
      </c>
      <c r="H837" t="b">
        <v>0</v>
      </c>
      <c r="K837" t="b">
        <v>0</v>
      </c>
      <c r="L837" t="b">
        <v>0</v>
      </c>
    </row>
    <row r="838" spans="1:25" x14ac:dyDescent="0.2">
      <c r="A838">
        <v>850</v>
      </c>
      <c r="B838" t="s">
        <v>1914</v>
      </c>
      <c r="C838" t="s">
        <v>18</v>
      </c>
      <c r="D838" t="s">
        <v>1922</v>
      </c>
      <c r="E838" t="s">
        <v>1923</v>
      </c>
      <c r="F838" t="s">
        <v>248</v>
      </c>
      <c r="G838" t="s">
        <v>252</v>
      </c>
      <c r="H838" t="b">
        <v>1</v>
      </c>
      <c r="K838" t="b">
        <v>0</v>
      </c>
      <c r="L838" t="b">
        <v>1</v>
      </c>
      <c r="M838" t="s">
        <v>1924</v>
      </c>
    </row>
    <row r="839" spans="1:25" x14ac:dyDescent="0.2">
      <c r="A839">
        <v>851</v>
      </c>
      <c r="B839" t="s">
        <v>1914</v>
      </c>
      <c r="C839" t="s">
        <v>18</v>
      </c>
      <c r="D839" t="s">
        <v>1925</v>
      </c>
      <c r="E839" t="s">
        <v>1926</v>
      </c>
      <c r="F839" t="s">
        <v>248</v>
      </c>
      <c r="G839" t="s">
        <v>252</v>
      </c>
      <c r="H839" t="b">
        <v>0</v>
      </c>
      <c r="K839" t="b">
        <v>0</v>
      </c>
      <c r="L839" t="b">
        <v>0</v>
      </c>
    </row>
    <row r="840" spans="1:25" x14ac:dyDescent="0.2">
      <c r="A840">
        <v>852</v>
      </c>
      <c r="B840" t="s">
        <v>1914</v>
      </c>
      <c r="C840" t="s">
        <v>18</v>
      </c>
      <c r="D840" t="s">
        <v>1927</v>
      </c>
      <c r="E840" t="s">
        <v>1928</v>
      </c>
      <c r="F840" t="s">
        <v>248</v>
      </c>
      <c r="G840" t="s">
        <v>252</v>
      </c>
      <c r="H840" t="b">
        <v>0</v>
      </c>
      <c r="K840" t="b">
        <v>0</v>
      </c>
      <c r="L840" t="b">
        <v>0</v>
      </c>
    </row>
    <row r="842" spans="1:25" x14ac:dyDescent="0.2">
      <c r="A842" s="2">
        <v>854</v>
      </c>
      <c r="B842" s="2" t="s">
        <v>1929</v>
      </c>
      <c r="C842" s="2" t="s">
        <v>13</v>
      </c>
      <c r="D842" s="2" t="s">
        <v>1930</v>
      </c>
      <c r="E842" s="2" t="s">
        <v>1931</v>
      </c>
      <c r="F842" s="2" t="s">
        <v>1617</v>
      </c>
      <c r="G842" s="2" t="s">
        <v>280</v>
      </c>
      <c r="H842" s="2"/>
      <c r="I842" s="2"/>
      <c r="J842" s="2"/>
      <c r="K842" s="2"/>
      <c r="L842" s="2"/>
      <c r="M842" s="2"/>
      <c r="N842" s="2"/>
      <c r="O842" s="2"/>
      <c r="P842" s="2"/>
      <c r="Q842" s="2"/>
      <c r="R842" s="2"/>
      <c r="S842" s="2"/>
      <c r="T842" s="2"/>
      <c r="U842" s="2"/>
      <c r="V842" s="2"/>
      <c r="W842" s="2"/>
      <c r="X842" s="2"/>
      <c r="Y842" s="2"/>
    </row>
    <row r="843" spans="1:25" x14ac:dyDescent="0.2">
      <c r="A843">
        <v>855</v>
      </c>
      <c r="B843" t="s">
        <v>1929</v>
      </c>
      <c r="C843" t="s">
        <v>18</v>
      </c>
      <c r="D843" t="s">
        <v>1930</v>
      </c>
      <c r="E843" t="s">
        <v>1931</v>
      </c>
      <c r="F843" t="s">
        <v>1617</v>
      </c>
      <c r="G843" t="s">
        <v>280</v>
      </c>
      <c r="H843" t="b">
        <v>1</v>
      </c>
      <c r="K843" t="b">
        <v>1</v>
      </c>
      <c r="L843" t="b">
        <v>1</v>
      </c>
      <c r="M843" t="s">
        <v>1932</v>
      </c>
      <c r="N843" t="s">
        <v>1933</v>
      </c>
    </row>
    <row r="844" spans="1:25" x14ac:dyDescent="0.2">
      <c r="A844">
        <v>856</v>
      </c>
      <c r="B844" t="s">
        <v>1929</v>
      </c>
      <c r="C844" t="s">
        <v>18</v>
      </c>
      <c r="D844" t="s">
        <v>1934</v>
      </c>
      <c r="E844" t="s">
        <v>1935</v>
      </c>
      <c r="F844" t="s">
        <v>205</v>
      </c>
      <c r="G844" t="s">
        <v>280</v>
      </c>
      <c r="H844" t="b">
        <v>0</v>
      </c>
      <c r="K844" t="b">
        <v>0</v>
      </c>
      <c r="L844" t="b">
        <v>0</v>
      </c>
    </row>
    <row r="845" spans="1:25" x14ac:dyDescent="0.2">
      <c r="A845">
        <v>857</v>
      </c>
      <c r="B845" t="s">
        <v>1929</v>
      </c>
      <c r="C845" t="s">
        <v>18</v>
      </c>
      <c r="D845" t="s">
        <v>1936</v>
      </c>
      <c r="E845" t="s">
        <v>1937</v>
      </c>
      <c r="F845" t="s">
        <v>1938</v>
      </c>
      <c r="G845" t="s">
        <v>280</v>
      </c>
      <c r="H845" t="b">
        <v>0</v>
      </c>
      <c r="K845" t="b">
        <v>0</v>
      </c>
      <c r="L845" t="b">
        <v>0</v>
      </c>
    </row>
    <row r="846" spans="1:25" x14ac:dyDescent="0.2">
      <c r="A846">
        <v>858</v>
      </c>
      <c r="B846" t="s">
        <v>1929</v>
      </c>
      <c r="C846" t="s">
        <v>18</v>
      </c>
      <c r="D846" t="s">
        <v>1939</v>
      </c>
      <c r="E846" t="s">
        <v>1940</v>
      </c>
      <c r="F846" t="s">
        <v>144</v>
      </c>
      <c r="G846" t="s">
        <v>280</v>
      </c>
      <c r="H846" t="b">
        <v>0</v>
      </c>
      <c r="K846" t="b">
        <v>0</v>
      </c>
      <c r="L846" t="b">
        <v>0</v>
      </c>
    </row>
    <row r="847" spans="1:25" x14ac:dyDescent="0.2">
      <c r="A847">
        <v>859</v>
      </c>
      <c r="B847" t="s">
        <v>1929</v>
      </c>
      <c r="C847" t="s">
        <v>18</v>
      </c>
      <c r="D847" t="s">
        <v>1941</v>
      </c>
      <c r="E847" t="s">
        <v>1942</v>
      </c>
      <c r="F847" t="s">
        <v>270</v>
      </c>
      <c r="G847" t="s">
        <v>280</v>
      </c>
      <c r="H847" t="b">
        <v>0</v>
      </c>
      <c r="K847" t="b">
        <v>0</v>
      </c>
      <c r="L847" t="b">
        <v>0</v>
      </c>
    </row>
    <row r="849" spans="1:25" x14ac:dyDescent="0.2">
      <c r="A849" s="2">
        <v>868</v>
      </c>
      <c r="B849" s="2" t="s">
        <v>1943</v>
      </c>
      <c r="C849" s="2" t="s">
        <v>13</v>
      </c>
      <c r="D849" s="2" t="s">
        <v>1944</v>
      </c>
      <c r="E849" s="2" t="s">
        <v>1945</v>
      </c>
      <c r="F849" s="2" t="s">
        <v>16</v>
      </c>
      <c r="G849" s="2" t="s">
        <v>24</v>
      </c>
      <c r="H849" s="2"/>
      <c r="I849" s="2"/>
      <c r="J849" s="2"/>
      <c r="K849" s="2"/>
      <c r="L849" s="2"/>
      <c r="M849" s="2"/>
      <c r="N849" s="2"/>
      <c r="O849" s="2"/>
      <c r="P849" s="2"/>
      <c r="Q849" s="2"/>
      <c r="R849" s="2"/>
      <c r="S849" s="2"/>
      <c r="T849" s="2"/>
      <c r="U849" s="2"/>
      <c r="V849" s="2"/>
      <c r="W849" s="2"/>
      <c r="X849" s="2"/>
      <c r="Y849" s="2"/>
    </row>
    <row r="850" spans="1:25" x14ac:dyDescent="0.2">
      <c r="A850">
        <v>869</v>
      </c>
      <c r="B850" t="s">
        <v>1943</v>
      </c>
      <c r="C850" t="s">
        <v>18</v>
      </c>
      <c r="D850" t="s">
        <v>1944</v>
      </c>
      <c r="E850" t="s">
        <v>1945</v>
      </c>
      <c r="F850" t="s">
        <v>16</v>
      </c>
      <c r="G850" t="s">
        <v>24</v>
      </c>
      <c r="H850" t="b">
        <v>1</v>
      </c>
      <c r="K850" t="b">
        <v>1</v>
      </c>
      <c r="L850" t="b">
        <v>1</v>
      </c>
      <c r="M850" t="s">
        <v>1946</v>
      </c>
      <c r="N850" t="s">
        <v>1947</v>
      </c>
    </row>
    <row r="851" spans="1:25" x14ac:dyDescent="0.2">
      <c r="A851">
        <v>870</v>
      </c>
      <c r="B851" t="s">
        <v>1943</v>
      </c>
      <c r="C851" t="s">
        <v>18</v>
      </c>
      <c r="D851" t="s">
        <v>1948</v>
      </c>
      <c r="E851" t="s">
        <v>1949</v>
      </c>
      <c r="F851" t="s">
        <v>16</v>
      </c>
      <c r="G851" t="s">
        <v>24</v>
      </c>
      <c r="H851" t="b">
        <v>1</v>
      </c>
      <c r="K851" t="b">
        <v>1</v>
      </c>
      <c r="L851" t="b">
        <v>1</v>
      </c>
    </row>
    <row r="852" spans="1:25" x14ac:dyDescent="0.2">
      <c r="A852">
        <v>871</v>
      </c>
      <c r="B852" t="s">
        <v>1943</v>
      </c>
      <c r="C852" t="s">
        <v>18</v>
      </c>
      <c r="D852" t="s">
        <v>1950</v>
      </c>
      <c r="E852" t="s">
        <v>1951</v>
      </c>
      <c r="F852" t="s">
        <v>16</v>
      </c>
      <c r="G852" t="s">
        <v>24</v>
      </c>
      <c r="H852" t="b">
        <v>0</v>
      </c>
      <c r="K852" t="b">
        <v>0</v>
      </c>
      <c r="L852" t="b">
        <v>0</v>
      </c>
      <c r="M852" t="s">
        <v>1952</v>
      </c>
      <c r="N852" t="s">
        <v>1953</v>
      </c>
    </row>
    <row r="853" spans="1:25" x14ac:dyDescent="0.2">
      <c r="A853">
        <v>872</v>
      </c>
      <c r="B853" t="s">
        <v>1943</v>
      </c>
      <c r="C853" t="s">
        <v>18</v>
      </c>
      <c r="D853" t="s">
        <v>1816</v>
      </c>
      <c r="E853" t="s">
        <v>1817</v>
      </c>
      <c r="F853" t="s">
        <v>16</v>
      </c>
      <c r="G853" t="s">
        <v>24</v>
      </c>
      <c r="H853" t="b">
        <v>0</v>
      </c>
      <c r="K853" t="b">
        <v>0</v>
      </c>
      <c r="L853" t="b">
        <v>0</v>
      </c>
      <c r="M853" t="s">
        <v>1818</v>
      </c>
      <c r="N853" t="s">
        <v>745</v>
      </c>
    </row>
    <row r="854" spans="1:25" x14ac:dyDescent="0.2">
      <c r="A854">
        <v>873</v>
      </c>
      <c r="B854" t="s">
        <v>1943</v>
      </c>
      <c r="C854" t="s">
        <v>18</v>
      </c>
      <c r="D854" t="s">
        <v>1954</v>
      </c>
      <c r="E854" t="s">
        <v>1955</v>
      </c>
      <c r="F854" t="s">
        <v>16</v>
      </c>
      <c r="G854" t="s">
        <v>24</v>
      </c>
      <c r="H854" t="b">
        <v>0</v>
      </c>
      <c r="K854" t="b">
        <v>0</v>
      </c>
      <c r="L854" t="b">
        <v>0</v>
      </c>
      <c r="M854" t="s">
        <v>1956</v>
      </c>
    </row>
    <row r="856" spans="1:25" x14ac:dyDescent="0.2">
      <c r="A856" s="2">
        <v>903</v>
      </c>
      <c r="B856" s="2" t="s">
        <v>1957</v>
      </c>
      <c r="C856" s="2" t="s">
        <v>13</v>
      </c>
      <c r="D856" s="2" t="s">
        <v>1958</v>
      </c>
      <c r="E856" s="2" t="s">
        <v>1959</v>
      </c>
      <c r="F856" s="2" t="s">
        <v>27</v>
      </c>
      <c r="G856" s="2" t="s">
        <v>17</v>
      </c>
      <c r="H856" s="2"/>
      <c r="I856" s="2"/>
      <c r="J856" s="2"/>
      <c r="K856" s="2"/>
      <c r="L856" s="2"/>
      <c r="M856" s="2"/>
      <c r="N856" s="2"/>
      <c r="O856" s="2"/>
      <c r="P856" s="2"/>
      <c r="Q856" s="2"/>
      <c r="R856" s="2"/>
      <c r="S856" s="2"/>
      <c r="T856" s="2"/>
      <c r="U856" s="2"/>
      <c r="V856" s="2"/>
      <c r="W856" s="2"/>
      <c r="X856" s="2"/>
      <c r="Y856" s="2"/>
    </row>
    <row r="857" spans="1:25" x14ac:dyDescent="0.2">
      <c r="A857">
        <v>904</v>
      </c>
      <c r="B857" t="s">
        <v>1957</v>
      </c>
      <c r="C857" t="s">
        <v>18</v>
      </c>
      <c r="D857" t="s">
        <v>1958</v>
      </c>
      <c r="E857" t="s">
        <v>1960</v>
      </c>
      <c r="F857" t="s">
        <v>27</v>
      </c>
      <c r="G857" t="s">
        <v>17</v>
      </c>
      <c r="H857" t="b">
        <v>1</v>
      </c>
      <c r="I857" t="b">
        <v>1</v>
      </c>
      <c r="L857" t="b">
        <v>1</v>
      </c>
      <c r="M857" t="s">
        <v>1961</v>
      </c>
      <c r="N857" t="s">
        <v>1962</v>
      </c>
    </row>
    <row r="858" spans="1:25" x14ac:dyDescent="0.2">
      <c r="A858">
        <v>905</v>
      </c>
      <c r="B858" t="s">
        <v>1957</v>
      </c>
      <c r="C858" t="s">
        <v>18</v>
      </c>
      <c r="D858" t="s">
        <v>1963</v>
      </c>
      <c r="E858" t="s">
        <v>1964</v>
      </c>
      <c r="F858" t="s">
        <v>27</v>
      </c>
      <c r="G858" t="s">
        <v>17</v>
      </c>
      <c r="H858" t="b">
        <v>1</v>
      </c>
      <c r="I858" t="b">
        <v>1</v>
      </c>
      <c r="L858" t="b">
        <v>1</v>
      </c>
      <c r="M858" t="s">
        <v>1965</v>
      </c>
    </row>
    <row r="859" spans="1:25" x14ac:dyDescent="0.2">
      <c r="A859">
        <v>906</v>
      </c>
      <c r="B859" t="s">
        <v>1957</v>
      </c>
      <c r="C859" t="s">
        <v>18</v>
      </c>
      <c r="D859" t="s">
        <v>1966</v>
      </c>
      <c r="E859" t="s">
        <v>297</v>
      </c>
      <c r="F859" t="s">
        <v>23</v>
      </c>
      <c r="G859" t="s">
        <v>17</v>
      </c>
      <c r="H859" t="b">
        <v>0</v>
      </c>
      <c r="I859" t="b">
        <v>0</v>
      </c>
      <c r="L859" t="b">
        <v>0</v>
      </c>
      <c r="M859" t="s">
        <v>1967</v>
      </c>
      <c r="N859" t="s">
        <v>1968</v>
      </c>
    </row>
    <row r="860" spans="1:25" x14ac:dyDescent="0.2">
      <c r="A860">
        <v>907</v>
      </c>
      <c r="B860" t="s">
        <v>1957</v>
      </c>
      <c r="C860" t="s">
        <v>18</v>
      </c>
      <c r="D860" t="s">
        <v>1969</v>
      </c>
      <c r="E860" t="s">
        <v>1970</v>
      </c>
      <c r="F860" t="s">
        <v>45</v>
      </c>
      <c r="G860" t="s">
        <v>17</v>
      </c>
      <c r="H860" t="b">
        <v>0</v>
      </c>
      <c r="I860" t="b">
        <v>0</v>
      </c>
      <c r="L860" t="b">
        <v>0</v>
      </c>
      <c r="M860" t="s">
        <v>1971</v>
      </c>
      <c r="N860" t="s">
        <v>1972</v>
      </c>
    </row>
    <row r="861" spans="1:25" x14ac:dyDescent="0.2">
      <c r="A861">
        <v>908</v>
      </c>
      <c r="B861" t="s">
        <v>1957</v>
      </c>
      <c r="C861" t="s">
        <v>18</v>
      </c>
      <c r="D861" t="s">
        <v>1973</v>
      </c>
      <c r="E861" t="s">
        <v>1974</v>
      </c>
      <c r="F861" t="s">
        <v>168</v>
      </c>
      <c r="G861" t="s">
        <v>17</v>
      </c>
      <c r="H861" t="b">
        <v>0</v>
      </c>
      <c r="I861" t="b">
        <v>0</v>
      </c>
      <c r="L861" t="b">
        <v>0</v>
      </c>
      <c r="M861" t="s">
        <v>1975</v>
      </c>
      <c r="N861" t="s">
        <v>1976</v>
      </c>
      <c r="O861" t="s">
        <v>1977</v>
      </c>
      <c r="P861" t="s">
        <v>1978</v>
      </c>
    </row>
    <row r="863" spans="1:25" x14ac:dyDescent="0.2">
      <c r="A863" s="2">
        <v>910</v>
      </c>
      <c r="B863" s="2" t="s">
        <v>1979</v>
      </c>
      <c r="C863" s="2" t="s">
        <v>13</v>
      </c>
      <c r="D863" s="2" t="s">
        <v>1980</v>
      </c>
      <c r="E863" s="2" t="s">
        <v>1981</v>
      </c>
      <c r="F863" s="2" t="s">
        <v>31</v>
      </c>
      <c r="G863" s="2" t="s">
        <v>17</v>
      </c>
      <c r="H863" s="2"/>
      <c r="I863" s="2"/>
      <c r="J863" s="2"/>
      <c r="K863" s="2"/>
      <c r="L863" s="2"/>
      <c r="M863" s="2"/>
      <c r="N863" s="2"/>
      <c r="O863" s="2"/>
      <c r="P863" s="2"/>
      <c r="Q863" s="2"/>
      <c r="R863" s="2"/>
      <c r="S863" s="2"/>
      <c r="T863" s="2"/>
      <c r="U863" s="2"/>
      <c r="V863" s="2"/>
      <c r="W863" s="2"/>
      <c r="X863" s="2"/>
      <c r="Y863" s="2"/>
    </row>
    <row r="864" spans="1:25" x14ac:dyDescent="0.2">
      <c r="A864">
        <v>911</v>
      </c>
      <c r="B864" t="s">
        <v>1979</v>
      </c>
      <c r="C864" t="s">
        <v>18</v>
      </c>
      <c r="D864" t="s">
        <v>1980</v>
      </c>
      <c r="E864" t="s">
        <v>1982</v>
      </c>
      <c r="F864" t="s">
        <v>31</v>
      </c>
      <c r="G864" t="s">
        <v>17</v>
      </c>
      <c r="H864" t="b">
        <v>1</v>
      </c>
      <c r="I864" t="b">
        <v>1</v>
      </c>
      <c r="L864" t="b">
        <v>1</v>
      </c>
      <c r="M864" t="s">
        <v>1983</v>
      </c>
      <c r="N864" t="s">
        <v>1984</v>
      </c>
    </row>
    <row r="865" spans="1:25" x14ac:dyDescent="0.2">
      <c r="A865">
        <v>912</v>
      </c>
      <c r="B865" t="s">
        <v>1979</v>
      </c>
      <c r="C865" t="s">
        <v>18</v>
      </c>
      <c r="D865" t="s">
        <v>1985</v>
      </c>
      <c r="E865" t="s">
        <v>1986</v>
      </c>
      <c r="F865" t="s">
        <v>31</v>
      </c>
      <c r="G865" t="s">
        <v>17</v>
      </c>
      <c r="H865" t="b">
        <v>1</v>
      </c>
      <c r="I865" t="b">
        <v>1</v>
      </c>
      <c r="L865" t="b">
        <v>1</v>
      </c>
      <c r="M865" t="s">
        <v>1987</v>
      </c>
    </row>
    <row r="866" spans="1:25" x14ac:dyDescent="0.2">
      <c r="A866">
        <v>913</v>
      </c>
      <c r="B866" t="s">
        <v>1979</v>
      </c>
      <c r="C866" t="s">
        <v>18</v>
      </c>
      <c r="D866" t="s">
        <v>1988</v>
      </c>
      <c r="E866" t="s">
        <v>1989</v>
      </c>
      <c r="F866" t="s">
        <v>31</v>
      </c>
      <c r="G866" t="s">
        <v>17</v>
      </c>
      <c r="H866" t="b">
        <v>0</v>
      </c>
      <c r="I866" t="b">
        <v>0</v>
      </c>
      <c r="L866" t="b">
        <v>0</v>
      </c>
    </row>
    <row r="867" spans="1:25" x14ac:dyDescent="0.2">
      <c r="A867">
        <v>914</v>
      </c>
      <c r="B867" t="s">
        <v>1979</v>
      </c>
      <c r="C867" t="s">
        <v>18</v>
      </c>
      <c r="D867" t="s">
        <v>1990</v>
      </c>
      <c r="E867" t="s">
        <v>1991</v>
      </c>
      <c r="F867" t="s">
        <v>31</v>
      </c>
      <c r="G867" t="s">
        <v>17</v>
      </c>
      <c r="H867" t="b">
        <v>0</v>
      </c>
      <c r="I867" t="b">
        <v>0</v>
      </c>
      <c r="L867" t="b">
        <v>0</v>
      </c>
    </row>
    <row r="868" spans="1:25" x14ac:dyDescent="0.2">
      <c r="A868">
        <v>915</v>
      </c>
      <c r="B868" t="s">
        <v>1979</v>
      </c>
      <c r="C868" t="s">
        <v>18</v>
      </c>
      <c r="D868" t="s">
        <v>1992</v>
      </c>
      <c r="E868" t="s">
        <v>1986</v>
      </c>
      <c r="F868" t="s">
        <v>78</v>
      </c>
      <c r="G868" t="s">
        <v>17</v>
      </c>
      <c r="H868" t="b">
        <v>0</v>
      </c>
      <c r="I868" t="b">
        <v>0</v>
      </c>
      <c r="L868" t="b">
        <v>0</v>
      </c>
      <c r="M868" t="s">
        <v>1993</v>
      </c>
    </row>
    <row r="870" spans="1:25" x14ac:dyDescent="0.2">
      <c r="A870" s="2">
        <v>931</v>
      </c>
      <c r="B870" s="2" t="s">
        <v>1994</v>
      </c>
      <c r="C870" s="2" t="s">
        <v>13</v>
      </c>
      <c r="D870" s="2" t="s">
        <v>1995</v>
      </c>
      <c r="E870" s="2" t="s">
        <v>1996</v>
      </c>
      <c r="F870" s="2" t="s">
        <v>200</v>
      </c>
      <c r="G870" s="2" t="s">
        <v>88</v>
      </c>
      <c r="H870" s="2"/>
      <c r="I870" s="2"/>
      <c r="J870" s="2"/>
      <c r="K870" s="2"/>
      <c r="L870" s="2"/>
      <c r="M870" s="2"/>
      <c r="N870" s="2"/>
      <c r="O870" s="2"/>
      <c r="P870" s="2"/>
      <c r="Q870" s="2"/>
      <c r="R870" s="2"/>
      <c r="S870" s="2"/>
      <c r="T870" s="2"/>
      <c r="U870" s="2"/>
      <c r="V870" s="2"/>
      <c r="W870" s="2"/>
      <c r="X870" s="2"/>
      <c r="Y870" s="2"/>
    </row>
    <row r="871" spans="1:25" x14ac:dyDescent="0.2">
      <c r="A871">
        <v>932</v>
      </c>
      <c r="B871" t="s">
        <v>1994</v>
      </c>
      <c r="C871" t="s">
        <v>18</v>
      </c>
      <c r="D871" t="s">
        <v>1995</v>
      </c>
      <c r="E871" t="s">
        <v>1996</v>
      </c>
      <c r="F871" t="s">
        <v>200</v>
      </c>
      <c r="G871" t="s">
        <v>88</v>
      </c>
      <c r="H871" t="b">
        <v>1</v>
      </c>
      <c r="K871" t="b">
        <v>1</v>
      </c>
      <c r="L871" t="b">
        <v>1</v>
      </c>
      <c r="M871" t="s">
        <v>1997</v>
      </c>
      <c r="N871" t="s">
        <v>1998</v>
      </c>
      <c r="O871" t="s">
        <v>1999</v>
      </c>
      <c r="P871" t="s">
        <v>2000</v>
      </c>
    </row>
    <row r="872" spans="1:25" x14ac:dyDescent="0.2">
      <c r="A872">
        <v>933</v>
      </c>
      <c r="B872" t="s">
        <v>1994</v>
      </c>
      <c r="C872" t="s">
        <v>18</v>
      </c>
      <c r="D872" t="s">
        <v>2001</v>
      </c>
      <c r="E872" t="s">
        <v>2002</v>
      </c>
      <c r="F872" t="s">
        <v>200</v>
      </c>
      <c r="G872" t="s">
        <v>345</v>
      </c>
      <c r="H872" t="b">
        <v>0</v>
      </c>
      <c r="K872" t="b">
        <v>0</v>
      </c>
      <c r="L872" t="b">
        <v>0</v>
      </c>
      <c r="M872" t="s">
        <v>2003</v>
      </c>
      <c r="N872" t="s">
        <v>2004</v>
      </c>
      <c r="O872" t="s">
        <v>2005</v>
      </c>
      <c r="P872" t="s">
        <v>2006</v>
      </c>
    </row>
    <row r="873" spans="1:25" x14ac:dyDescent="0.2">
      <c r="A873">
        <v>934</v>
      </c>
      <c r="B873" t="s">
        <v>1994</v>
      </c>
      <c r="C873" t="s">
        <v>18</v>
      </c>
      <c r="D873" t="s">
        <v>2007</v>
      </c>
      <c r="E873" t="s">
        <v>2008</v>
      </c>
      <c r="F873" t="s">
        <v>200</v>
      </c>
      <c r="G873" t="s">
        <v>32</v>
      </c>
      <c r="H873" t="b">
        <v>0</v>
      </c>
      <c r="K873" t="b">
        <v>0</v>
      </c>
      <c r="L873" t="b">
        <v>0</v>
      </c>
      <c r="M873" t="s">
        <v>2009</v>
      </c>
    </row>
    <row r="874" spans="1:25" x14ac:dyDescent="0.2">
      <c r="A874">
        <v>935</v>
      </c>
      <c r="B874" t="s">
        <v>1994</v>
      </c>
      <c r="C874" t="s">
        <v>18</v>
      </c>
      <c r="D874" t="s">
        <v>2010</v>
      </c>
      <c r="E874" t="s">
        <v>2011</v>
      </c>
      <c r="F874" t="s">
        <v>200</v>
      </c>
      <c r="G874" t="s">
        <v>88</v>
      </c>
      <c r="H874" t="b">
        <v>0</v>
      </c>
      <c r="K874" t="b">
        <v>0</v>
      </c>
      <c r="L874" t="b">
        <v>0</v>
      </c>
      <c r="M874" t="s">
        <v>2012</v>
      </c>
      <c r="N874" t="s">
        <v>2013</v>
      </c>
    </row>
    <row r="875" spans="1:25" x14ac:dyDescent="0.2">
      <c r="A875">
        <v>936</v>
      </c>
      <c r="B875" t="s">
        <v>1994</v>
      </c>
      <c r="C875" t="s">
        <v>18</v>
      </c>
      <c r="D875" t="s">
        <v>2014</v>
      </c>
      <c r="E875" t="s">
        <v>2015</v>
      </c>
      <c r="F875" t="s">
        <v>200</v>
      </c>
      <c r="G875" t="s">
        <v>88</v>
      </c>
      <c r="H875" t="b">
        <v>0</v>
      </c>
      <c r="K875" t="b">
        <v>0</v>
      </c>
      <c r="L875" t="b">
        <v>0</v>
      </c>
      <c r="M875" t="s">
        <v>2016</v>
      </c>
    </row>
    <row r="877" spans="1:25" x14ac:dyDescent="0.2">
      <c r="A877" s="2">
        <v>938</v>
      </c>
      <c r="B877" s="2" t="s">
        <v>2017</v>
      </c>
      <c r="C877" s="2" t="s">
        <v>13</v>
      </c>
      <c r="D877" s="2" t="s">
        <v>2018</v>
      </c>
      <c r="E877" s="2" t="s">
        <v>2019</v>
      </c>
      <c r="F877" s="2" t="s">
        <v>78</v>
      </c>
      <c r="G877" s="2" t="s">
        <v>74</v>
      </c>
      <c r="H877" s="2"/>
      <c r="I877" s="2"/>
      <c r="J877" s="2"/>
      <c r="K877" s="2"/>
      <c r="L877" s="2"/>
      <c r="M877" s="2"/>
      <c r="N877" s="2"/>
      <c r="O877" s="2"/>
      <c r="P877" s="2"/>
      <c r="Q877" s="2"/>
      <c r="R877" s="2"/>
      <c r="S877" s="2"/>
      <c r="T877" s="2"/>
      <c r="U877" s="2"/>
      <c r="V877" s="2"/>
      <c r="W877" s="2"/>
      <c r="X877" s="2"/>
      <c r="Y877" s="2"/>
    </row>
    <row r="878" spans="1:25" x14ac:dyDescent="0.2">
      <c r="A878">
        <v>939</v>
      </c>
      <c r="B878" t="s">
        <v>2017</v>
      </c>
      <c r="C878" t="s">
        <v>18</v>
      </c>
      <c r="D878" t="s">
        <v>2018</v>
      </c>
      <c r="E878" t="s">
        <v>2019</v>
      </c>
      <c r="F878" t="s">
        <v>78</v>
      </c>
      <c r="G878" t="s">
        <v>74</v>
      </c>
      <c r="H878" t="b">
        <v>1</v>
      </c>
      <c r="I878" t="b">
        <v>1</v>
      </c>
      <c r="L878" t="b">
        <v>1</v>
      </c>
      <c r="M878" t="s">
        <v>2020</v>
      </c>
      <c r="N878" t="s">
        <v>2021</v>
      </c>
    </row>
    <row r="879" spans="1:25" x14ac:dyDescent="0.2">
      <c r="A879">
        <v>940</v>
      </c>
      <c r="B879" t="s">
        <v>2017</v>
      </c>
      <c r="C879" t="s">
        <v>18</v>
      </c>
      <c r="D879" t="s">
        <v>2022</v>
      </c>
      <c r="E879" t="s">
        <v>2023</v>
      </c>
      <c r="F879" t="s">
        <v>78</v>
      </c>
      <c r="G879" t="s">
        <v>62</v>
      </c>
      <c r="H879" t="b">
        <v>0</v>
      </c>
      <c r="I879" t="b">
        <v>0</v>
      </c>
      <c r="L879" t="b">
        <v>0</v>
      </c>
    </row>
    <row r="880" spans="1:25" x14ac:dyDescent="0.2">
      <c r="A880">
        <v>941</v>
      </c>
      <c r="B880" t="s">
        <v>2017</v>
      </c>
      <c r="C880" t="s">
        <v>18</v>
      </c>
      <c r="D880" t="s">
        <v>2024</v>
      </c>
      <c r="E880" t="s">
        <v>2025</v>
      </c>
      <c r="F880" t="s">
        <v>78</v>
      </c>
      <c r="G880" t="s">
        <v>62</v>
      </c>
      <c r="H880" t="b">
        <v>0</v>
      </c>
      <c r="I880" t="b">
        <v>0</v>
      </c>
      <c r="L880" t="b">
        <v>0</v>
      </c>
      <c r="M880" t="s">
        <v>2026</v>
      </c>
    </row>
    <row r="881" spans="1:25" x14ac:dyDescent="0.2">
      <c r="A881">
        <v>942</v>
      </c>
      <c r="B881" t="s">
        <v>2017</v>
      </c>
      <c r="C881" t="s">
        <v>18</v>
      </c>
      <c r="D881" t="s">
        <v>2027</v>
      </c>
      <c r="E881" t="s">
        <v>2028</v>
      </c>
      <c r="F881" t="s">
        <v>78</v>
      </c>
      <c r="G881" t="s">
        <v>74</v>
      </c>
      <c r="H881" t="b">
        <v>0</v>
      </c>
      <c r="I881" t="b">
        <v>0</v>
      </c>
      <c r="L881" t="b">
        <v>0</v>
      </c>
      <c r="M881" t="s">
        <v>2029</v>
      </c>
      <c r="N881" t="s">
        <v>2030</v>
      </c>
      <c r="O881" t="s">
        <v>2031</v>
      </c>
    </row>
    <row r="882" spans="1:25" x14ac:dyDescent="0.2">
      <c r="A882">
        <v>943</v>
      </c>
      <c r="B882" t="s">
        <v>2017</v>
      </c>
      <c r="C882" t="s">
        <v>18</v>
      </c>
      <c r="D882" t="s">
        <v>2032</v>
      </c>
      <c r="E882" t="s">
        <v>2033</v>
      </c>
      <c r="F882" t="s">
        <v>1617</v>
      </c>
      <c r="G882" t="s">
        <v>74</v>
      </c>
      <c r="H882" t="b">
        <v>0</v>
      </c>
      <c r="I882" t="b">
        <v>0</v>
      </c>
      <c r="L882" t="b">
        <v>0</v>
      </c>
      <c r="M882" t="s">
        <v>2034</v>
      </c>
    </row>
    <row r="884" spans="1:25" x14ac:dyDescent="0.2">
      <c r="A884" s="2">
        <v>945</v>
      </c>
      <c r="B884" s="2" t="s">
        <v>2035</v>
      </c>
      <c r="C884" s="2" t="s">
        <v>13</v>
      </c>
      <c r="D884" s="2" t="s">
        <v>2036</v>
      </c>
      <c r="E884" s="2" t="s">
        <v>113</v>
      </c>
      <c r="F884" s="2" t="s">
        <v>78</v>
      </c>
      <c r="G884" s="2" t="s">
        <v>24</v>
      </c>
      <c r="H884" s="2"/>
      <c r="I884" s="2"/>
      <c r="J884" s="2"/>
      <c r="K884" s="2"/>
      <c r="L884" s="2"/>
      <c r="M884" s="2"/>
      <c r="N884" s="2"/>
      <c r="O884" s="2"/>
      <c r="P884" s="2"/>
      <c r="Q884" s="2"/>
      <c r="R884" s="2"/>
      <c r="S884" s="2"/>
      <c r="T884" s="2"/>
      <c r="U884" s="2"/>
      <c r="V884" s="2"/>
      <c r="W884" s="2"/>
      <c r="X884" s="2"/>
      <c r="Y884" s="2"/>
    </row>
    <row r="885" spans="1:25" x14ac:dyDescent="0.2">
      <c r="A885">
        <v>946</v>
      </c>
      <c r="B885" t="s">
        <v>2035</v>
      </c>
      <c r="C885" t="s">
        <v>18</v>
      </c>
      <c r="D885" t="s">
        <v>112</v>
      </c>
      <c r="E885" t="s">
        <v>113</v>
      </c>
      <c r="F885" t="s">
        <v>78</v>
      </c>
      <c r="G885" t="s">
        <v>24</v>
      </c>
      <c r="H885" t="b">
        <v>1</v>
      </c>
      <c r="K885" t="b">
        <v>1</v>
      </c>
      <c r="L885" t="b">
        <v>1</v>
      </c>
      <c r="M885" t="s">
        <v>1256</v>
      </c>
      <c r="N885" t="s">
        <v>1257</v>
      </c>
    </row>
    <row r="886" spans="1:25" x14ac:dyDescent="0.2">
      <c r="A886">
        <v>947</v>
      </c>
      <c r="B886" t="s">
        <v>2035</v>
      </c>
      <c r="C886" t="s">
        <v>18</v>
      </c>
      <c r="D886" t="s">
        <v>1252</v>
      </c>
      <c r="E886" t="s">
        <v>1253</v>
      </c>
      <c r="F886" t="s">
        <v>78</v>
      </c>
      <c r="G886" t="s">
        <v>24</v>
      </c>
      <c r="H886" t="b">
        <v>0</v>
      </c>
      <c r="K886" t="b">
        <v>0</v>
      </c>
      <c r="L886" t="b">
        <v>0</v>
      </c>
      <c r="M886" t="s">
        <v>1254</v>
      </c>
      <c r="N886" t="s">
        <v>1255</v>
      </c>
    </row>
    <row r="887" spans="1:25" x14ac:dyDescent="0.2">
      <c r="A887">
        <v>948</v>
      </c>
      <c r="B887" t="s">
        <v>2035</v>
      </c>
      <c r="C887" t="s">
        <v>18</v>
      </c>
      <c r="D887" t="s">
        <v>1248</v>
      </c>
      <c r="E887" t="s">
        <v>1249</v>
      </c>
      <c r="F887" t="s">
        <v>78</v>
      </c>
      <c r="G887" t="s">
        <v>24</v>
      </c>
      <c r="H887" t="b">
        <v>0</v>
      </c>
      <c r="K887" t="b">
        <v>0</v>
      </c>
      <c r="L887" t="b">
        <v>0</v>
      </c>
      <c r="M887" t="s">
        <v>1250</v>
      </c>
      <c r="N887" t="s">
        <v>1251</v>
      </c>
    </row>
    <row r="888" spans="1:25" x14ac:dyDescent="0.2">
      <c r="A888">
        <v>949</v>
      </c>
      <c r="B888" t="s">
        <v>2035</v>
      </c>
      <c r="C888" t="s">
        <v>18</v>
      </c>
      <c r="D888" t="s">
        <v>1244</v>
      </c>
      <c r="E888" t="s">
        <v>1245</v>
      </c>
      <c r="F888" t="s">
        <v>78</v>
      </c>
      <c r="G888" t="s">
        <v>24</v>
      </c>
      <c r="H888" t="b">
        <v>0</v>
      </c>
      <c r="K888" t="b">
        <v>0</v>
      </c>
      <c r="L888" t="b">
        <v>0</v>
      </c>
      <c r="M888" t="s">
        <v>1246</v>
      </c>
      <c r="N888" t="s">
        <v>1247</v>
      </c>
    </row>
    <row r="889" spans="1:25" x14ac:dyDescent="0.2">
      <c r="A889">
        <v>950</v>
      </c>
      <c r="B889" t="s">
        <v>2035</v>
      </c>
      <c r="C889" t="s">
        <v>18</v>
      </c>
      <c r="D889" t="s">
        <v>2037</v>
      </c>
      <c r="E889" t="s">
        <v>2038</v>
      </c>
      <c r="F889" t="s">
        <v>151</v>
      </c>
      <c r="G889" t="s">
        <v>917</v>
      </c>
      <c r="H889" t="b">
        <v>0</v>
      </c>
      <c r="K889" t="b">
        <v>0</v>
      </c>
      <c r="L889" t="b">
        <v>0</v>
      </c>
      <c r="M889" t="s">
        <v>2039</v>
      </c>
    </row>
    <row r="891" spans="1:25" x14ac:dyDescent="0.2">
      <c r="A891" s="2">
        <v>952</v>
      </c>
      <c r="B891" s="2" t="s">
        <v>2040</v>
      </c>
      <c r="C891" s="2" t="s">
        <v>13</v>
      </c>
      <c r="D891" s="2" t="s">
        <v>2041</v>
      </c>
      <c r="E891" s="2" t="s">
        <v>2042</v>
      </c>
      <c r="F891" s="2" t="s">
        <v>78</v>
      </c>
      <c r="G891" s="2" t="s">
        <v>879</v>
      </c>
      <c r="H891" s="2"/>
      <c r="I891" s="2"/>
      <c r="J891" s="2"/>
      <c r="K891" s="2"/>
      <c r="L891" s="2"/>
      <c r="M891" s="2"/>
      <c r="N891" s="2"/>
      <c r="O891" s="2"/>
      <c r="P891" s="2"/>
      <c r="Q891" s="2"/>
      <c r="R891" s="2"/>
      <c r="S891" s="2"/>
      <c r="T891" s="2"/>
      <c r="U891" s="2"/>
      <c r="V891" s="2"/>
      <c r="W891" s="2"/>
      <c r="X891" s="2"/>
      <c r="Y891" s="2"/>
    </row>
    <row r="892" spans="1:25" x14ac:dyDescent="0.2">
      <c r="A892">
        <v>953</v>
      </c>
      <c r="B892" t="s">
        <v>2040</v>
      </c>
      <c r="C892" t="s">
        <v>18</v>
      </c>
      <c r="D892" t="s">
        <v>2041</v>
      </c>
      <c r="E892" t="s">
        <v>2043</v>
      </c>
      <c r="F892" t="s">
        <v>78</v>
      </c>
      <c r="G892" t="s">
        <v>879</v>
      </c>
      <c r="H892" t="b">
        <v>1</v>
      </c>
      <c r="K892" t="b">
        <v>1</v>
      </c>
      <c r="L892" t="b">
        <v>1</v>
      </c>
      <c r="M892" t="s">
        <v>2044</v>
      </c>
      <c r="N892" t="s">
        <v>2045</v>
      </c>
    </row>
    <row r="893" spans="1:25" x14ac:dyDescent="0.2">
      <c r="A893">
        <v>954</v>
      </c>
      <c r="B893" t="s">
        <v>2040</v>
      </c>
      <c r="C893" t="s">
        <v>18</v>
      </c>
      <c r="D893" t="s">
        <v>2046</v>
      </c>
      <c r="E893" t="s">
        <v>2043</v>
      </c>
      <c r="F893" t="s">
        <v>78</v>
      </c>
      <c r="G893" t="s">
        <v>879</v>
      </c>
      <c r="H893" t="b">
        <v>1</v>
      </c>
      <c r="K893" t="b">
        <v>1</v>
      </c>
      <c r="L893" t="b">
        <v>1</v>
      </c>
      <c r="M893" t="s">
        <v>2047</v>
      </c>
    </row>
    <row r="894" spans="1:25" x14ac:dyDescent="0.2">
      <c r="A894">
        <v>955</v>
      </c>
      <c r="B894" t="s">
        <v>2040</v>
      </c>
      <c r="C894" t="s">
        <v>18</v>
      </c>
      <c r="D894" t="s">
        <v>2048</v>
      </c>
      <c r="E894" t="s">
        <v>2049</v>
      </c>
      <c r="F894" t="s">
        <v>78</v>
      </c>
      <c r="G894" t="s">
        <v>2050</v>
      </c>
      <c r="H894" t="b">
        <v>0</v>
      </c>
      <c r="K894" t="b">
        <v>0</v>
      </c>
      <c r="L894" t="b">
        <v>0</v>
      </c>
      <c r="M894" t="s">
        <v>2051</v>
      </c>
    </row>
    <row r="895" spans="1:25" x14ac:dyDescent="0.2">
      <c r="A895">
        <v>956</v>
      </c>
      <c r="B895" t="s">
        <v>2040</v>
      </c>
      <c r="C895" t="s">
        <v>18</v>
      </c>
      <c r="D895" t="s">
        <v>2052</v>
      </c>
      <c r="E895" t="s">
        <v>2053</v>
      </c>
      <c r="F895" t="s">
        <v>78</v>
      </c>
      <c r="G895" t="s">
        <v>879</v>
      </c>
      <c r="H895" t="b">
        <v>1</v>
      </c>
      <c r="K895" t="b">
        <v>1</v>
      </c>
      <c r="L895" t="b">
        <v>1</v>
      </c>
      <c r="M895" t="s">
        <v>2054</v>
      </c>
    </row>
    <row r="896" spans="1:25" x14ac:dyDescent="0.2">
      <c r="A896">
        <v>957</v>
      </c>
      <c r="B896" t="s">
        <v>2040</v>
      </c>
      <c r="C896" t="s">
        <v>18</v>
      </c>
      <c r="D896" t="s">
        <v>2055</v>
      </c>
      <c r="E896" t="s">
        <v>2056</v>
      </c>
      <c r="F896" t="s">
        <v>78</v>
      </c>
      <c r="G896" t="s">
        <v>879</v>
      </c>
      <c r="H896" t="b">
        <v>1</v>
      </c>
      <c r="K896" t="b">
        <v>1</v>
      </c>
      <c r="L896" t="b">
        <v>1</v>
      </c>
      <c r="M896" t="s">
        <v>2057</v>
      </c>
    </row>
    <row r="898" spans="1:25" x14ac:dyDescent="0.2">
      <c r="A898" s="2">
        <v>98</v>
      </c>
      <c r="B898" s="2" t="s">
        <v>2058</v>
      </c>
      <c r="C898" s="2" t="s">
        <v>13</v>
      </c>
      <c r="D898" s="2" t="s">
        <v>2059</v>
      </c>
      <c r="E898" s="2" t="s">
        <v>2060</v>
      </c>
      <c r="F898" s="2" t="s">
        <v>78</v>
      </c>
      <c r="G898" s="2" t="s">
        <v>252</v>
      </c>
      <c r="H898" s="2"/>
      <c r="I898" s="2"/>
      <c r="J898" s="2"/>
      <c r="K898" s="2"/>
      <c r="L898" s="2"/>
      <c r="M898" s="2"/>
      <c r="N898" s="2"/>
      <c r="O898" s="2"/>
      <c r="P898" s="2"/>
      <c r="Q898" s="2"/>
      <c r="R898" s="2"/>
      <c r="S898" s="2"/>
      <c r="T898" s="2"/>
      <c r="U898" s="2"/>
      <c r="V898" s="2"/>
      <c r="W898" s="2"/>
      <c r="X898" s="2"/>
      <c r="Y898" s="2"/>
    </row>
    <row r="899" spans="1:25" x14ac:dyDescent="0.2">
      <c r="A899">
        <v>99</v>
      </c>
      <c r="B899" t="s">
        <v>2058</v>
      </c>
      <c r="C899" t="s">
        <v>18</v>
      </c>
      <c r="D899" t="s">
        <v>2059</v>
      </c>
      <c r="E899" t="s">
        <v>2061</v>
      </c>
      <c r="F899" t="s">
        <v>78</v>
      </c>
      <c r="G899" t="s">
        <v>252</v>
      </c>
      <c r="H899" t="b">
        <v>1</v>
      </c>
      <c r="I899" t="b">
        <v>1</v>
      </c>
      <c r="L899" t="b">
        <v>1</v>
      </c>
      <c r="M899" t="s">
        <v>2062</v>
      </c>
      <c r="N899" t="s">
        <v>2063</v>
      </c>
      <c r="O899" t="s">
        <v>2064</v>
      </c>
      <c r="P899" t="s">
        <v>2065</v>
      </c>
    </row>
    <row r="900" spans="1:25" x14ac:dyDescent="0.2">
      <c r="A900">
        <v>100</v>
      </c>
      <c r="B900" t="s">
        <v>2058</v>
      </c>
      <c r="C900" t="s">
        <v>18</v>
      </c>
      <c r="D900" t="s">
        <v>2066</v>
      </c>
      <c r="E900" t="s">
        <v>2067</v>
      </c>
      <c r="F900" t="s">
        <v>78</v>
      </c>
      <c r="G900" t="s">
        <v>252</v>
      </c>
      <c r="H900" t="b">
        <v>0</v>
      </c>
      <c r="I900" t="b">
        <v>0</v>
      </c>
      <c r="L900" t="b">
        <v>0</v>
      </c>
      <c r="M900" t="s">
        <v>2068</v>
      </c>
    </row>
    <row r="901" spans="1:25" x14ac:dyDescent="0.2">
      <c r="A901">
        <v>101</v>
      </c>
      <c r="B901" t="s">
        <v>2058</v>
      </c>
      <c r="C901" t="s">
        <v>18</v>
      </c>
      <c r="D901" t="s">
        <v>2069</v>
      </c>
      <c r="E901" t="s">
        <v>2070</v>
      </c>
      <c r="F901" t="s">
        <v>78</v>
      </c>
      <c r="G901" t="s">
        <v>252</v>
      </c>
      <c r="H901" t="b">
        <v>0</v>
      </c>
      <c r="I901" t="b">
        <v>0</v>
      </c>
      <c r="L901" t="b">
        <v>0</v>
      </c>
      <c r="M901" t="s">
        <v>2071</v>
      </c>
    </row>
    <row r="902" spans="1:25" x14ac:dyDescent="0.2">
      <c r="A902">
        <v>102</v>
      </c>
      <c r="B902" t="s">
        <v>2058</v>
      </c>
      <c r="C902" t="s">
        <v>18</v>
      </c>
      <c r="D902" t="s">
        <v>2072</v>
      </c>
      <c r="E902" t="s">
        <v>2073</v>
      </c>
      <c r="F902" t="s">
        <v>78</v>
      </c>
      <c r="G902" t="s">
        <v>417</v>
      </c>
      <c r="H902" t="b">
        <v>0</v>
      </c>
      <c r="I902" t="b">
        <v>0</v>
      </c>
      <c r="L902" t="b">
        <v>0</v>
      </c>
      <c r="M902" t="s">
        <v>2074</v>
      </c>
      <c r="N902" t="s">
        <v>2075</v>
      </c>
      <c r="O902" t="s">
        <v>2076</v>
      </c>
    </row>
    <row r="903" spans="1:25" x14ac:dyDescent="0.2">
      <c r="A903">
        <v>103</v>
      </c>
      <c r="B903" t="s">
        <v>2058</v>
      </c>
      <c r="C903" t="s">
        <v>18</v>
      </c>
      <c r="D903" t="s">
        <v>2077</v>
      </c>
      <c r="E903" t="s">
        <v>2078</v>
      </c>
      <c r="F903" t="s">
        <v>78</v>
      </c>
      <c r="G903" t="s">
        <v>88</v>
      </c>
      <c r="H903" t="b">
        <v>0</v>
      </c>
      <c r="I903" t="b">
        <v>0</v>
      </c>
      <c r="L903" t="b">
        <v>0</v>
      </c>
    </row>
    <row r="905" spans="1:25" x14ac:dyDescent="0.2">
      <c r="A905" s="2">
        <v>980</v>
      </c>
      <c r="B905" s="2" t="s">
        <v>2079</v>
      </c>
      <c r="C905" s="2" t="s">
        <v>13</v>
      </c>
      <c r="D905" s="2" t="s">
        <v>2080</v>
      </c>
      <c r="E905" s="2" t="s">
        <v>2081</v>
      </c>
      <c r="F905" s="2" t="s">
        <v>200</v>
      </c>
      <c r="G905" s="2" t="s">
        <v>345</v>
      </c>
      <c r="H905" s="2"/>
      <c r="I905" s="2"/>
      <c r="J905" s="2"/>
      <c r="K905" s="2"/>
      <c r="L905" s="2"/>
      <c r="M905" s="2"/>
      <c r="N905" s="2"/>
      <c r="O905" s="2"/>
      <c r="P905" s="2"/>
      <c r="Q905" s="2"/>
      <c r="R905" s="2"/>
      <c r="S905" s="2"/>
      <c r="T905" s="2"/>
      <c r="U905" s="2"/>
      <c r="V905" s="2"/>
      <c r="W905" s="2"/>
      <c r="X905" s="2"/>
      <c r="Y905" s="2"/>
    </row>
    <row r="906" spans="1:25" x14ac:dyDescent="0.2">
      <c r="A906">
        <v>981</v>
      </c>
      <c r="B906" t="s">
        <v>2079</v>
      </c>
      <c r="C906" t="s">
        <v>18</v>
      </c>
      <c r="D906" t="s">
        <v>2080</v>
      </c>
      <c r="E906" t="s">
        <v>2082</v>
      </c>
      <c r="F906" t="s">
        <v>200</v>
      </c>
      <c r="G906" t="s">
        <v>345</v>
      </c>
      <c r="H906" t="b">
        <v>1</v>
      </c>
      <c r="I906" t="b">
        <v>1</v>
      </c>
      <c r="L906" t="b">
        <v>1</v>
      </c>
      <c r="M906" t="s">
        <v>2083</v>
      </c>
      <c r="N906" t="s">
        <v>2084</v>
      </c>
    </row>
    <row r="907" spans="1:25" x14ac:dyDescent="0.2">
      <c r="A907">
        <v>982</v>
      </c>
      <c r="B907" t="s">
        <v>2079</v>
      </c>
      <c r="C907" t="s">
        <v>18</v>
      </c>
      <c r="D907" t="s">
        <v>2085</v>
      </c>
      <c r="E907" t="s">
        <v>1435</v>
      </c>
      <c r="F907" t="s">
        <v>200</v>
      </c>
      <c r="G907" t="s">
        <v>32</v>
      </c>
      <c r="H907" t="b">
        <v>1</v>
      </c>
      <c r="I907" t="b">
        <v>1</v>
      </c>
      <c r="L907" t="b">
        <v>1</v>
      </c>
    </row>
    <row r="908" spans="1:25" x14ac:dyDescent="0.2">
      <c r="A908">
        <v>983</v>
      </c>
      <c r="B908" t="s">
        <v>2079</v>
      </c>
      <c r="C908" t="s">
        <v>18</v>
      </c>
      <c r="D908" t="s">
        <v>2086</v>
      </c>
      <c r="E908" t="s">
        <v>2087</v>
      </c>
      <c r="F908" t="s">
        <v>200</v>
      </c>
      <c r="G908" t="s">
        <v>345</v>
      </c>
      <c r="H908" t="b">
        <v>1</v>
      </c>
      <c r="I908" t="b">
        <v>1</v>
      </c>
      <c r="L908" t="b">
        <v>1</v>
      </c>
      <c r="M908" t="s">
        <v>2088</v>
      </c>
      <c r="N908" t="s">
        <v>2089</v>
      </c>
    </row>
    <row r="909" spans="1:25" x14ac:dyDescent="0.2">
      <c r="A909">
        <v>984</v>
      </c>
      <c r="B909" t="s">
        <v>2079</v>
      </c>
      <c r="C909" t="s">
        <v>18</v>
      </c>
      <c r="D909" t="s">
        <v>2090</v>
      </c>
      <c r="E909" t="s">
        <v>2091</v>
      </c>
      <c r="F909" t="s">
        <v>200</v>
      </c>
      <c r="G909" t="s">
        <v>345</v>
      </c>
      <c r="H909" t="b">
        <v>0</v>
      </c>
      <c r="I909" t="b">
        <v>0</v>
      </c>
      <c r="L909" t="b">
        <v>0</v>
      </c>
      <c r="M909" t="s">
        <v>2092</v>
      </c>
      <c r="N909" t="s">
        <v>2093</v>
      </c>
      <c r="O909" t="s">
        <v>2094</v>
      </c>
      <c r="P909" t="s">
        <v>2095</v>
      </c>
    </row>
    <row r="910" spans="1:25" x14ac:dyDescent="0.2">
      <c r="A910">
        <v>985</v>
      </c>
      <c r="B910" t="s">
        <v>2079</v>
      </c>
      <c r="C910" t="s">
        <v>18</v>
      </c>
      <c r="D910" t="s">
        <v>2096</v>
      </c>
      <c r="E910" t="s">
        <v>2097</v>
      </c>
      <c r="F910" t="s">
        <v>456</v>
      </c>
      <c r="G910" t="s">
        <v>345</v>
      </c>
      <c r="H910" t="b">
        <v>0</v>
      </c>
      <c r="I910" t="b">
        <v>0</v>
      </c>
      <c r="L910" t="b">
        <v>0</v>
      </c>
      <c r="M910" t="s">
        <v>2098</v>
      </c>
    </row>
    <row r="912" spans="1:25" x14ac:dyDescent="0.2">
      <c r="A912" s="2">
        <v>987</v>
      </c>
      <c r="B912" s="2" t="s">
        <v>2099</v>
      </c>
      <c r="C912" s="2" t="s">
        <v>13</v>
      </c>
      <c r="D912" s="2" t="s">
        <v>2100</v>
      </c>
      <c r="E912" s="2" t="s">
        <v>2101</v>
      </c>
      <c r="F912" s="2" t="s">
        <v>670</v>
      </c>
      <c r="G912" s="2" t="s">
        <v>17</v>
      </c>
      <c r="H912" s="2"/>
      <c r="I912" s="2"/>
      <c r="J912" s="2"/>
      <c r="K912" s="2"/>
      <c r="L912" s="2"/>
      <c r="M912" s="2"/>
      <c r="N912" s="2"/>
      <c r="O912" s="2"/>
      <c r="P912" s="2"/>
      <c r="Q912" s="2"/>
      <c r="R912" s="2"/>
      <c r="S912" s="2"/>
      <c r="T912" s="2"/>
      <c r="U912" s="2"/>
      <c r="V912" s="2"/>
      <c r="W912" s="2"/>
      <c r="X912" s="2"/>
      <c r="Y912" s="2"/>
    </row>
    <row r="913" spans="1:25" x14ac:dyDescent="0.2">
      <c r="A913">
        <v>988</v>
      </c>
      <c r="B913" t="s">
        <v>2099</v>
      </c>
      <c r="C913" t="s">
        <v>18</v>
      </c>
      <c r="D913" t="s">
        <v>2100</v>
      </c>
      <c r="E913" t="s">
        <v>2102</v>
      </c>
      <c r="F913" t="s">
        <v>670</v>
      </c>
      <c r="G913" t="s">
        <v>17</v>
      </c>
      <c r="H913" t="b">
        <v>1</v>
      </c>
      <c r="K913" t="b">
        <v>1</v>
      </c>
      <c r="L913" t="b">
        <v>1</v>
      </c>
      <c r="M913" t="s">
        <v>2103</v>
      </c>
    </row>
    <row r="914" spans="1:25" x14ac:dyDescent="0.2">
      <c r="A914">
        <v>989</v>
      </c>
      <c r="B914" t="s">
        <v>2099</v>
      </c>
      <c r="C914" t="s">
        <v>18</v>
      </c>
      <c r="D914" t="s">
        <v>2104</v>
      </c>
      <c r="E914" t="s">
        <v>2105</v>
      </c>
      <c r="F914" t="s">
        <v>670</v>
      </c>
      <c r="G914" t="s">
        <v>17</v>
      </c>
      <c r="H914" t="b">
        <v>1</v>
      </c>
      <c r="K914" t="b">
        <v>1</v>
      </c>
      <c r="L914" t="b">
        <v>1</v>
      </c>
      <c r="M914" t="s">
        <v>2106</v>
      </c>
      <c r="N914" t="s">
        <v>2107</v>
      </c>
    </row>
    <row r="915" spans="1:25" x14ac:dyDescent="0.2">
      <c r="A915">
        <v>990</v>
      </c>
      <c r="B915" t="s">
        <v>2099</v>
      </c>
      <c r="C915" t="s">
        <v>18</v>
      </c>
      <c r="D915" t="s">
        <v>2108</v>
      </c>
      <c r="E915" t="s">
        <v>2109</v>
      </c>
      <c r="F915" t="s">
        <v>27</v>
      </c>
      <c r="G915" t="s">
        <v>17</v>
      </c>
      <c r="H915" t="b">
        <v>0</v>
      </c>
      <c r="K915" t="b">
        <v>0</v>
      </c>
      <c r="L915" t="b">
        <v>0</v>
      </c>
      <c r="M915" t="s">
        <v>2110</v>
      </c>
      <c r="N915" t="s">
        <v>2111</v>
      </c>
    </row>
    <row r="916" spans="1:25" x14ac:dyDescent="0.2">
      <c r="A916">
        <v>991</v>
      </c>
      <c r="B916" t="s">
        <v>2099</v>
      </c>
      <c r="C916" t="s">
        <v>18</v>
      </c>
      <c r="D916" t="s">
        <v>2112</v>
      </c>
      <c r="E916" t="s">
        <v>2113</v>
      </c>
      <c r="F916" t="s">
        <v>78</v>
      </c>
      <c r="G916" t="s">
        <v>17</v>
      </c>
      <c r="H916" t="b">
        <v>0</v>
      </c>
      <c r="K916" t="b">
        <v>0</v>
      </c>
      <c r="L916" t="b">
        <v>0</v>
      </c>
      <c r="M916" t="s">
        <v>2114</v>
      </c>
    </row>
    <row r="917" spans="1:25" x14ac:dyDescent="0.2">
      <c r="A917">
        <v>992</v>
      </c>
      <c r="B917" t="s">
        <v>2099</v>
      </c>
      <c r="C917" t="s">
        <v>18</v>
      </c>
      <c r="D917" t="s">
        <v>2115</v>
      </c>
      <c r="E917" t="s">
        <v>2116</v>
      </c>
      <c r="F917" t="s">
        <v>27</v>
      </c>
      <c r="G917" t="s">
        <v>88</v>
      </c>
      <c r="H917" t="b">
        <v>0</v>
      </c>
      <c r="K917" t="b">
        <v>0</v>
      </c>
      <c r="L917" t="b">
        <v>0</v>
      </c>
      <c r="M917" t="s">
        <v>2117</v>
      </c>
      <c r="N917" t="s">
        <v>2118</v>
      </c>
    </row>
    <row r="919" spans="1:25" x14ac:dyDescent="0.2">
      <c r="A919" s="2">
        <v>1001</v>
      </c>
      <c r="B919" s="2" t="s">
        <v>2119</v>
      </c>
      <c r="C919" s="2" t="s">
        <v>13</v>
      </c>
      <c r="D919" s="2" t="s">
        <v>2120</v>
      </c>
      <c r="E919" s="2" t="s">
        <v>2121</v>
      </c>
      <c r="F919" s="2" t="s">
        <v>2122</v>
      </c>
      <c r="G919" s="2" t="s">
        <v>88</v>
      </c>
      <c r="H919" s="2"/>
      <c r="I919" s="2"/>
      <c r="J919" s="2"/>
      <c r="K919" s="2"/>
      <c r="L919" s="2"/>
      <c r="M919" s="2"/>
      <c r="N919" s="2"/>
      <c r="O919" s="2"/>
      <c r="P919" s="2"/>
      <c r="Q919" s="2"/>
      <c r="R919" s="2"/>
      <c r="S919" s="2"/>
      <c r="T919" s="2"/>
      <c r="U919" s="2"/>
      <c r="V919" s="2"/>
      <c r="W919" s="2"/>
      <c r="X919" s="2"/>
      <c r="Y919" s="2"/>
    </row>
    <row r="920" spans="1:25" x14ac:dyDescent="0.2">
      <c r="A920">
        <v>1002</v>
      </c>
      <c r="B920" t="s">
        <v>2119</v>
      </c>
      <c r="C920" t="s">
        <v>18</v>
      </c>
      <c r="D920" t="s">
        <v>2123</v>
      </c>
      <c r="E920" t="s">
        <v>2124</v>
      </c>
      <c r="F920" t="s">
        <v>78</v>
      </c>
      <c r="G920" t="s">
        <v>17</v>
      </c>
      <c r="H920" t="b">
        <v>0</v>
      </c>
      <c r="I920" t="b">
        <v>0</v>
      </c>
      <c r="L920" t="b">
        <v>0</v>
      </c>
      <c r="M920" t="s">
        <v>2125</v>
      </c>
      <c r="N920" t="s">
        <v>2126</v>
      </c>
    </row>
    <row r="921" spans="1:25" x14ac:dyDescent="0.2">
      <c r="A921">
        <v>1003</v>
      </c>
      <c r="B921" t="s">
        <v>2119</v>
      </c>
      <c r="C921" t="s">
        <v>18</v>
      </c>
      <c r="D921" t="s">
        <v>2127</v>
      </c>
      <c r="E921" t="s">
        <v>2128</v>
      </c>
      <c r="F921" t="s">
        <v>23</v>
      </c>
      <c r="G921" t="s">
        <v>88</v>
      </c>
      <c r="H921" t="b">
        <v>0</v>
      </c>
      <c r="I921" t="b">
        <v>0</v>
      </c>
      <c r="L921" t="b">
        <v>0</v>
      </c>
      <c r="M921" t="s">
        <v>2129</v>
      </c>
      <c r="N921" t="s">
        <v>2130</v>
      </c>
      <c r="O921" t="s">
        <v>2131</v>
      </c>
      <c r="P921" t="s">
        <v>2132</v>
      </c>
    </row>
    <row r="922" spans="1:25" x14ac:dyDescent="0.2">
      <c r="A922">
        <v>1004</v>
      </c>
      <c r="B922" t="s">
        <v>2119</v>
      </c>
      <c r="C922" t="s">
        <v>18</v>
      </c>
      <c r="D922" t="s">
        <v>2133</v>
      </c>
      <c r="E922" t="s">
        <v>701</v>
      </c>
      <c r="F922" t="s">
        <v>1010</v>
      </c>
      <c r="G922" t="s">
        <v>345</v>
      </c>
      <c r="H922" t="b">
        <v>0</v>
      </c>
      <c r="I922" t="b">
        <v>0</v>
      </c>
      <c r="L922" t="b">
        <v>0</v>
      </c>
      <c r="M922" t="s">
        <v>2134</v>
      </c>
      <c r="N922" t="s">
        <v>2135</v>
      </c>
    </row>
    <row r="923" spans="1:25" x14ac:dyDescent="0.2">
      <c r="A923">
        <v>1005</v>
      </c>
      <c r="B923" t="s">
        <v>2119</v>
      </c>
      <c r="C923" t="s">
        <v>18</v>
      </c>
      <c r="D923" t="s">
        <v>2136</v>
      </c>
      <c r="E923" t="s">
        <v>2137</v>
      </c>
      <c r="F923" t="s">
        <v>78</v>
      </c>
      <c r="G923" t="s">
        <v>88</v>
      </c>
      <c r="H923" t="b">
        <v>0</v>
      </c>
      <c r="I923" t="b">
        <v>0</v>
      </c>
      <c r="L923" t="b">
        <v>0</v>
      </c>
      <c r="M923" t="s">
        <v>2138</v>
      </c>
      <c r="N923" t="s">
        <v>2139</v>
      </c>
    </row>
    <row r="924" spans="1:25" x14ac:dyDescent="0.2">
      <c r="A924">
        <v>1006</v>
      </c>
      <c r="B924" t="s">
        <v>2119</v>
      </c>
      <c r="C924" t="s">
        <v>18</v>
      </c>
      <c r="D924" t="s">
        <v>2140</v>
      </c>
      <c r="E924" t="s">
        <v>2141</v>
      </c>
      <c r="F924" t="s">
        <v>78</v>
      </c>
      <c r="G924" t="s">
        <v>17</v>
      </c>
      <c r="H924" t="b">
        <v>0</v>
      </c>
      <c r="I924" t="b">
        <v>0</v>
      </c>
      <c r="L924" t="b">
        <v>0</v>
      </c>
      <c r="M924" t="s">
        <v>2142</v>
      </c>
    </row>
    <row r="926" spans="1:25" x14ac:dyDescent="0.2">
      <c r="A926" s="2">
        <v>1022</v>
      </c>
      <c r="B926" s="2" t="s">
        <v>2143</v>
      </c>
      <c r="C926" s="2" t="s">
        <v>13</v>
      </c>
      <c r="D926" s="2" t="s">
        <v>2144</v>
      </c>
      <c r="E926" s="2" t="s">
        <v>2145</v>
      </c>
      <c r="F926" s="2" t="s">
        <v>654</v>
      </c>
      <c r="G926" s="2" t="s">
        <v>252</v>
      </c>
      <c r="H926" s="2"/>
      <c r="I926" s="2"/>
      <c r="J926" s="2"/>
      <c r="K926" s="2"/>
      <c r="L926" s="2"/>
      <c r="M926" s="2"/>
      <c r="N926" s="2"/>
      <c r="O926" s="2"/>
      <c r="P926" s="2"/>
      <c r="Q926" s="2"/>
      <c r="R926" s="2"/>
      <c r="S926" s="2"/>
      <c r="T926" s="2"/>
      <c r="U926" s="2"/>
      <c r="V926" s="2"/>
      <c r="W926" s="2"/>
      <c r="X926" s="2"/>
      <c r="Y926" s="2"/>
    </row>
    <row r="927" spans="1:25" x14ac:dyDescent="0.2">
      <c r="A927">
        <v>1023</v>
      </c>
      <c r="B927" t="s">
        <v>2143</v>
      </c>
      <c r="C927" t="s">
        <v>18</v>
      </c>
      <c r="D927" t="s">
        <v>2144</v>
      </c>
      <c r="E927" t="s">
        <v>2145</v>
      </c>
      <c r="F927" t="s">
        <v>654</v>
      </c>
      <c r="G927" t="s">
        <v>252</v>
      </c>
      <c r="H927" t="b">
        <v>1</v>
      </c>
      <c r="K927" t="b">
        <v>1</v>
      </c>
      <c r="L927" t="b">
        <v>1</v>
      </c>
      <c r="M927" t="s">
        <v>2146</v>
      </c>
      <c r="N927" t="s">
        <v>2147</v>
      </c>
      <c r="O927" t="s">
        <v>2148</v>
      </c>
      <c r="P927" t="s">
        <v>2149</v>
      </c>
    </row>
    <row r="928" spans="1:25" x14ac:dyDescent="0.2">
      <c r="A928">
        <v>1024</v>
      </c>
      <c r="B928" t="s">
        <v>2143</v>
      </c>
      <c r="C928" t="s">
        <v>18</v>
      </c>
      <c r="D928" t="s">
        <v>2150</v>
      </c>
      <c r="E928" t="s">
        <v>2151</v>
      </c>
      <c r="F928" t="s">
        <v>654</v>
      </c>
      <c r="G928" t="s">
        <v>252</v>
      </c>
      <c r="H928" t="b">
        <v>0</v>
      </c>
      <c r="K928" t="b">
        <v>0</v>
      </c>
      <c r="L928" t="b">
        <v>0</v>
      </c>
      <c r="M928" t="s">
        <v>2152</v>
      </c>
      <c r="N928" t="s">
        <v>2153</v>
      </c>
    </row>
    <row r="929" spans="1:25" x14ac:dyDescent="0.2">
      <c r="A929">
        <v>1025</v>
      </c>
      <c r="B929" t="s">
        <v>2143</v>
      </c>
      <c r="C929" t="s">
        <v>18</v>
      </c>
      <c r="D929" t="s">
        <v>2154</v>
      </c>
      <c r="E929" t="s">
        <v>2155</v>
      </c>
      <c r="F929" t="s">
        <v>205</v>
      </c>
      <c r="G929" t="s">
        <v>252</v>
      </c>
      <c r="H929" t="b">
        <v>0</v>
      </c>
      <c r="K929" t="b">
        <v>0</v>
      </c>
      <c r="L929" t="b">
        <v>0</v>
      </c>
      <c r="M929" t="s">
        <v>2156</v>
      </c>
    </row>
    <row r="930" spans="1:25" x14ac:dyDescent="0.2">
      <c r="A930">
        <v>1026</v>
      </c>
      <c r="B930" t="s">
        <v>2143</v>
      </c>
      <c r="C930" t="s">
        <v>18</v>
      </c>
      <c r="D930" t="s">
        <v>2157</v>
      </c>
      <c r="E930" t="s">
        <v>2158</v>
      </c>
      <c r="F930" t="s">
        <v>2159</v>
      </c>
      <c r="G930" t="s">
        <v>252</v>
      </c>
      <c r="H930" t="b">
        <v>0</v>
      </c>
      <c r="K930" t="b">
        <v>0</v>
      </c>
      <c r="L930" t="b">
        <v>0</v>
      </c>
      <c r="M930" t="s">
        <v>2160</v>
      </c>
      <c r="N930" t="s">
        <v>2161</v>
      </c>
      <c r="O930" t="s">
        <v>2162</v>
      </c>
      <c r="P930" t="s">
        <v>2163</v>
      </c>
    </row>
    <row r="931" spans="1:25" x14ac:dyDescent="0.2">
      <c r="A931">
        <v>1027</v>
      </c>
      <c r="B931" t="s">
        <v>2143</v>
      </c>
      <c r="C931" t="s">
        <v>18</v>
      </c>
      <c r="D931" t="s">
        <v>2164</v>
      </c>
      <c r="E931" t="s">
        <v>2165</v>
      </c>
      <c r="F931" t="s">
        <v>596</v>
      </c>
      <c r="G931" t="s">
        <v>252</v>
      </c>
      <c r="H931" t="b">
        <v>0</v>
      </c>
      <c r="K931" t="b">
        <v>0</v>
      </c>
      <c r="L931" t="b">
        <v>0</v>
      </c>
    </row>
    <row r="933" spans="1:25" x14ac:dyDescent="0.2">
      <c r="A933" s="2">
        <v>1043</v>
      </c>
      <c r="B933" s="2" t="s">
        <v>2166</v>
      </c>
      <c r="C933" s="2" t="s">
        <v>13</v>
      </c>
      <c r="D933" s="2" t="s">
        <v>2167</v>
      </c>
      <c r="E933" s="2" t="s">
        <v>2168</v>
      </c>
      <c r="F933" s="2" t="s">
        <v>23</v>
      </c>
      <c r="G933" s="2" t="s">
        <v>62</v>
      </c>
      <c r="H933" s="2"/>
      <c r="I933" s="2"/>
      <c r="J933" s="2"/>
      <c r="K933" s="2"/>
      <c r="L933" s="2"/>
      <c r="M933" s="2"/>
      <c r="N933" s="2"/>
      <c r="O933" s="2"/>
      <c r="P933" s="2"/>
      <c r="Q933" s="2"/>
      <c r="R933" s="2"/>
      <c r="S933" s="2"/>
      <c r="T933" s="2"/>
      <c r="U933" s="2"/>
      <c r="V933" s="2"/>
      <c r="W933" s="2"/>
      <c r="X933" s="2"/>
      <c r="Y933" s="2"/>
    </row>
    <row r="934" spans="1:25" x14ac:dyDescent="0.2">
      <c r="A934">
        <v>1044</v>
      </c>
      <c r="B934" t="s">
        <v>2166</v>
      </c>
      <c r="C934" t="s">
        <v>18</v>
      </c>
      <c r="D934" t="s">
        <v>2167</v>
      </c>
      <c r="E934" t="s">
        <v>2168</v>
      </c>
      <c r="F934" t="s">
        <v>23</v>
      </c>
      <c r="G934" t="s">
        <v>62</v>
      </c>
      <c r="H934" t="b">
        <v>1</v>
      </c>
      <c r="K934" t="b">
        <v>1</v>
      </c>
      <c r="L934" t="b">
        <v>1</v>
      </c>
      <c r="M934" t="s">
        <v>2169</v>
      </c>
      <c r="N934" t="s">
        <v>2170</v>
      </c>
    </row>
    <row r="935" spans="1:25" x14ac:dyDescent="0.2">
      <c r="A935">
        <v>1045</v>
      </c>
      <c r="B935" t="s">
        <v>2166</v>
      </c>
      <c r="C935" t="s">
        <v>18</v>
      </c>
      <c r="D935" t="s">
        <v>2171</v>
      </c>
      <c r="E935" t="s">
        <v>2172</v>
      </c>
      <c r="F935" t="s">
        <v>23</v>
      </c>
      <c r="G935" t="s">
        <v>252</v>
      </c>
      <c r="H935" t="b">
        <v>0</v>
      </c>
      <c r="K935" t="b">
        <v>0</v>
      </c>
      <c r="L935" t="b">
        <v>0</v>
      </c>
      <c r="M935" t="s">
        <v>2173</v>
      </c>
      <c r="N935" t="s">
        <v>2174</v>
      </c>
    </row>
    <row r="936" spans="1:25" x14ac:dyDescent="0.2">
      <c r="A936">
        <v>1046</v>
      </c>
      <c r="B936" t="s">
        <v>2166</v>
      </c>
      <c r="C936" t="s">
        <v>18</v>
      </c>
      <c r="D936" t="s">
        <v>2175</v>
      </c>
      <c r="E936" t="s">
        <v>2176</v>
      </c>
      <c r="F936" t="s">
        <v>122</v>
      </c>
      <c r="G936" t="s">
        <v>24</v>
      </c>
      <c r="H936" t="b">
        <v>0</v>
      </c>
      <c r="K936" t="b">
        <v>0</v>
      </c>
      <c r="L936" t="b">
        <v>0</v>
      </c>
    </row>
    <row r="937" spans="1:25" x14ac:dyDescent="0.2">
      <c r="A937">
        <v>1047</v>
      </c>
      <c r="B937" t="s">
        <v>2166</v>
      </c>
      <c r="C937" t="s">
        <v>18</v>
      </c>
      <c r="D937" t="s">
        <v>2177</v>
      </c>
      <c r="E937" t="s">
        <v>2178</v>
      </c>
      <c r="F937" t="s">
        <v>78</v>
      </c>
      <c r="G937" t="s">
        <v>252</v>
      </c>
      <c r="H937" t="b">
        <v>0</v>
      </c>
      <c r="K937" t="b">
        <v>0</v>
      </c>
      <c r="L937" t="b">
        <v>0</v>
      </c>
      <c r="M937" t="s">
        <v>2179</v>
      </c>
      <c r="N937" t="s">
        <v>745</v>
      </c>
    </row>
    <row r="938" spans="1:25" x14ac:dyDescent="0.2">
      <c r="A938">
        <v>1048</v>
      </c>
      <c r="B938" t="s">
        <v>2166</v>
      </c>
      <c r="C938" t="s">
        <v>18</v>
      </c>
      <c r="D938" t="s">
        <v>2180</v>
      </c>
      <c r="E938" t="s">
        <v>2181</v>
      </c>
      <c r="F938" t="s">
        <v>78</v>
      </c>
      <c r="G938" t="s">
        <v>17</v>
      </c>
      <c r="H938" t="b">
        <v>0</v>
      </c>
      <c r="K938" t="b">
        <v>0</v>
      </c>
      <c r="L938" t="b">
        <v>0</v>
      </c>
    </row>
    <row r="940" spans="1:25" x14ac:dyDescent="0.2">
      <c r="A940" s="2">
        <v>1050</v>
      </c>
      <c r="B940" s="2" t="s">
        <v>2182</v>
      </c>
      <c r="C940" s="2" t="s">
        <v>13</v>
      </c>
      <c r="D940" s="2" t="s">
        <v>2183</v>
      </c>
      <c r="E940" s="2" t="s">
        <v>2184</v>
      </c>
      <c r="F940" s="2" t="s">
        <v>87</v>
      </c>
      <c r="G940" s="2" t="s">
        <v>252</v>
      </c>
      <c r="H940" s="2"/>
      <c r="I940" s="2"/>
      <c r="J940" s="2"/>
      <c r="K940" s="2"/>
      <c r="L940" s="2"/>
      <c r="M940" s="2"/>
      <c r="N940" s="2"/>
      <c r="O940" s="2"/>
      <c r="P940" s="2"/>
      <c r="Q940" s="2"/>
      <c r="R940" s="2"/>
      <c r="S940" s="2"/>
      <c r="T940" s="2"/>
      <c r="U940" s="2"/>
      <c r="V940" s="2"/>
      <c r="W940" s="2"/>
      <c r="X940" s="2"/>
      <c r="Y940" s="2"/>
    </row>
    <row r="941" spans="1:25" x14ac:dyDescent="0.2">
      <c r="A941">
        <v>1051</v>
      </c>
      <c r="B941" t="s">
        <v>2182</v>
      </c>
      <c r="C941" t="s">
        <v>18</v>
      </c>
      <c r="D941" t="s">
        <v>2183</v>
      </c>
      <c r="E941" t="s">
        <v>2184</v>
      </c>
      <c r="F941" t="s">
        <v>87</v>
      </c>
      <c r="G941" t="s">
        <v>252</v>
      </c>
      <c r="H941" t="b">
        <v>1</v>
      </c>
      <c r="K941" t="b">
        <v>1</v>
      </c>
      <c r="L941" t="b">
        <v>1</v>
      </c>
      <c r="M941" t="s">
        <v>2185</v>
      </c>
      <c r="N941" t="s">
        <v>2186</v>
      </c>
    </row>
    <row r="942" spans="1:25" x14ac:dyDescent="0.2">
      <c r="A942">
        <v>1052</v>
      </c>
      <c r="B942" t="s">
        <v>2182</v>
      </c>
      <c r="C942" t="s">
        <v>18</v>
      </c>
      <c r="D942" t="s">
        <v>2171</v>
      </c>
      <c r="E942" t="s">
        <v>2172</v>
      </c>
      <c r="F942" t="s">
        <v>23</v>
      </c>
      <c r="G942" t="s">
        <v>252</v>
      </c>
      <c r="H942" t="b">
        <v>0</v>
      </c>
      <c r="K942" t="b">
        <v>0</v>
      </c>
      <c r="L942" t="b">
        <v>0</v>
      </c>
      <c r="M942" t="s">
        <v>2173</v>
      </c>
      <c r="N942" t="s">
        <v>2174</v>
      </c>
    </row>
    <row r="943" spans="1:25" x14ac:dyDescent="0.2">
      <c r="A943">
        <v>1053</v>
      </c>
      <c r="B943" t="s">
        <v>2182</v>
      </c>
      <c r="C943" t="s">
        <v>18</v>
      </c>
      <c r="D943" t="s">
        <v>2187</v>
      </c>
      <c r="E943" t="s">
        <v>2188</v>
      </c>
      <c r="F943" t="s">
        <v>87</v>
      </c>
      <c r="G943" t="s">
        <v>252</v>
      </c>
      <c r="H943" t="b">
        <v>0</v>
      </c>
      <c r="K943" t="b">
        <v>0</v>
      </c>
      <c r="L943" t="b">
        <v>0</v>
      </c>
      <c r="M943" t="s">
        <v>2189</v>
      </c>
      <c r="N943" t="s">
        <v>2190</v>
      </c>
    </row>
    <row r="944" spans="1:25" x14ac:dyDescent="0.2">
      <c r="A944">
        <v>1054</v>
      </c>
      <c r="B944" t="s">
        <v>2182</v>
      </c>
      <c r="C944" t="s">
        <v>18</v>
      </c>
      <c r="D944" t="s">
        <v>2177</v>
      </c>
      <c r="E944" t="s">
        <v>2178</v>
      </c>
      <c r="F944" t="s">
        <v>78</v>
      </c>
      <c r="G944" t="s">
        <v>252</v>
      </c>
      <c r="H944" t="b">
        <v>0</v>
      </c>
      <c r="K944" t="b">
        <v>0</v>
      </c>
      <c r="L944" t="b">
        <v>0</v>
      </c>
      <c r="M944" t="s">
        <v>2179</v>
      </c>
      <c r="N944" t="s">
        <v>745</v>
      </c>
    </row>
    <row r="945" spans="1:25" x14ac:dyDescent="0.2">
      <c r="A945">
        <v>1055</v>
      </c>
      <c r="B945" t="s">
        <v>2182</v>
      </c>
      <c r="C945" t="s">
        <v>18</v>
      </c>
      <c r="D945" t="s">
        <v>2191</v>
      </c>
      <c r="E945" t="s">
        <v>2192</v>
      </c>
      <c r="F945" t="s">
        <v>248</v>
      </c>
      <c r="G945" t="s">
        <v>252</v>
      </c>
      <c r="H945" t="b">
        <v>0</v>
      </c>
      <c r="K945" t="b">
        <v>0</v>
      </c>
      <c r="L945" t="b">
        <v>0</v>
      </c>
    </row>
    <row r="947" spans="1:25" x14ac:dyDescent="0.2">
      <c r="A947" s="2">
        <v>1064</v>
      </c>
      <c r="B947" s="2" t="s">
        <v>2193</v>
      </c>
      <c r="C947" s="2" t="s">
        <v>13</v>
      </c>
      <c r="D947" s="2" t="s">
        <v>2194</v>
      </c>
      <c r="E947" s="2" t="s">
        <v>2195</v>
      </c>
      <c r="F947" s="2" t="s">
        <v>174</v>
      </c>
      <c r="G947" s="2" t="s">
        <v>24</v>
      </c>
      <c r="H947" s="2"/>
      <c r="I947" s="2"/>
      <c r="J947" s="2"/>
      <c r="K947" s="2"/>
      <c r="L947" s="2"/>
      <c r="M947" s="2"/>
      <c r="N947" s="2"/>
      <c r="O947" s="2"/>
      <c r="P947" s="2"/>
      <c r="Q947" s="2"/>
      <c r="R947" s="2"/>
      <c r="S947" s="2"/>
      <c r="T947" s="2"/>
      <c r="U947" s="2"/>
      <c r="V947" s="2"/>
      <c r="W947" s="2"/>
      <c r="X947" s="2"/>
      <c r="Y947" s="2"/>
    </row>
    <row r="948" spans="1:25" x14ac:dyDescent="0.2">
      <c r="A948">
        <v>1065</v>
      </c>
      <c r="B948" t="s">
        <v>2193</v>
      </c>
      <c r="C948" t="s">
        <v>18</v>
      </c>
      <c r="D948" t="s">
        <v>2194</v>
      </c>
      <c r="E948" t="s">
        <v>2195</v>
      </c>
      <c r="F948" t="s">
        <v>174</v>
      </c>
      <c r="G948" t="s">
        <v>24</v>
      </c>
      <c r="H948" t="b">
        <v>1</v>
      </c>
      <c r="I948" t="b">
        <v>1</v>
      </c>
      <c r="L948" t="b">
        <v>1</v>
      </c>
      <c r="M948" t="s">
        <v>2196</v>
      </c>
      <c r="N948" t="s">
        <v>2197</v>
      </c>
    </row>
    <row r="949" spans="1:25" x14ac:dyDescent="0.2">
      <c r="A949">
        <v>1066</v>
      </c>
      <c r="B949" t="s">
        <v>2193</v>
      </c>
      <c r="C949" t="s">
        <v>18</v>
      </c>
      <c r="D949" t="s">
        <v>2198</v>
      </c>
      <c r="E949" t="s">
        <v>2199</v>
      </c>
      <c r="F949" t="s">
        <v>174</v>
      </c>
      <c r="G949" t="s">
        <v>17</v>
      </c>
      <c r="H949" t="b">
        <v>0</v>
      </c>
      <c r="I949" t="b">
        <v>0</v>
      </c>
      <c r="L949" t="b">
        <v>0</v>
      </c>
    </row>
    <row r="950" spans="1:25" x14ac:dyDescent="0.2">
      <c r="A950">
        <v>1067</v>
      </c>
      <c r="B950" t="s">
        <v>2193</v>
      </c>
      <c r="C950" t="s">
        <v>18</v>
      </c>
      <c r="D950" t="s">
        <v>2200</v>
      </c>
      <c r="E950" t="s">
        <v>2201</v>
      </c>
      <c r="F950" t="s">
        <v>174</v>
      </c>
      <c r="G950" t="s">
        <v>24</v>
      </c>
      <c r="H950" t="b">
        <v>0</v>
      </c>
      <c r="I950" t="b">
        <v>0</v>
      </c>
      <c r="L950" t="b">
        <v>0</v>
      </c>
    </row>
    <row r="951" spans="1:25" x14ac:dyDescent="0.2">
      <c r="A951">
        <v>1068</v>
      </c>
      <c r="B951" t="s">
        <v>2193</v>
      </c>
      <c r="C951" t="s">
        <v>18</v>
      </c>
      <c r="D951" t="s">
        <v>2202</v>
      </c>
      <c r="E951" t="s">
        <v>2203</v>
      </c>
      <c r="F951" t="s">
        <v>23</v>
      </c>
      <c r="G951" t="s">
        <v>134</v>
      </c>
      <c r="H951" t="b">
        <v>0</v>
      </c>
      <c r="I951" t="b">
        <v>0</v>
      </c>
      <c r="L951" t="b">
        <v>0</v>
      </c>
      <c r="M951" t="s">
        <v>2204</v>
      </c>
    </row>
    <row r="952" spans="1:25" x14ac:dyDescent="0.2">
      <c r="A952">
        <v>1069</v>
      </c>
      <c r="B952" t="s">
        <v>2193</v>
      </c>
      <c r="C952" t="s">
        <v>18</v>
      </c>
      <c r="D952" t="s">
        <v>1731</v>
      </c>
      <c r="E952" t="s">
        <v>1732</v>
      </c>
      <c r="F952" t="s">
        <v>23</v>
      </c>
      <c r="G952" t="s">
        <v>134</v>
      </c>
      <c r="H952" t="b">
        <v>0</v>
      </c>
      <c r="I952" t="b">
        <v>0</v>
      </c>
      <c r="L952" t="b">
        <v>0</v>
      </c>
      <c r="M952" t="s">
        <v>1733</v>
      </c>
    </row>
    <row r="954" spans="1:25" x14ac:dyDescent="0.2">
      <c r="A954" s="2">
        <v>1078</v>
      </c>
      <c r="B954" s="2" t="s">
        <v>2205</v>
      </c>
      <c r="C954" s="2" t="s">
        <v>13</v>
      </c>
      <c r="D954" s="2" t="s">
        <v>2206</v>
      </c>
      <c r="E954" s="2" t="s">
        <v>2207</v>
      </c>
      <c r="F954" s="2" t="s">
        <v>420</v>
      </c>
      <c r="G954" s="2" t="s">
        <v>2208</v>
      </c>
      <c r="H954" s="2"/>
      <c r="I954" s="2"/>
      <c r="J954" s="2"/>
      <c r="K954" s="2"/>
      <c r="L954" s="2"/>
      <c r="M954" s="2"/>
      <c r="N954" s="2"/>
      <c r="O954" s="2"/>
      <c r="P954" s="2"/>
      <c r="Q954" s="2"/>
      <c r="R954" s="2"/>
      <c r="S954" s="2"/>
      <c r="T954" s="2"/>
      <c r="U954" s="2"/>
      <c r="V954" s="2"/>
      <c r="W954" s="2"/>
      <c r="X954" s="2"/>
      <c r="Y954" s="2"/>
    </row>
    <row r="955" spans="1:25" x14ac:dyDescent="0.2">
      <c r="A955">
        <v>1079</v>
      </c>
      <c r="B955" t="s">
        <v>2205</v>
      </c>
      <c r="C955" t="s">
        <v>18</v>
      </c>
      <c r="D955" t="s">
        <v>2209</v>
      </c>
      <c r="E955" t="s">
        <v>2210</v>
      </c>
      <c r="F955" t="s">
        <v>420</v>
      </c>
      <c r="G955" t="s">
        <v>2208</v>
      </c>
      <c r="H955" t="b">
        <v>1</v>
      </c>
      <c r="I955" t="b">
        <v>1</v>
      </c>
      <c r="L955" t="b">
        <v>1</v>
      </c>
      <c r="M955" t="s">
        <v>2211</v>
      </c>
      <c r="N955" t="s">
        <v>2212</v>
      </c>
    </row>
    <row r="956" spans="1:25" x14ac:dyDescent="0.2">
      <c r="A956">
        <v>1080</v>
      </c>
      <c r="B956" t="s">
        <v>2205</v>
      </c>
      <c r="C956" t="s">
        <v>18</v>
      </c>
      <c r="D956" t="s">
        <v>2213</v>
      </c>
      <c r="E956" t="s">
        <v>2214</v>
      </c>
      <c r="F956" t="s">
        <v>420</v>
      </c>
      <c r="G956" t="s">
        <v>2208</v>
      </c>
      <c r="H956" t="b">
        <v>0</v>
      </c>
      <c r="I956" t="b">
        <v>0</v>
      </c>
      <c r="L956" t="b">
        <v>0</v>
      </c>
      <c r="M956" t="s">
        <v>2215</v>
      </c>
      <c r="N956" t="s">
        <v>2216</v>
      </c>
    </row>
    <row r="957" spans="1:25" x14ac:dyDescent="0.2">
      <c r="A957">
        <v>1081</v>
      </c>
      <c r="B957" t="s">
        <v>2205</v>
      </c>
      <c r="C957" t="s">
        <v>18</v>
      </c>
      <c r="D957" t="s">
        <v>2217</v>
      </c>
      <c r="E957" t="s">
        <v>373</v>
      </c>
      <c r="F957" t="s">
        <v>369</v>
      </c>
      <c r="G957" t="s">
        <v>17</v>
      </c>
      <c r="H957" t="b">
        <v>0</v>
      </c>
      <c r="I957" t="b">
        <v>0</v>
      </c>
      <c r="L957" t="b">
        <v>0</v>
      </c>
      <c r="M957" t="s">
        <v>2218</v>
      </c>
      <c r="N957" t="s">
        <v>2219</v>
      </c>
    </row>
    <row r="958" spans="1:25" x14ac:dyDescent="0.2">
      <c r="A958">
        <v>1082</v>
      </c>
      <c r="B958" t="s">
        <v>2205</v>
      </c>
      <c r="C958" t="s">
        <v>18</v>
      </c>
      <c r="D958" t="s">
        <v>2220</v>
      </c>
      <c r="E958" t="s">
        <v>2221</v>
      </c>
      <c r="F958" t="s">
        <v>82</v>
      </c>
      <c r="G958" t="s">
        <v>2208</v>
      </c>
      <c r="H958" t="b">
        <v>0</v>
      </c>
      <c r="I958" t="b">
        <v>0</v>
      </c>
      <c r="L958" t="b">
        <v>0</v>
      </c>
    </row>
    <row r="959" spans="1:25" x14ac:dyDescent="0.2">
      <c r="A959">
        <v>1083</v>
      </c>
      <c r="B959" t="s">
        <v>2205</v>
      </c>
      <c r="C959" t="s">
        <v>18</v>
      </c>
      <c r="D959" t="s">
        <v>2222</v>
      </c>
      <c r="E959" t="s">
        <v>2223</v>
      </c>
      <c r="F959" t="s">
        <v>456</v>
      </c>
      <c r="G959" t="s">
        <v>280</v>
      </c>
      <c r="H959" t="b">
        <v>0</v>
      </c>
      <c r="I959" t="b">
        <v>0</v>
      </c>
      <c r="L959" t="b">
        <v>0</v>
      </c>
      <c r="M959" t="s">
        <v>2224</v>
      </c>
      <c r="N959" t="s">
        <v>2225</v>
      </c>
    </row>
    <row r="961" spans="1:25" x14ac:dyDescent="0.2">
      <c r="A961" s="2">
        <v>1092</v>
      </c>
      <c r="B961" s="2" t="s">
        <v>2226</v>
      </c>
      <c r="C961" s="2" t="s">
        <v>13</v>
      </c>
      <c r="D961" s="2" t="s">
        <v>2227</v>
      </c>
      <c r="E961" s="2" t="s">
        <v>2228</v>
      </c>
      <c r="F961" s="2" t="s">
        <v>420</v>
      </c>
      <c r="G961" s="2" t="s">
        <v>88</v>
      </c>
      <c r="H961" s="2"/>
      <c r="I961" s="2"/>
      <c r="J961" s="2"/>
      <c r="K961" s="2"/>
      <c r="L961" s="2"/>
      <c r="M961" s="2"/>
      <c r="N961" s="2"/>
      <c r="O961" s="2"/>
      <c r="P961" s="2"/>
      <c r="Q961" s="2"/>
      <c r="R961" s="2"/>
      <c r="S961" s="2"/>
      <c r="T961" s="2"/>
      <c r="U961" s="2"/>
      <c r="V961" s="2"/>
      <c r="W961" s="2"/>
      <c r="X961" s="2"/>
      <c r="Y961" s="2"/>
    </row>
    <row r="962" spans="1:25" x14ac:dyDescent="0.2">
      <c r="A962">
        <v>1093</v>
      </c>
      <c r="B962" t="s">
        <v>2226</v>
      </c>
      <c r="C962" t="s">
        <v>18</v>
      </c>
      <c r="D962" t="s">
        <v>2227</v>
      </c>
      <c r="E962" t="s">
        <v>2228</v>
      </c>
      <c r="F962" t="s">
        <v>420</v>
      </c>
      <c r="G962" t="s">
        <v>88</v>
      </c>
      <c r="H962" t="b">
        <v>1</v>
      </c>
      <c r="I962" t="b">
        <v>1</v>
      </c>
      <c r="L962" t="b">
        <v>1</v>
      </c>
      <c r="M962" t="s">
        <v>2229</v>
      </c>
      <c r="N962" t="s">
        <v>2230</v>
      </c>
      <c r="O962" t="s">
        <v>2231</v>
      </c>
      <c r="P962" t="s">
        <v>2232</v>
      </c>
    </row>
    <row r="963" spans="1:25" x14ac:dyDescent="0.2">
      <c r="A963">
        <v>1094</v>
      </c>
      <c r="B963" t="s">
        <v>2226</v>
      </c>
      <c r="C963" t="s">
        <v>18</v>
      </c>
      <c r="D963" t="s">
        <v>2233</v>
      </c>
      <c r="E963" t="s">
        <v>2234</v>
      </c>
      <c r="F963" t="s">
        <v>420</v>
      </c>
      <c r="G963" t="s">
        <v>252</v>
      </c>
      <c r="H963" t="b">
        <v>1</v>
      </c>
      <c r="I963" t="b">
        <v>0</v>
      </c>
      <c r="L963" t="b">
        <v>0</v>
      </c>
      <c r="M963" t="s">
        <v>2235</v>
      </c>
      <c r="N963" t="s">
        <v>2236</v>
      </c>
    </row>
    <row r="964" spans="1:25" x14ac:dyDescent="0.2">
      <c r="A964">
        <v>1095</v>
      </c>
      <c r="B964" t="s">
        <v>2226</v>
      </c>
      <c r="C964" t="s">
        <v>18</v>
      </c>
      <c r="D964" t="s">
        <v>2237</v>
      </c>
      <c r="E964" t="s">
        <v>2238</v>
      </c>
      <c r="F964" t="s">
        <v>420</v>
      </c>
      <c r="G964" t="s">
        <v>88</v>
      </c>
      <c r="H964" t="b">
        <v>0</v>
      </c>
      <c r="I964" t="b">
        <v>0</v>
      </c>
      <c r="L964" t="b">
        <v>0</v>
      </c>
    </row>
    <row r="965" spans="1:25" x14ac:dyDescent="0.2">
      <c r="A965">
        <v>1096</v>
      </c>
      <c r="B965" t="s">
        <v>2226</v>
      </c>
      <c r="C965" t="s">
        <v>18</v>
      </c>
      <c r="D965" t="s">
        <v>2239</v>
      </c>
      <c r="E965" t="s">
        <v>809</v>
      </c>
      <c r="F965" t="s">
        <v>420</v>
      </c>
      <c r="G965" t="s">
        <v>88</v>
      </c>
      <c r="H965" t="b">
        <v>0</v>
      </c>
      <c r="I965" t="b">
        <v>0</v>
      </c>
      <c r="L965" t="b">
        <v>0</v>
      </c>
      <c r="M965" t="s">
        <v>2240</v>
      </c>
      <c r="N965" t="s">
        <v>2241</v>
      </c>
    </row>
    <row r="966" spans="1:25" x14ac:dyDescent="0.2">
      <c r="A966">
        <v>1097</v>
      </c>
      <c r="B966" t="s">
        <v>2226</v>
      </c>
      <c r="C966" t="s">
        <v>18</v>
      </c>
      <c r="D966" t="s">
        <v>2242</v>
      </c>
      <c r="E966" t="s">
        <v>2243</v>
      </c>
      <c r="F966" t="s">
        <v>420</v>
      </c>
      <c r="G966" t="s">
        <v>252</v>
      </c>
      <c r="H966" t="b">
        <v>0</v>
      </c>
      <c r="I966" t="b">
        <v>0</v>
      </c>
      <c r="L966" t="b">
        <v>0</v>
      </c>
      <c r="M966" t="s">
        <v>2244</v>
      </c>
      <c r="N966" t="s">
        <v>2245</v>
      </c>
    </row>
    <row r="968" spans="1:25" x14ac:dyDescent="0.2">
      <c r="A968" s="2">
        <v>1099</v>
      </c>
      <c r="B968" s="2" t="s">
        <v>2246</v>
      </c>
      <c r="C968" s="2" t="s">
        <v>13</v>
      </c>
      <c r="D968" s="2" t="s">
        <v>2247</v>
      </c>
      <c r="E968" s="2" t="s">
        <v>2248</v>
      </c>
      <c r="F968" s="2" t="s">
        <v>23</v>
      </c>
      <c r="G968" s="2" t="s">
        <v>292</v>
      </c>
      <c r="H968" s="2"/>
      <c r="I968" s="2"/>
      <c r="J968" s="2"/>
      <c r="K968" s="2"/>
      <c r="L968" s="2"/>
      <c r="M968" s="2"/>
      <c r="N968" s="2"/>
      <c r="O968" s="2"/>
      <c r="P968" s="2"/>
      <c r="Q968" s="2"/>
      <c r="R968" s="2"/>
      <c r="S968" s="2"/>
      <c r="T968" s="2"/>
      <c r="U968" s="2"/>
      <c r="V968" s="2"/>
      <c r="W968" s="2"/>
      <c r="X968" s="2"/>
      <c r="Y968" s="2"/>
    </row>
    <row r="969" spans="1:25" x14ac:dyDescent="0.2">
      <c r="A969">
        <v>1100</v>
      </c>
      <c r="B969" t="s">
        <v>2246</v>
      </c>
      <c r="C969" t="s">
        <v>18</v>
      </c>
      <c r="D969" t="s">
        <v>2249</v>
      </c>
      <c r="E969" t="s">
        <v>2250</v>
      </c>
      <c r="F969" t="s">
        <v>23</v>
      </c>
      <c r="G969" t="s">
        <v>292</v>
      </c>
      <c r="H969" t="b">
        <v>1</v>
      </c>
      <c r="I969" t="b">
        <v>1</v>
      </c>
      <c r="L969" t="b">
        <v>1</v>
      </c>
      <c r="M969" t="s">
        <v>2251</v>
      </c>
    </row>
    <row r="970" spans="1:25" x14ac:dyDescent="0.2">
      <c r="A970">
        <v>1101</v>
      </c>
      <c r="B970" t="s">
        <v>2246</v>
      </c>
      <c r="C970" t="s">
        <v>18</v>
      </c>
      <c r="D970" t="s">
        <v>2252</v>
      </c>
      <c r="E970" t="s">
        <v>2253</v>
      </c>
      <c r="F970" t="s">
        <v>23</v>
      </c>
      <c r="G970" t="s">
        <v>292</v>
      </c>
      <c r="H970" t="b">
        <v>1</v>
      </c>
      <c r="I970" t="b">
        <v>1</v>
      </c>
      <c r="L970" t="b">
        <v>1</v>
      </c>
      <c r="M970" t="s">
        <v>2254</v>
      </c>
    </row>
    <row r="971" spans="1:25" x14ac:dyDescent="0.2">
      <c r="A971">
        <v>1102</v>
      </c>
      <c r="B971" t="s">
        <v>2246</v>
      </c>
      <c r="C971" t="s">
        <v>18</v>
      </c>
      <c r="D971" t="s">
        <v>2255</v>
      </c>
      <c r="E971" t="s">
        <v>2256</v>
      </c>
      <c r="F971" t="s">
        <v>23</v>
      </c>
      <c r="G971" t="s">
        <v>32</v>
      </c>
      <c r="H971" t="b">
        <v>0</v>
      </c>
      <c r="I971" t="b">
        <v>0</v>
      </c>
      <c r="L971" t="b">
        <v>0</v>
      </c>
      <c r="M971" t="s">
        <v>2257</v>
      </c>
    </row>
    <row r="972" spans="1:25" x14ac:dyDescent="0.2">
      <c r="A972">
        <v>1103</v>
      </c>
      <c r="B972" t="s">
        <v>2246</v>
      </c>
      <c r="C972" t="s">
        <v>18</v>
      </c>
      <c r="D972" t="s">
        <v>2258</v>
      </c>
      <c r="E972" t="s">
        <v>2259</v>
      </c>
      <c r="F972" t="s">
        <v>23</v>
      </c>
      <c r="G972" t="s">
        <v>32</v>
      </c>
      <c r="H972" t="b">
        <v>0</v>
      </c>
      <c r="I972" t="b">
        <v>0</v>
      </c>
      <c r="L972" t="b">
        <v>0</v>
      </c>
      <c r="M972" t="s">
        <v>2260</v>
      </c>
    </row>
    <row r="973" spans="1:25" x14ac:dyDescent="0.2">
      <c r="A973">
        <v>1104</v>
      </c>
      <c r="B973" t="s">
        <v>2246</v>
      </c>
      <c r="C973" t="s">
        <v>18</v>
      </c>
      <c r="D973" t="s">
        <v>2261</v>
      </c>
      <c r="E973" t="s">
        <v>2262</v>
      </c>
      <c r="F973" t="s">
        <v>23</v>
      </c>
      <c r="G973" t="s">
        <v>32</v>
      </c>
      <c r="H973" t="b">
        <v>0</v>
      </c>
      <c r="I973" t="b">
        <v>0</v>
      </c>
      <c r="L973" t="b">
        <v>0</v>
      </c>
      <c r="M973" t="s">
        <v>2263</v>
      </c>
    </row>
    <row r="975" spans="1:25" x14ac:dyDescent="0.2">
      <c r="A975" s="2">
        <v>1106</v>
      </c>
      <c r="B975" s="2" t="s">
        <v>2264</v>
      </c>
      <c r="C975" s="2" t="s">
        <v>13</v>
      </c>
      <c r="D975" s="2" t="s">
        <v>2265</v>
      </c>
      <c r="E975" s="2" t="s">
        <v>2266</v>
      </c>
      <c r="F975" s="2" t="s">
        <v>420</v>
      </c>
      <c r="G975" s="2" t="s">
        <v>88</v>
      </c>
      <c r="H975" s="2"/>
      <c r="I975" s="2"/>
      <c r="J975" s="2"/>
      <c r="K975" s="2"/>
      <c r="L975" s="2"/>
      <c r="M975" s="2"/>
      <c r="N975" s="2"/>
      <c r="O975" s="2"/>
      <c r="P975" s="2"/>
      <c r="Q975" s="2"/>
      <c r="R975" s="2"/>
      <c r="S975" s="2"/>
      <c r="T975" s="2"/>
      <c r="U975" s="2"/>
      <c r="V975" s="2"/>
      <c r="W975" s="2"/>
      <c r="X975" s="2"/>
      <c r="Y975" s="2"/>
    </row>
    <row r="976" spans="1:25" x14ac:dyDescent="0.2">
      <c r="A976">
        <v>1107</v>
      </c>
      <c r="B976" t="s">
        <v>2264</v>
      </c>
      <c r="C976" t="s">
        <v>18</v>
      </c>
      <c r="D976" t="s">
        <v>2265</v>
      </c>
      <c r="E976" t="s">
        <v>2267</v>
      </c>
      <c r="F976" t="s">
        <v>420</v>
      </c>
      <c r="G976" t="s">
        <v>88</v>
      </c>
      <c r="H976" t="b">
        <v>1</v>
      </c>
      <c r="K976" t="b">
        <v>1</v>
      </c>
      <c r="L976" t="b">
        <v>1</v>
      </c>
      <c r="M976" t="s">
        <v>2268</v>
      </c>
      <c r="N976" t="s">
        <v>2269</v>
      </c>
    </row>
    <row r="977" spans="1:25" x14ac:dyDescent="0.2">
      <c r="A977">
        <v>1108</v>
      </c>
      <c r="B977" t="s">
        <v>2264</v>
      </c>
      <c r="C977" t="s">
        <v>18</v>
      </c>
      <c r="D977" t="s">
        <v>2270</v>
      </c>
      <c r="E977" t="s">
        <v>2271</v>
      </c>
      <c r="F977" t="s">
        <v>420</v>
      </c>
      <c r="G977" t="s">
        <v>88</v>
      </c>
      <c r="H977" t="b">
        <v>1</v>
      </c>
      <c r="K977" t="b">
        <v>0</v>
      </c>
      <c r="L977" t="b">
        <v>1</v>
      </c>
      <c r="M977" t="s">
        <v>2272</v>
      </c>
      <c r="N977" t="s">
        <v>2273</v>
      </c>
    </row>
    <row r="978" spans="1:25" x14ac:dyDescent="0.2">
      <c r="A978">
        <v>1109</v>
      </c>
      <c r="B978" t="s">
        <v>2264</v>
      </c>
      <c r="C978" t="s">
        <v>18</v>
      </c>
      <c r="D978" t="s">
        <v>2274</v>
      </c>
      <c r="E978" t="s">
        <v>176</v>
      </c>
      <c r="F978" t="s">
        <v>420</v>
      </c>
      <c r="G978" t="s">
        <v>88</v>
      </c>
      <c r="H978" t="b">
        <v>1</v>
      </c>
      <c r="K978" t="b">
        <v>1</v>
      </c>
      <c r="L978" t="b">
        <v>1</v>
      </c>
      <c r="M978" t="s">
        <v>2275</v>
      </c>
    </row>
    <row r="979" spans="1:25" x14ac:dyDescent="0.2">
      <c r="A979">
        <v>1110</v>
      </c>
      <c r="B979" t="s">
        <v>2264</v>
      </c>
      <c r="C979" t="s">
        <v>18</v>
      </c>
      <c r="D979" t="s">
        <v>2276</v>
      </c>
      <c r="E979" t="s">
        <v>2277</v>
      </c>
      <c r="F979" t="s">
        <v>420</v>
      </c>
      <c r="G979" t="s">
        <v>2278</v>
      </c>
      <c r="H979" t="b">
        <v>0</v>
      </c>
      <c r="K979" t="b">
        <v>0</v>
      </c>
      <c r="L979" t="b">
        <v>0</v>
      </c>
    </row>
    <row r="980" spans="1:25" x14ac:dyDescent="0.2">
      <c r="A980">
        <v>1111</v>
      </c>
      <c r="B980" t="s">
        <v>2264</v>
      </c>
      <c r="C980" t="s">
        <v>18</v>
      </c>
      <c r="D980" t="s">
        <v>2279</v>
      </c>
      <c r="E980" t="s">
        <v>2280</v>
      </c>
      <c r="F980" t="s">
        <v>654</v>
      </c>
      <c r="G980" t="s">
        <v>88</v>
      </c>
      <c r="H980" t="b">
        <v>0</v>
      </c>
      <c r="K980" t="b">
        <v>0</v>
      </c>
      <c r="L980" t="b">
        <v>0</v>
      </c>
      <c r="M980" t="s">
        <v>2281</v>
      </c>
    </row>
    <row r="982" spans="1:25" x14ac:dyDescent="0.2">
      <c r="A982" s="2">
        <v>1120</v>
      </c>
      <c r="B982" s="2" t="s">
        <v>2282</v>
      </c>
      <c r="C982" s="2" t="s">
        <v>13</v>
      </c>
      <c r="D982" s="2" t="s">
        <v>2283</v>
      </c>
      <c r="E982" s="2" t="s">
        <v>2284</v>
      </c>
      <c r="F982" s="2" t="s">
        <v>78</v>
      </c>
      <c r="G982" s="2" t="s">
        <v>130</v>
      </c>
      <c r="H982" s="2"/>
      <c r="I982" s="2"/>
      <c r="J982" s="2"/>
      <c r="K982" s="2"/>
      <c r="L982" s="2"/>
      <c r="M982" s="2"/>
      <c r="N982" s="2"/>
      <c r="O982" s="2"/>
      <c r="P982" s="2"/>
      <c r="Q982" s="2"/>
      <c r="R982" s="2"/>
      <c r="S982" s="2"/>
      <c r="T982" s="2"/>
      <c r="U982" s="2"/>
      <c r="V982" s="2"/>
      <c r="W982" s="2"/>
      <c r="X982" s="2"/>
      <c r="Y982" s="2"/>
    </row>
    <row r="983" spans="1:25" x14ac:dyDescent="0.2">
      <c r="A983">
        <v>1121</v>
      </c>
      <c r="B983" t="s">
        <v>2282</v>
      </c>
      <c r="C983" t="s">
        <v>18</v>
      </c>
      <c r="D983" t="s">
        <v>2283</v>
      </c>
      <c r="E983" t="s">
        <v>2285</v>
      </c>
      <c r="F983" t="s">
        <v>78</v>
      </c>
      <c r="G983" t="s">
        <v>130</v>
      </c>
      <c r="H983" t="b">
        <v>1</v>
      </c>
      <c r="I983" t="b">
        <v>1</v>
      </c>
      <c r="L983" t="b">
        <v>1</v>
      </c>
      <c r="M983" t="s">
        <v>2286</v>
      </c>
    </row>
    <row r="984" spans="1:25" x14ac:dyDescent="0.2">
      <c r="A984">
        <v>1122</v>
      </c>
      <c r="B984" t="s">
        <v>2282</v>
      </c>
      <c r="C984" t="s">
        <v>18</v>
      </c>
      <c r="D984" t="s">
        <v>2287</v>
      </c>
      <c r="E984" t="s">
        <v>2288</v>
      </c>
      <c r="F984" t="s">
        <v>122</v>
      </c>
      <c r="G984" t="s">
        <v>130</v>
      </c>
      <c r="H984" t="b">
        <v>0</v>
      </c>
      <c r="I984" t="b">
        <v>0</v>
      </c>
      <c r="L984" t="b">
        <v>0</v>
      </c>
    </row>
    <row r="985" spans="1:25" x14ac:dyDescent="0.2">
      <c r="A985">
        <v>1123</v>
      </c>
      <c r="B985" t="s">
        <v>2282</v>
      </c>
      <c r="C985" t="s">
        <v>18</v>
      </c>
      <c r="D985" t="s">
        <v>2289</v>
      </c>
      <c r="E985" t="s">
        <v>2290</v>
      </c>
      <c r="F985" t="s">
        <v>78</v>
      </c>
      <c r="G985" t="s">
        <v>130</v>
      </c>
      <c r="H985" t="b">
        <v>0</v>
      </c>
      <c r="I985" t="b">
        <v>0</v>
      </c>
      <c r="L985" t="b">
        <v>0</v>
      </c>
    </row>
    <row r="986" spans="1:25" x14ac:dyDescent="0.2">
      <c r="A986">
        <v>1124</v>
      </c>
      <c r="B986" t="s">
        <v>2282</v>
      </c>
      <c r="C986" t="s">
        <v>18</v>
      </c>
      <c r="D986" t="s">
        <v>2291</v>
      </c>
      <c r="E986" t="s">
        <v>2292</v>
      </c>
      <c r="F986" t="s">
        <v>78</v>
      </c>
      <c r="G986" t="s">
        <v>130</v>
      </c>
      <c r="H986" t="b">
        <v>0</v>
      </c>
      <c r="I986" t="b">
        <v>0</v>
      </c>
      <c r="L986" t="b">
        <v>0</v>
      </c>
      <c r="M986" t="s">
        <v>2293</v>
      </c>
    </row>
    <row r="987" spans="1:25" x14ac:dyDescent="0.2">
      <c r="A987">
        <v>1125</v>
      </c>
      <c r="B987" t="s">
        <v>2282</v>
      </c>
      <c r="C987" t="s">
        <v>18</v>
      </c>
      <c r="D987" t="s">
        <v>2294</v>
      </c>
      <c r="E987" t="s">
        <v>2295</v>
      </c>
      <c r="F987" t="s">
        <v>16</v>
      </c>
      <c r="G987" t="s">
        <v>88</v>
      </c>
      <c r="H987" t="b">
        <v>0</v>
      </c>
      <c r="I987" t="b">
        <v>0</v>
      </c>
      <c r="L987" t="b">
        <v>0</v>
      </c>
    </row>
    <row r="989" spans="1:25" x14ac:dyDescent="0.2">
      <c r="A989" s="2">
        <v>1141</v>
      </c>
      <c r="B989" s="2" t="s">
        <v>2296</v>
      </c>
      <c r="C989" s="2" t="s">
        <v>13</v>
      </c>
      <c r="D989" s="2" t="s">
        <v>2297</v>
      </c>
      <c r="E989" s="2" t="s">
        <v>2298</v>
      </c>
      <c r="F989" s="2" t="s">
        <v>31</v>
      </c>
      <c r="G989" s="2" t="s">
        <v>134</v>
      </c>
      <c r="H989" s="2"/>
      <c r="I989" s="2"/>
      <c r="J989" s="2"/>
      <c r="K989" s="2"/>
      <c r="L989" s="2"/>
      <c r="M989" s="2"/>
      <c r="N989" s="2"/>
      <c r="O989" s="2"/>
      <c r="P989" s="2"/>
      <c r="Q989" s="2"/>
      <c r="R989" s="2"/>
      <c r="S989" s="2"/>
      <c r="T989" s="2"/>
      <c r="U989" s="2"/>
      <c r="V989" s="2"/>
      <c r="W989" s="2"/>
      <c r="X989" s="2"/>
      <c r="Y989" s="2"/>
    </row>
    <row r="990" spans="1:25" x14ac:dyDescent="0.2">
      <c r="A990">
        <v>1142</v>
      </c>
      <c r="B990" t="s">
        <v>2296</v>
      </c>
      <c r="C990" t="s">
        <v>18</v>
      </c>
      <c r="D990" t="s">
        <v>2297</v>
      </c>
      <c r="E990" t="s">
        <v>2299</v>
      </c>
      <c r="F990" t="s">
        <v>31</v>
      </c>
      <c r="G990" t="s">
        <v>134</v>
      </c>
      <c r="H990" t="b">
        <v>1</v>
      </c>
      <c r="I990" t="b">
        <v>1</v>
      </c>
      <c r="L990" t="b">
        <v>1</v>
      </c>
      <c r="M990" t="s">
        <v>2300</v>
      </c>
    </row>
    <row r="991" spans="1:25" x14ac:dyDescent="0.2">
      <c r="A991">
        <v>1143</v>
      </c>
      <c r="B991" t="s">
        <v>2296</v>
      </c>
      <c r="C991" t="s">
        <v>18</v>
      </c>
      <c r="D991" t="s">
        <v>2301</v>
      </c>
      <c r="E991" t="s">
        <v>2302</v>
      </c>
      <c r="F991" t="s">
        <v>31</v>
      </c>
      <c r="G991" t="s">
        <v>134</v>
      </c>
      <c r="H991" t="b">
        <v>1</v>
      </c>
      <c r="I991" t="b">
        <v>1</v>
      </c>
      <c r="L991" t="b">
        <v>1</v>
      </c>
      <c r="M991" t="s">
        <v>2303</v>
      </c>
    </row>
    <row r="992" spans="1:25" x14ac:dyDescent="0.2">
      <c r="A992">
        <v>1144</v>
      </c>
      <c r="B992" t="s">
        <v>2296</v>
      </c>
      <c r="C992" t="s">
        <v>18</v>
      </c>
      <c r="D992" t="s">
        <v>2304</v>
      </c>
      <c r="E992" t="s">
        <v>2305</v>
      </c>
      <c r="F992" t="s">
        <v>31</v>
      </c>
      <c r="G992" t="s">
        <v>24</v>
      </c>
      <c r="H992" t="b">
        <v>0</v>
      </c>
      <c r="I992" t="b">
        <v>0</v>
      </c>
      <c r="L992" t="b">
        <v>0</v>
      </c>
    </row>
    <row r="993" spans="1:25" x14ac:dyDescent="0.2">
      <c r="A993">
        <v>1145</v>
      </c>
      <c r="B993" t="s">
        <v>2296</v>
      </c>
      <c r="C993" t="s">
        <v>18</v>
      </c>
      <c r="D993" t="s">
        <v>2306</v>
      </c>
      <c r="E993" t="s">
        <v>2307</v>
      </c>
      <c r="F993" t="s">
        <v>31</v>
      </c>
      <c r="G993" t="s">
        <v>24</v>
      </c>
      <c r="H993" t="b">
        <v>0</v>
      </c>
      <c r="I993" t="b">
        <v>0</v>
      </c>
      <c r="L993" t="b">
        <v>0</v>
      </c>
    </row>
    <row r="994" spans="1:25" x14ac:dyDescent="0.2">
      <c r="A994">
        <v>1146</v>
      </c>
      <c r="B994" t="s">
        <v>2296</v>
      </c>
      <c r="C994" t="s">
        <v>18</v>
      </c>
      <c r="D994" t="s">
        <v>2308</v>
      </c>
      <c r="E994" t="s">
        <v>2309</v>
      </c>
      <c r="F994" t="s">
        <v>248</v>
      </c>
      <c r="G994" t="s">
        <v>134</v>
      </c>
      <c r="H994" t="b">
        <v>0</v>
      </c>
      <c r="I994" t="b">
        <v>0</v>
      </c>
      <c r="L994" t="b">
        <v>0</v>
      </c>
      <c r="M994" t="s">
        <v>2310</v>
      </c>
      <c r="N994" t="s">
        <v>2311</v>
      </c>
      <c r="O994" t="s">
        <v>2312</v>
      </c>
    </row>
    <row r="996" spans="1:25" x14ac:dyDescent="0.2">
      <c r="A996" s="2">
        <v>1148</v>
      </c>
      <c r="B996" s="2" t="s">
        <v>2313</v>
      </c>
      <c r="C996" s="2" t="s">
        <v>13</v>
      </c>
      <c r="D996" s="2" t="s">
        <v>2314</v>
      </c>
      <c r="E996" s="2" t="s">
        <v>2315</v>
      </c>
      <c r="F996" s="2" t="s">
        <v>1404</v>
      </c>
      <c r="G996" s="2" t="s">
        <v>88</v>
      </c>
      <c r="H996" s="2"/>
      <c r="I996" s="2"/>
      <c r="J996" s="2"/>
      <c r="K996" s="2"/>
      <c r="L996" s="2"/>
      <c r="M996" s="2"/>
      <c r="N996" s="2"/>
      <c r="O996" s="2"/>
      <c r="P996" s="2"/>
      <c r="Q996" s="2"/>
      <c r="R996" s="2"/>
      <c r="S996" s="2"/>
      <c r="T996" s="2"/>
      <c r="U996" s="2"/>
      <c r="V996" s="2"/>
      <c r="W996" s="2"/>
      <c r="X996" s="2"/>
      <c r="Y996" s="2"/>
    </row>
    <row r="997" spans="1:25" x14ac:dyDescent="0.2">
      <c r="A997">
        <v>1149</v>
      </c>
      <c r="B997" t="s">
        <v>2313</v>
      </c>
      <c r="C997" t="s">
        <v>18</v>
      </c>
      <c r="D997" t="s">
        <v>2314</v>
      </c>
      <c r="E997" t="s">
        <v>2315</v>
      </c>
      <c r="F997" t="s">
        <v>1404</v>
      </c>
      <c r="G997" t="s">
        <v>88</v>
      </c>
      <c r="H997" t="b">
        <v>1</v>
      </c>
      <c r="K997" t="b">
        <v>1</v>
      </c>
      <c r="L997" t="b">
        <v>1</v>
      </c>
      <c r="M997" t="s">
        <v>2316</v>
      </c>
      <c r="N997" t="s">
        <v>2317</v>
      </c>
      <c r="O997" t="s">
        <v>2318</v>
      </c>
      <c r="P997" t="s">
        <v>2319</v>
      </c>
    </row>
    <row r="998" spans="1:25" x14ac:dyDescent="0.2">
      <c r="A998">
        <v>1150</v>
      </c>
      <c r="B998" t="s">
        <v>2313</v>
      </c>
      <c r="C998" t="s">
        <v>18</v>
      </c>
      <c r="D998" t="s">
        <v>2320</v>
      </c>
      <c r="E998" t="s">
        <v>2321</v>
      </c>
      <c r="F998" t="s">
        <v>1404</v>
      </c>
      <c r="G998" t="s">
        <v>88</v>
      </c>
      <c r="H998" t="b">
        <v>0</v>
      </c>
      <c r="K998" t="b">
        <v>0</v>
      </c>
      <c r="L998" t="b">
        <v>0</v>
      </c>
      <c r="M998" t="s">
        <v>2322</v>
      </c>
      <c r="N998" t="s">
        <v>2323</v>
      </c>
    </row>
    <row r="999" spans="1:25" x14ac:dyDescent="0.2">
      <c r="A999">
        <v>1151</v>
      </c>
      <c r="B999" t="s">
        <v>2313</v>
      </c>
      <c r="C999" t="s">
        <v>18</v>
      </c>
      <c r="D999" t="s">
        <v>2324</v>
      </c>
      <c r="E999" t="s">
        <v>2325</v>
      </c>
      <c r="F999" t="s">
        <v>1404</v>
      </c>
      <c r="G999" t="s">
        <v>2326</v>
      </c>
      <c r="H999" t="b">
        <v>0</v>
      </c>
      <c r="K999" t="b">
        <v>0</v>
      </c>
      <c r="L999" t="b">
        <v>0</v>
      </c>
      <c r="M999" t="s">
        <v>2327</v>
      </c>
    </row>
    <row r="1000" spans="1:25" x14ac:dyDescent="0.2">
      <c r="A1000">
        <v>1152</v>
      </c>
      <c r="B1000" t="s">
        <v>2313</v>
      </c>
      <c r="C1000" t="s">
        <v>18</v>
      </c>
      <c r="D1000" t="s">
        <v>2328</v>
      </c>
      <c r="E1000" t="s">
        <v>2329</v>
      </c>
      <c r="F1000" t="s">
        <v>1404</v>
      </c>
      <c r="G1000" t="s">
        <v>280</v>
      </c>
      <c r="H1000" t="b">
        <v>0</v>
      </c>
      <c r="K1000" t="b">
        <v>0</v>
      </c>
      <c r="L1000" t="b">
        <v>0</v>
      </c>
    </row>
    <row r="1001" spans="1:25" x14ac:dyDescent="0.2">
      <c r="A1001">
        <v>1153</v>
      </c>
      <c r="B1001" t="s">
        <v>2313</v>
      </c>
      <c r="C1001" t="s">
        <v>18</v>
      </c>
      <c r="D1001" t="s">
        <v>2330</v>
      </c>
      <c r="E1001" t="s">
        <v>2331</v>
      </c>
      <c r="F1001" t="s">
        <v>78</v>
      </c>
      <c r="G1001" t="s">
        <v>17</v>
      </c>
      <c r="H1001" t="b">
        <v>0</v>
      </c>
      <c r="K1001" t="b">
        <v>0</v>
      </c>
      <c r="L1001" t="b">
        <v>0</v>
      </c>
      <c r="M1001" t="s">
        <v>2332</v>
      </c>
      <c r="N1001" t="s">
        <v>2333</v>
      </c>
      <c r="O1001" t="s">
        <v>2334</v>
      </c>
    </row>
    <row r="1003" spans="1:25" x14ac:dyDescent="0.2">
      <c r="A1003" s="2">
        <v>1155</v>
      </c>
      <c r="B1003" s="2" t="s">
        <v>2335</v>
      </c>
      <c r="C1003" s="2" t="s">
        <v>13</v>
      </c>
      <c r="D1003" s="2" t="s">
        <v>2336</v>
      </c>
      <c r="E1003" s="2" t="s">
        <v>2337</v>
      </c>
      <c r="F1003" s="2" t="s">
        <v>369</v>
      </c>
      <c r="G1003" s="2" t="s">
        <v>88</v>
      </c>
      <c r="H1003" s="2"/>
      <c r="I1003" s="2"/>
      <c r="J1003" s="2"/>
      <c r="K1003" s="2"/>
      <c r="L1003" s="2"/>
      <c r="M1003" s="2"/>
      <c r="N1003" s="2"/>
      <c r="O1003" s="2"/>
      <c r="P1003" s="2"/>
      <c r="Q1003" s="2"/>
      <c r="R1003" s="2"/>
      <c r="S1003" s="2"/>
      <c r="T1003" s="2"/>
      <c r="U1003" s="2"/>
      <c r="V1003" s="2"/>
      <c r="W1003" s="2"/>
      <c r="X1003" s="2"/>
      <c r="Y1003" s="2"/>
    </row>
    <row r="1004" spans="1:25" x14ac:dyDescent="0.2">
      <c r="A1004">
        <v>1156</v>
      </c>
      <c r="B1004" t="s">
        <v>2335</v>
      </c>
      <c r="C1004" t="s">
        <v>18</v>
      </c>
      <c r="D1004" t="s">
        <v>2336</v>
      </c>
      <c r="E1004" t="s">
        <v>2338</v>
      </c>
      <c r="F1004" t="s">
        <v>369</v>
      </c>
      <c r="G1004" t="s">
        <v>88</v>
      </c>
      <c r="H1004" t="b">
        <v>1</v>
      </c>
      <c r="K1004" t="b">
        <v>1</v>
      </c>
      <c r="L1004" t="b">
        <v>1</v>
      </c>
      <c r="M1004" t="s">
        <v>2339</v>
      </c>
      <c r="N1004" t="s">
        <v>2340</v>
      </c>
    </row>
    <row r="1005" spans="1:25" x14ac:dyDescent="0.2">
      <c r="A1005">
        <v>1157</v>
      </c>
      <c r="B1005" t="s">
        <v>2335</v>
      </c>
      <c r="C1005" t="s">
        <v>18</v>
      </c>
      <c r="D1005" t="s">
        <v>2341</v>
      </c>
      <c r="E1005" t="s">
        <v>2342</v>
      </c>
      <c r="F1005" t="s">
        <v>2343</v>
      </c>
      <c r="G1005" t="s">
        <v>88</v>
      </c>
      <c r="H1005" t="b">
        <v>0</v>
      </c>
      <c r="K1005" t="b">
        <v>0</v>
      </c>
      <c r="L1005" t="b">
        <v>0</v>
      </c>
      <c r="M1005" t="s">
        <v>2344</v>
      </c>
    </row>
    <row r="1006" spans="1:25" x14ac:dyDescent="0.2">
      <c r="A1006">
        <v>1158</v>
      </c>
      <c r="B1006" t="s">
        <v>2335</v>
      </c>
      <c r="C1006" t="s">
        <v>18</v>
      </c>
      <c r="D1006" t="s">
        <v>2345</v>
      </c>
      <c r="E1006" t="s">
        <v>1319</v>
      </c>
      <c r="F1006" t="s">
        <v>369</v>
      </c>
      <c r="G1006" t="s">
        <v>88</v>
      </c>
      <c r="H1006" t="b">
        <v>1</v>
      </c>
      <c r="K1006" t="b">
        <v>1</v>
      </c>
      <c r="L1006" t="b">
        <v>1</v>
      </c>
      <c r="M1006" t="s">
        <v>2346</v>
      </c>
      <c r="N1006" t="s">
        <v>2347</v>
      </c>
    </row>
    <row r="1007" spans="1:25" x14ac:dyDescent="0.2">
      <c r="A1007">
        <v>1159</v>
      </c>
      <c r="B1007" t="s">
        <v>2335</v>
      </c>
      <c r="C1007" t="s">
        <v>18</v>
      </c>
      <c r="D1007" t="s">
        <v>2348</v>
      </c>
      <c r="E1007" t="s">
        <v>2349</v>
      </c>
      <c r="F1007" t="s">
        <v>616</v>
      </c>
      <c r="G1007" t="s">
        <v>88</v>
      </c>
      <c r="H1007" t="b">
        <v>0</v>
      </c>
      <c r="K1007" t="b">
        <v>0</v>
      </c>
      <c r="L1007" t="b">
        <v>0</v>
      </c>
    </row>
    <row r="1008" spans="1:25" x14ac:dyDescent="0.2">
      <c r="A1008">
        <v>1160</v>
      </c>
      <c r="B1008" t="s">
        <v>2335</v>
      </c>
      <c r="C1008" t="s">
        <v>18</v>
      </c>
      <c r="D1008" t="s">
        <v>2350</v>
      </c>
      <c r="E1008" t="s">
        <v>2351</v>
      </c>
      <c r="F1008" t="s">
        <v>31</v>
      </c>
      <c r="G1008" t="s">
        <v>17</v>
      </c>
      <c r="H1008" t="b">
        <v>0</v>
      </c>
      <c r="K1008" t="b">
        <v>0</v>
      </c>
      <c r="L1008" t="b">
        <v>0</v>
      </c>
      <c r="M1008" t="s">
        <v>2352</v>
      </c>
    </row>
    <row r="1010" spans="1:25" x14ac:dyDescent="0.2">
      <c r="A1010" s="2">
        <v>1162</v>
      </c>
      <c r="B1010" s="2" t="s">
        <v>2353</v>
      </c>
      <c r="C1010" s="2" t="s">
        <v>13</v>
      </c>
      <c r="D1010" s="2" t="s">
        <v>2354</v>
      </c>
      <c r="E1010" s="2" t="s">
        <v>2355</v>
      </c>
      <c r="F1010" s="2" t="s">
        <v>1404</v>
      </c>
      <c r="G1010" s="2" t="s">
        <v>17</v>
      </c>
      <c r="H1010" s="2"/>
      <c r="I1010" s="2"/>
      <c r="J1010" s="2"/>
      <c r="K1010" s="2"/>
      <c r="L1010" s="2"/>
      <c r="M1010" s="2"/>
      <c r="N1010" s="2"/>
      <c r="O1010" s="2"/>
      <c r="P1010" s="2"/>
      <c r="Q1010" s="2"/>
      <c r="R1010" s="2"/>
      <c r="S1010" s="2"/>
      <c r="T1010" s="2"/>
      <c r="U1010" s="2"/>
      <c r="V1010" s="2"/>
      <c r="W1010" s="2"/>
      <c r="X1010" s="2"/>
      <c r="Y1010" s="2"/>
    </row>
    <row r="1011" spans="1:25" x14ac:dyDescent="0.2">
      <c r="A1011">
        <v>1163</v>
      </c>
      <c r="B1011" t="s">
        <v>2353</v>
      </c>
      <c r="C1011" t="s">
        <v>18</v>
      </c>
      <c r="D1011" t="s">
        <v>2356</v>
      </c>
      <c r="E1011" t="s">
        <v>2357</v>
      </c>
      <c r="F1011" t="s">
        <v>248</v>
      </c>
      <c r="G1011" t="s">
        <v>17</v>
      </c>
      <c r="H1011" t="b">
        <v>0</v>
      </c>
      <c r="K1011" t="b">
        <v>0</v>
      </c>
      <c r="L1011" t="b">
        <v>0</v>
      </c>
      <c r="M1011" t="s">
        <v>2358</v>
      </c>
      <c r="N1011" t="s">
        <v>2359</v>
      </c>
    </row>
    <row r="1012" spans="1:25" x14ac:dyDescent="0.2">
      <c r="A1012">
        <v>1164</v>
      </c>
      <c r="B1012" t="s">
        <v>2353</v>
      </c>
      <c r="C1012" t="s">
        <v>18</v>
      </c>
      <c r="D1012" t="s">
        <v>2360</v>
      </c>
      <c r="E1012" t="s">
        <v>2361</v>
      </c>
      <c r="F1012" t="s">
        <v>248</v>
      </c>
      <c r="G1012" t="s">
        <v>17</v>
      </c>
      <c r="H1012" t="b">
        <v>0</v>
      </c>
      <c r="K1012" t="b">
        <v>0</v>
      </c>
      <c r="L1012" t="b">
        <v>0</v>
      </c>
      <c r="M1012" t="s">
        <v>2362</v>
      </c>
    </row>
    <row r="1013" spans="1:25" x14ac:dyDescent="0.2">
      <c r="A1013">
        <v>1165</v>
      </c>
      <c r="B1013" t="s">
        <v>2353</v>
      </c>
      <c r="C1013" t="s">
        <v>18</v>
      </c>
      <c r="D1013" t="s">
        <v>2140</v>
      </c>
      <c r="E1013" t="s">
        <v>2141</v>
      </c>
      <c r="F1013" t="s">
        <v>78</v>
      </c>
      <c r="G1013" t="s">
        <v>17</v>
      </c>
      <c r="H1013" t="b">
        <v>0</v>
      </c>
      <c r="K1013" t="b">
        <v>0</v>
      </c>
      <c r="L1013" t="b">
        <v>0</v>
      </c>
      <c r="M1013" t="s">
        <v>2142</v>
      </c>
    </row>
    <row r="1014" spans="1:25" x14ac:dyDescent="0.2">
      <c r="A1014">
        <v>1166</v>
      </c>
      <c r="B1014" t="s">
        <v>2353</v>
      </c>
      <c r="C1014" t="s">
        <v>18</v>
      </c>
      <c r="D1014" t="s">
        <v>2363</v>
      </c>
      <c r="E1014" t="s">
        <v>2364</v>
      </c>
      <c r="F1014" t="s">
        <v>248</v>
      </c>
      <c r="G1014" t="s">
        <v>17</v>
      </c>
      <c r="H1014" t="b">
        <v>0</v>
      </c>
      <c r="K1014" t="b">
        <v>0</v>
      </c>
      <c r="L1014" t="b">
        <v>0</v>
      </c>
      <c r="M1014" t="s">
        <v>2365</v>
      </c>
    </row>
    <row r="1015" spans="1:25" x14ac:dyDescent="0.2">
      <c r="A1015">
        <v>1167</v>
      </c>
      <c r="B1015" t="s">
        <v>2353</v>
      </c>
      <c r="C1015" t="s">
        <v>18</v>
      </c>
      <c r="D1015" t="s">
        <v>2366</v>
      </c>
      <c r="E1015" t="s">
        <v>2367</v>
      </c>
      <c r="F1015" t="s">
        <v>248</v>
      </c>
      <c r="G1015" t="s">
        <v>17</v>
      </c>
      <c r="H1015" t="b">
        <v>0</v>
      </c>
      <c r="K1015" t="b">
        <v>0</v>
      </c>
      <c r="L1015" t="b">
        <v>0</v>
      </c>
      <c r="M1015" t="s">
        <v>2368</v>
      </c>
    </row>
    <row r="1017" spans="1:25" x14ac:dyDescent="0.2">
      <c r="A1017" s="2">
        <v>1169</v>
      </c>
      <c r="B1017" s="2" t="s">
        <v>2369</v>
      </c>
      <c r="C1017" s="2" t="s">
        <v>13</v>
      </c>
      <c r="D1017" s="2" t="s">
        <v>2370</v>
      </c>
      <c r="E1017" s="2" t="s">
        <v>2371</v>
      </c>
      <c r="F1017" s="2" t="s">
        <v>78</v>
      </c>
      <c r="G1017" s="2" t="s">
        <v>24</v>
      </c>
      <c r="H1017" s="2"/>
      <c r="I1017" s="2"/>
      <c r="J1017" s="2"/>
      <c r="K1017" s="2"/>
      <c r="L1017" s="2"/>
      <c r="M1017" s="2"/>
      <c r="N1017" s="2"/>
      <c r="O1017" s="2"/>
      <c r="P1017" s="2"/>
      <c r="Q1017" s="2"/>
      <c r="R1017" s="2"/>
      <c r="S1017" s="2"/>
      <c r="T1017" s="2"/>
      <c r="U1017" s="2"/>
      <c r="V1017" s="2"/>
      <c r="W1017" s="2"/>
      <c r="X1017" s="2"/>
      <c r="Y1017" s="2"/>
    </row>
    <row r="1018" spans="1:25" x14ac:dyDescent="0.2">
      <c r="A1018">
        <v>1170</v>
      </c>
      <c r="B1018" t="s">
        <v>2369</v>
      </c>
      <c r="C1018" t="s">
        <v>18</v>
      </c>
      <c r="D1018" t="s">
        <v>2370</v>
      </c>
      <c r="E1018" t="s">
        <v>2371</v>
      </c>
      <c r="F1018" t="s">
        <v>78</v>
      </c>
      <c r="G1018" t="s">
        <v>24</v>
      </c>
      <c r="H1018" t="b">
        <v>1</v>
      </c>
      <c r="K1018" t="b">
        <v>1</v>
      </c>
      <c r="L1018" t="b">
        <v>1</v>
      </c>
      <c r="M1018" t="s">
        <v>2372</v>
      </c>
      <c r="N1018" t="s">
        <v>2373</v>
      </c>
    </row>
    <row r="1019" spans="1:25" x14ac:dyDescent="0.2">
      <c r="A1019">
        <v>1171</v>
      </c>
      <c r="B1019" t="s">
        <v>2369</v>
      </c>
      <c r="C1019" t="s">
        <v>18</v>
      </c>
      <c r="D1019" t="s">
        <v>2374</v>
      </c>
      <c r="E1019" t="s">
        <v>2375</v>
      </c>
      <c r="F1019" t="s">
        <v>78</v>
      </c>
      <c r="G1019" t="s">
        <v>24</v>
      </c>
      <c r="H1019" t="b">
        <v>0</v>
      </c>
      <c r="K1019" t="b">
        <v>0</v>
      </c>
      <c r="L1019" t="b">
        <v>0</v>
      </c>
      <c r="M1019" t="s">
        <v>2376</v>
      </c>
    </row>
    <row r="1020" spans="1:25" x14ac:dyDescent="0.2">
      <c r="A1020">
        <v>1172</v>
      </c>
      <c r="B1020" t="s">
        <v>2369</v>
      </c>
      <c r="C1020" t="s">
        <v>18</v>
      </c>
      <c r="D1020" t="s">
        <v>2377</v>
      </c>
      <c r="E1020" t="s">
        <v>2378</v>
      </c>
      <c r="F1020" t="s">
        <v>78</v>
      </c>
      <c r="G1020" t="s">
        <v>24</v>
      </c>
      <c r="H1020" t="b">
        <v>0</v>
      </c>
      <c r="K1020" t="b">
        <v>0</v>
      </c>
      <c r="L1020" t="b">
        <v>0</v>
      </c>
      <c r="M1020" t="s">
        <v>2379</v>
      </c>
    </row>
    <row r="1021" spans="1:25" x14ac:dyDescent="0.2">
      <c r="A1021">
        <v>1173</v>
      </c>
      <c r="B1021" t="s">
        <v>2369</v>
      </c>
      <c r="C1021" t="s">
        <v>18</v>
      </c>
      <c r="D1021" t="s">
        <v>2380</v>
      </c>
      <c r="E1021" t="s">
        <v>2381</v>
      </c>
      <c r="F1021" t="s">
        <v>78</v>
      </c>
      <c r="G1021" t="s">
        <v>24</v>
      </c>
      <c r="H1021" t="b">
        <v>0</v>
      </c>
      <c r="K1021" t="b">
        <v>0</v>
      </c>
      <c r="L1021" t="b">
        <v>0</v>
      </c>
      <c r="M1021" t="s">
        <v>2382</v>
      </c>
    </row>
    <row r="1022" spans="1:25" x14ac:dyDescent="0.2">
      <c r="A1022">
        <v>1174</v>
      </c>
      <c r="B1022" t="s">
        <v>2369</v>
      </c>
      <c r="C1022" t="s">
        <v>18</v>
      </c>
      <c r="D1022" t="s">
        <v>2383</v>
      </c>
      <c r="E1022" t="s">
        <v>2384</v>
      </c>
      <c r="F1022" t="s">
        <v>78</v>
      </c>
      <c r="G1022" t="s">
        <v>24</v>
      </c>
      <c r="H1022" t="b">
        <v>0</v>
      </c>
      <c r="K1022" t="b">
        <v>0</v>
      </c>
      <c r="L1022" t="b">
        <v>0</v>
      </c>
    </row>
    <row r="1024" spans="1:25" x14ac:dyDescent="0.2">
      <c r="A1024" s="2">
        <v>1183</v>
      </c>
      <c r="B1024" s="2" t="s">
        <v>2385</v>
      </c>
      <c r="C1024" s="2" t="s">
        <v>13</v>
      </c>
      <c r="D1024" s="2" t="s">
        <v>2386</v>
      </c>
      <c r="E1024" s="2" t="s">
        <v>2387</v>
      </c>
      <c r="F1024" s="2" t="s">
        <v>2388</v>
      </c>
      <c r="G1024" s="2" t="s">
        <v>879</v>
      </c>
      <c r="H1024" s="2"/>
      <c r="I1024" s="2"/>
      <c r="J1024" s="2"/>
      <c r="K1024" s="2"/>
      <c r="L1024" s="2"/>
      <c r="M1024" s="2"/>
      <c r="N1024" s="2"/>
      <c r="O1024" s="2"/>
      <c r="P1024" s="2"/>
      <c r="Q1024" s="2"/>
      <c r="R1024" s="2"/>
      <c r="S1024" s="2"/>
      <c r="T1024" s="2"/>
      <c r="U1024" s="2"/>
      <c r="V1024" s="2"/>
      <c r="W1024" s="2"/>
      <c r="X1024" s="2"/>
      <c r="Y1024" s="2"/>
    </row>
    <row r="1025" spans="1:25" x14ac:dyDescent="0.2">
      <c r="A1025">
        <v>1184</v>
      </c>
      <c r="B1025" t="s">
        <v>2385</v>
      </c>
      <c r="C1025" t="s">
        <v>18</v>
      </c>
      <c r="D1025" t="s">
        <v>2386</v>
      </c>
      <c r="E1025" t="s">
        <v>2387</v>
      </c>
      <c r="F1025" t="s">
        <v>2389</v>
      </c>
      <c r="G1025" t="s">
        <v>879</v>
      </c>
      <c r="H1025" t="b">
        <v>1</v>
      </c>
      <c r="I1025" t="b">
        <v>1</v>
      </c>
      <c r="L1025" t="b">
        <v>1</v>
      </c>
      <c r="M1025" t="s">
        <v>2390</v>
      </c>
      <c r="N1025" t="s">
        <v>2391</v>
      </c>
      <c r="O1025" t="s">
        <v>2392</v>
      </c>
    </row>
    <row r="1026" spans="1:25" x14ac:dyDescent="0.2">
      <c r="A1026">
        <v>1185</v>
      </c>
      <c r="B1026" t="s">
        <v>2385</v>
      </c>
      <c r="C1026" t="s">
        <v>18</v>
      </c>
      <c r="D1026" t="s">
        <v>2393</v>
      </c>
      <c r="E1026" t="s">
        <v>2259</v>
      </c>
      <c r="F1026" t="s">
        <v>717</v>
      </c>
      <c r="G1026" t="s">
        <v>62</v>
      </c>
      <c r="H1026" t="b">
        <v>0</v>
      </c>
      <c r="I1026" t="b">
        <v>0</v>
      </c>
      <c r="L1026" t="b">
        <v>0</v>
      </c>
      <c r="M1026" t="s">
        <v>2394</v>
      </c>
    </row>
    <row r="1027" spans="1:25" x14ac:dyDescent="0.2">
      <c r="A1027">
        <v>1186</v>
      </c>
      <c r="B1027" t="s">
        <v>2385</v>
      </c>
      <c r="C1027" t="s">
        <v>18</v>
      </c>
      <c r="D1027" t="s">
        <v>2395</v>
      </c>
      <c r="E1027" t="s">
        <v>2396</v>
      </c>
      <c r="F1027" t="s">
        <v>717</v>
      </c>
      <c r="G1027" t="s">
        <v>62</v>
      </c>
      <c r="H1027" t="b">
        <v>0</v>
      </c>
      <c r="I1027" t="b">
        <v>0</v>
      </c>
      <c r="L1027" t="b">
        <v>0</v>
      </c>
      <c r="M1027" t="s">
        <v>2397</v>
      </c>
    </row>
    <row r="1028" spans="1:25" x14ac:dyDescent="0.2">
      <c r="A1028">
        <v>1187</v>
      </c>
      <c r="B1028" t="s">
        <v>2385</v>
      </c>
      <c r="C1028" t="s">
        <v>18</v>
      </c>
      <c r="D1028" t="s">
        <v>2398</v>
      </c>
      <c r="E1028" t="s">
        <v>2399</v>
      </c>
      <c r="F1028" t="s">
        <v>144</v>
      </c>
      <c r="G1028" t="s">
        <v>879</v>
      </c>
      <c r="H1028" t="b">
        <v>0</v>
      </c>
      <c r="I1028" t="b">
        <v>0</v>
      </c>
      <c r="L1028" t="b">
        <v>0</v>
      </c>
      <c r="M1028" t="s">
        <v>2400</v>
      </c>
      <c r="N1028" t="s">
        <v>2401</v>
      </c>
    </row>
    <row r="1029" spans="1:25" x14ac:dyDescent="0.2">
      <c r="A1029">
        <v>1188</v>
      </c>
      <c r="B1029" t="s">
        <v>2385</v>
      </c>
      <c r="C1029" t="s">
        <v>18</v>
      </c>
      <c r="D1029" t="s">
        <v>2402</v>
      </c>
      <c r="E1029" t="s">
        <v>2403</v>
      </c>
      <c r="F1029" t="s">
        <v>510</v>
      </c>
      <c r="G1029" t="s">
        <v>62</v>
      </c>
      <c r="H1029" t="b">
        <v>0</v>
      </c>
      <c r="I1029" t="b">
        <v>0</v>
      </c>
      <c r="L1029" t="b">
        <v>0</v>
      </c>
      <c r="M1029" t="s">
        <v>2404</v>
      </c>
    </row>
    <row r="1031" spans="1:25" x14ac:dyDescent="0.2">
      <c r="A1031" s="2">
        <v>1197</v>
      </c>
      <c r="B1031" s="2" t="s">
        <v>2405</v>
      </c>
      <c r="C1031" s="2" t="s">
        <v>13</v>
      </c>
      <c r="D1031" s="2" t="s">
        <v>2406</v>
      </c>
      <c r="E1031" s="2" t="s">
        <v>2407</v>
      </c>
      <c r="F1031" s="2" t="s">
        <v>369</v>
      </c>
      <c r="G1031" s="2" t="s">
        <v>17</v>
      </c>
      <c r="H1031" s="2"/>
      <c r="I1031" s="2"/>
      <c r="J1031" s="2"/>
      <c r="K1031" s="2"/>
      <c r="L1031" s="2"/>
      <c r="M1031" s="2"/>
      <c r="N1031" s="2"/>
      <c r="O1031" s="2"/>
      <c r="P1031" s="2"/>
      <c r="Q1031" s="2"/>
      <c r="R1031" s="2"/>
      <c r="S1031" s="2"/>
      <c r="T1031" s="2"/>
      <c r="U1031" s="2"/>
      <c r="V1031" s="2"/>
      <c r="W1031" s="2"/>
      <c r="X1031" s="2"/>
      <c r="Y1031" s="2"/>
    </row>
    <row r="1032" spans="1:25" x14ac:dyDescent="0.2">
      <c r="A1032">
        <v>1198</v>
      </c>
      <c r="B1032" t="s">
        <v>2405</v>
      </c>
      <c r="C1032" t="s">
        <v>18</v>
      </c>
      <c r="D1032" t="s">
        <v>2406</v>
      </c>
      <c r="E1032" t="s">
        <v>2408</v>
      </c>
      <c r="F1032" t="s">
        <v>369</v>
      </c>
      <c r="G1032" t="s">
        <v>17</v>
      </c>
      <c r="H1032" t="b">
        <v>1</v>
      </c>
      <c r="K1032" t="b">
        <v>1</v>
      </c>
      <c r="L1032" t="b">
        <v>1</v>
      </c>
      <c r="M1032" t="s">
        <v>2409</v>
      </c>
      <c r="N1032" t="s">
        <v>2410</v>
      </c>
    </row>
    <row r="1033" spans="1:25" x14ac:dyDescent="0.2">
      <c r="A1033">
        <v>1199</v>
      </c>
      <c r="B1033" t="s">
        <v>2405</v>
      </c>
      <c r="C1033" t="s">
        <v>18</v>
      </c>
      <c r="D1033" t="s">
        <v>2411</v>
      </c>
      <c r="E1033" t="s">
        <v>2412</v>
      </c>
      <c r="F1033" t="s">
        <v>31</v>
      </c>
      <c r="G1033" t="s">
        <v>17</v>
      </c>
      <c r="H1033" t="b">
        <v>0</v>
      </c>
      <c r="K1033" t="b">
        <v>0</v>
      </c>
      <c r="L1033" t="b">
        <v>0</v>
      </c>
      <c r="M1033" t="s">
        <v>2413</v>
      </c>
      <c r="N1033" t="s">
        <v>2414</v>
      </c>
    </row>
    <row r="1034" spans="1:25" x14ac:dyDescent="0.2">
      <c r="A1034">
        <v>1200</v>
      </c>
      <c r="B1034" t="s">
        <v>2405</v>
      </c>
      <c r="C1034" t="s">
        <v>18</v>
      </c>
      <c r="D1034" t="s">
        <v>2415</v>
      </c>
      <c r="E1034" t="s">
        <v>2416</v>
      </c>
      <c r="F1034" t="s">
        <v>369</v>
      </c>
      <c r="G1034" t="s">
        <v>252</v>
      </c>
      <c r="H1034" t="b">
        <v>0</v>
      </c>
      <c r="K1034" t="b">
        <v>0</v>
      </c>
      <c r="L1034" t="b">
        <v>0</v>
      </c>
      <c r="M1034" t="s">
        <v>2417</v>
      </c>
      <c r="N1034" t="s">
        <v>2418</v>
      </c>
    </row>
    <row r="1035" spans="1:25" x14ac:dyDescent="0.2">
      <c r="A1035">
        <v>1201</v>
      </c>
      <c r="B1035" t="s">
        <v>2405</v>
      </c>
      <c r="C1035" t="s">
        <v>18</v>
      </c>
      <c r="D1035" t="s">
        <v>2419</v>
      </c>
      <c r="E1035" t="s">
        <v>2420</v>
      </c>
      <c r="F1035" t="s">
        <v>27</v>
      </c>
      <c r="G1035" t="s">
        <v>252</v>
      </c>
      <c r="H1035" t="b">
        <v>0</v>
      </c>
      <c r="K1035" t="b">
        <v>0</v>
      </c>
      <c r="L1035" t="b">
        <v>0</v>
      </c>
      <c r="M1035" t="s">
        <v>2421</v>
      </c>
      <c r="N1035" t="s">
        <v>2422</v>
      </c>
    </row>
    <row r="1036" spans="1:25" x14ac:dyDescent="0.2">
      <c r="A1036">
        <v>1202</v>
      </c>
      <c r="B1036" t="s">
        <v>2405</v>
      </c>
      <c r="C1036" t="s">
        <v>18</v>
      </c>
      <c r="D1036" t="s">
        <v>2423</v>
      </c>
      <c r="E1036" t="s">
        <v>2424</v>
      </c>
      <c r="F1036" t="s">
        <v>420</v>
      </c>
      <c r="G1036" t="s">
        <v>252</v>
      </c>
      <c r="H1036" t="b">
        <v>0</v>
      </c>
      <c r="K1036" t="b">
        <v>0</v>
      </c>
      <c r="L1036" t="b">
        <v>0</v>
      </c>
      <c r="M1036" t="s">
        <v>2425</v>
      </c>
      <c r="N1036" t="s">
        <v>2426</v>
      </c>
    </row>
    <row r="1038" spans="1:25" x14ac:dyDescent="0.2">
      <c r="A1038" s="2">
        <v>1204</v>
      </c>
      <c r="B1038" s="2" t="s">
        <v>2427</v>
      </c>
      <c r="C1038" s="2" t="s">
        <v>13</v>
      </c>
      <c r="D1038" s="2" t="s">
        <v>2428</v>
      </c>
      <c r="E1038" s="2" t="s">
        <v>2429</v>
      </c>
      <c r="F1038" s="2" t="s">
        <v>159</v>
      </c>
      <c r="G1038" s="2" t="s">
        <v>134</v>
      </c>
      <c r="H1038" s="2"/>
      <c r="I1038" s="2"/>
      <c r="J1038" s="2"/>
      <c r="K1038" s="2"/>
      <c r="L1038" s="2"/>
      <c r="M1038" s="2"/>
      <c r="N1038" s="2"/>
      <c r="O1038" s="2"/>
      <c r="P1038" s="2"/>
      <c r="Q1038" s="2"/>
      <c r="R1038" s="2"/>
      <c r="S1038" s="2"/>
      <c r="T1038" s="2"/>
      <c r="U1038" s="2"/>
      <c r="V1038" s="2"/>
      <c r="W1038" s="2"/>
      <c r="X1038" s="2"/>
      <c r="Y1038" s="2"/>
    </row>
    <row r="1039" spans="1:25" x14ac:dyDescent="0.2">
      <c r="A1039">
        <v>1205</v>
      </c>
      <c r="B1039" t="s">
        <v>2427</v>
      </c>
      <c r="C1039" t="s">
        <v>18</v>
      </c>
      <c r="D1039" t="s">
        <v>2428</v>
      </c>
      <c r="E1039" t="s">
        <v>2285</v>
      </c>
      <c r="F1039" t="s">
        <v>159</v>
      </c>
      <c r="G1039" t="s">
        <v>134</v>
      </c>
      <c r="H1039" t="b">
        <v>1</v>
      </c>
      <c r="K1039" t="b">
        <v>1</v>
      </c>
      <c r="L1039" t="b">
        <v>1</v>
      </c>
      <c r="M1039" t="s">
        <v>2430</v>
      </c>
      <c r="N1039" t="s">
        <v>2431</v>
      </c>
    </row>
    <row r="1040" spans="1:25" x14ac:dyDescent="0.2">
      <c r="A1040">
        <v>1206</v>
      </c>
      <c r="B1040" t="s">
        <v>2427</v>
      </c>
      <c r="C1040" t="s">
        <v>18</v>
      </c>
      <c r="D1040" t="s">
        <v>2432</v>
      </c>
      <c r="E1040" t="s">
        <v>2433</v>
      </c>
      <c r="F1040" t="s">
        <v>87</v>
      </c>
      <c r="G1040" t="s">
        <v>134</v>
      </c>
      <c r="H1040" t="b">
        <v>1</v>
      </c>
      <c r="K1040" t="b">
        <v>1</v>
      </c>
      <c r="L1040" t="b">
        <v>1</v>
      </c>
      <c r="M1040" t="s">
        <v>2434</v>
      </c>
    </row>
    <row r="1041" spans="1:25" x14ac:dyDescent="0.2">
      <c r="A1041">
        <v>1207</v>
      </c>
      <c r="B1041" t="s">
        <v>2427</v>
      </c>
      <c r="C1041" t="s">
        <v>18</v>
      </c>
      <c r="D1041" t="s">
        <v>2435</v>
      </c>
      <c r="E1041" t="s">
        <v>2436</v>
      </c>
      <c r="F1041" t="s">
        <v>27</v>
      </c>
      <c r="G1041" t="s">
        <v>134</v>
      </c>
      <c r="H1041" t="b">
        <v>0</v>
      </c>
      <c r="K1041" t="b">
        <v>0</v>
      </c>
      <c r="L1041" t="b">
        <v>0</v>
      </c>
      <c r="M1041" t="s">
        <v>2437</v>
      </c>
    </row>
    <row r="1042" spans="1:25" x14ac:dyDescent="0.2">
      <c r="A1042">
        <v>1208</v>
      </c>
      <c r="B1042" t="s">
        <v>2427</v>
      </c>
      <c r="C1042" t="s">
        <v>18</v>
      </c>
      <c r="D1042" t="s">
        <v>2438</v>
      </c>
      <c r="E1042" t="s">
        <v>2439</v>
      </c>
      <c r="F1042" t="s">
        <v>717</v>
      </c>
      <c r="G1042" t="s">
        <v>134</v>
      </c>
      <c r="H1042" t="b">
        <v>0</v>
      </c>
      <c r="K1042" t="b">
        <v>0</v>
      </c>
      <c r="L1042" t="b">
        <v>0</v>
      </c>
      <c r="M1042" t="s">
        <v>2440</v>
      </c>
      <c r="N1042" t="s">
        <v>2441</v>
      </c>
    </row>
    <row r="1043" spans="1:25" x14ac:dyDescent="0.2">
      <c r="A1043">
        <v>1209</v>
      </c>
      <c r="B1043" t="s">
        <v>2427</v>
      </c>
      <c r="C1043" t="s">
        <v>18</v>
      </c>
      <c r="D1043" t="s">
        <v>2442</v>
      </c>
      <c r="E1043" t="s">
        <v>2443</v>
      </c>
      <c r="F1043" t="s">
        <v>87</v>
      </c>
      <c r="G1043" t="s">
        <v>134</v>
      </c>
      <c r="H1043" t="b">
        <v>0</v>
      </c>
      <c r="K1043" t="b">
        <v>0</v>
      </c>
      <c r="L1043" t="b">
        <v>0</v>
      </c>
    </row>
    <row r="1045" spans="1:25" x14ac:dyDescent="0.2">
      <c r="A1045" s="2">
        <v>1218</v>
      </c>
      <c r="B1045" s="2" t="s">
        <v>2444</v>
      </c>
      <c r="C1045" s="2" t="s">
        <v>13</v>
      </c>
      <c r="D1045" s="2" t="s">
        <v>2445</v>
      </c>
      <c r="E1045" s="2" t="s">
        <v>2446</v>
      </c>
      <c r="F1045" s="2" t="s">
        <v>205</v>
      </c>
      <c r="G1045" s="2" t="s">
        <v>88</v>
      </c>
      <c r="H1045" s="2"/>
      <c r="I1045" s="2"/>
      <c r="J1045" s="2"/>
      <c r="K1045" s="2"/>
      <c r="L1045" s="2"/>
      <c r="M1045" s="2"/>
      <c r="N1045" s="2"/>
      <c r="O1045" s="2"/>
      <c r="P1045" s="2"/>
      <c r="Q1045" s="2"/>
      <c r="R1045" s="2"/>
      <c r="S1045" s="2"/>
      <c r="T1045" s="2"/>
      <c r="U1045" s="2"/>
      <c r="V1045" s="2"/>
      <c r="W1045" s="2"/>
      <c r="X1045" s="2"/>
      <c r="Y1045" s="2"/>
    </row>
    <row r="1046" spans="1:25" x14ac:dyDescent="0.2">
      <c r="A1046">
        <v>1219</v>
      </c>
      <c r="B1046" t="s">
        <v>2444</v>
      </c>
      <c r="C1046" t="s">
        <v>18</v>
      </c>
      <c r="D1046" t="s">
        <v>2445</v>
      </c>
      <c r="E1046" t="s">
        <v>2447</v>
      </c>
      <c r="F1046" t="s">
        <v>205</v>
      </c>
      <c r="G1046" t="s">
        <v>88</v>
      </c>
      <c r="H1046" t="b">
        <v>1</v>
      </c>
      <c r="K1046" t="b">
        <v>1</v>
      </c>
      <c r="L1046" t="b">
        <v>1</v>
      </c>
      <c r="M1046" t="s">
        <v>2448</v>
      </c>
    </row>
    <row r="1047" spans="1:25" x14ac:dyDescent="0.2">
      <c r="A1047">
        <v>1220</v>
      </c>
      <c r="B1047" t="s">
        <v>2444</v>
      </c>
      <c r="C1047" t="s">
        <v>18</v>
      </c>
      <c r="D1047" t="s">
        <v>2449</v>
      </c>
      <c r="E1047" t="s">
        <v>2450</v>
      </c>
      <c r="F1047" t="s">
        <v>2451</v>
      </c>
      <c r="G1047" t="s">
        <v>88</v>
      </c>
      <c r="H1047" t="b">
        <v>1</v>
      </c>
      <c r="K1047" t="b">
        <v>0</v>
      </c>
      <c r="L1047" t="b">
        <v>1</v>
      </c>
      <c r="M1047" t="s">
        <v>2452</v>
      </c>
    </row>
    <row r="1048" spans="1:25" x14ac:dyDescent="0.2">
      <c r="A1048">
        <v>1221</v>
      </c>
      <c r="B1048" t="s">
        <v>2444</v>
      </c>
      <c r="C1048" t="s">
        <v>18</v>
      </c>
      <c r="D1048" t="s">
        <v>2453</v>
      </c>
      <c r="E1048" t="s">
        <v>2454</v>
      </c>
      <c r="F1048" t="s">
        <v>82</v>
      </c>
      <c r="G1048" t="s">
        <v>88</v>
      </c>
      <c r="H1048" t="b">
        <v>0</v>
      </c>
      <c r="K1048" t="b">
        <v>0</v>
      </c>
      <c r="L1048" t="b">
        <v>0</v>
      </c>
    </row>
    <row r="1049" spans="1:25" x14ac:dyDescent="0.2">
      <c r="A1049">
        <v>1222</v>
      </c>
      <c r="B1049" t="s">
        <v>2444</v>
      </c>
      <c r="C1049" t="s">
        <v>18</v>
      </c>
      <c r="D1049" t="s">
        <v>2455</v>
      </c>
      <c r="E1049" t="s">
        <v>2456</v>
      </c>
      <c r="F1049" t="s">
        <v>31</v>
      </c>
      <c r="G1049" t="s">
        <v>24</v>
      </c>
      <c r="H1049" t="b">
        <v>0</v>
      </c>
      <c r="K1049" t="b">
        <v>0</v>
      </c>
      <c r="L1049" t="b">
        <v>0</v>
      </c>
      <c r="M1049" t="s">
        <v>2457</v>
      </c>
      <c r="N1049" t="s">
        <v>745</v>
      </c>
    </row>
    <row r="1050" spans="1:25" x14ac:dyDescent="0.2">
      <c r="A1050">
        <v>1223</v>
      </c>
      <c r="B1050" t="s">
        <v>2444</v>
      </c>
      <c r="C1050" t="s">
        <v>18</v>
      </c>
      <c r="D1050" t="s">
        <v>2458</v>
      </c>
      <c r="E1050" t="s">
        <v>2459</v>
      </c>
      <c r="F1050" t="s">
        <v>16</v>
      </c>
      <c r="G1050" t="s">
        <v>24</v>
      </c>
      <c r="H1050" t="b">
        <v>0</v>
      </c>
      <c r="K1050" t="b">
        <v>0</v>
      </c>
      <c r="L1050" t="b">
        <v>0</v>
      </c>
      <c r="M1050" t="s">
        <v>2460</v>
      </c>
      <c r="N1050" t="s">
        <v>2461</v>
      </c>
    </row>
    <row r="1052" spans="1:25" x14ac:dyDescent="0.2">
      <c r="A1052" s="2">
        <v>1232</v>
      </c>
      <c r="B1052" s="2" t="s">
        <v>2462</v>
      </c>
      <c r="C1052" s="2" t="s">
        <v>13</v>
      </c>
      <c r="D1052" s="2" t="s">
        <v>2463</v>
      </c>
      <c r="E1052" s="2" t="s">
        <v>2464</v>
      </c>
      <c r="F1052" s="2" t="s">
        <v>151</v>
      </c>
      <c r="G1052" s="2" t="s">
        <v>24</v>
      </c>
      <c r="H1052" s="2"/>
      <c r="I1052" s="2"/>
      <c r="J1052" s="2"/>
      <c r="K1052" s="2"/>
      <c r="L1052" s="2"/>
      <c r="M1052" s="2"/>
      <c r="N1052" s="2"/>
      <c r="O1052" s="2"/>
      <c r="P1052" s="2"/>
      <c r="Q1052" s="2"/>
      <c r="R1052" s="2"/>
      <c r="S1052" s="2"/>
      <c r="T1052" s="2"/>
      <c r="U1052" s="2"/>
      <c r="V1052" s="2"/>
      <c r="W1052" s="2"/>
      <c r="X1052" s="2"/>
      <c r="Y1052" s="2"/>
    </row>
    <row r="1053" spans="1:25" x14ac:dyDescent="0.2">
      <c r="A1053">
        <v>1233</v>
      </c>
      <c r="B1053" t="s">
        <v>2462</v>
      </c>
      <c r="C1053" t="s">
        <v>18</v>
      </c>
      <c r="D1053" t="s">
        <v>2463</v>
      </c>
      <c r="E1053" t="s">
        <v>2464</v>
      </c>
      <c r="F1053" t="s">
        <v>151</v>
      </c>
      <c r="G1053" t="s">
        <v>24</v>
      </c>
      <c r="H1053" t="b">
        <v>1</v>
      </c>
      <c r="K1053" t="b">
        <v>1</v>
      </c>
      <c r="L1053" t="b">
        <v>1</v>
      </c>
      <c r="M1053" t="s">
        <v>2465</v>
      </c>
      <c r="N1053" t="s">
        <v>2466</v>
      </c>
    </row>
    <row r="1054" spans="1:25" x14ac:dyDescent="0.2">
      <c r="A1054">
        <v>1234</v>
      </c>
      <c r="B1054" t="s">
        <v>2462</v>
      </c>
      <c r="C1054" t="s">
        <v>18</v>
      </c>
      <c r="D1054" t="s">
        <v>2467</v>
      </c>
      <c r="E1054" t="s">
        <v>2468</v>
      </c>
      <c r="F1054" t="s">
        <v>151</v>
      </c>
      <c r="G1054" t="s">
        <v>24</v>
      </c>
      <c r="H1054" t="b">
        <v>0</v>
      </c>
      <c r="K1054" t="b">
        <v>0</v>
      </c>
      <c r="L1054" t="b">
        <v>0</v>
      </c>
      <c r="M1054" t="s">
        <v>2469</v>
      </c>
      <c r="N1054" t="s">
        <v>2470</v>
      </c>
    </row>
    <row r="1055" spans="1:25" x14ac:dyDescent="0.2">
      <c r="A1055">
        <v>1235</v>
      </c>
      <c r="B1055" t="s">
        <v>2462</v>
      </c>
      <c r="C1055" t="s">
        <v>18</v>
      </c>
      <c r="D1055" t="s">
        <v>2471</v>
      </c>
      <c r="E1055" t="s">
        <v>2472</v>
      </c>
      <c r="F1055" t="s">
        <v>151</v>
      </c>
      <c r="G1055" t="s">
        <v>24</v>
      </c>
      <c r="H1055" t="b">
        <v>0</v>
      </c>
      <c r="K1055" t="b">
        <v>0</v>
      </c>
      <c r="L1055" t="b">
        <v>0</v>
      </c>
      <c r="M1055" t="s">
        <v>2473</v>
      </c>
      <c r="N1055" t="s">
        <v>2474</v>
      </c>
    </row>
    <row r="1056" spans="1:25" x14ac:dyDescent="0.2">
      <c r="A1056">
        <v>1236</v>
      </c>
      <c r="B1056" t="s">
        <v>2462</v>
      </c>
      <c r="C1056" t="s">
        <v>18</v>
      </c>
      <c r="D1056" t="s">
        <v>2475</v>
      </c>
      <c r="E1056" t="s">
        <v>244</v>
      </c>
      <c r="F1056" t="s">
        <v>45</v>
      </c>
      <c r="G1056" t="s">
        <v>24</v>
      </c>
      <c r="H1056" t="b">
        <v>0</v>
      </c>
      <c r="K1056" t="b">
        <v>0</v>
      </c>
      <c r="L1056" t="b">
        <v>0</v>
      </c>
    </row>
    <row r="1057" spans="1:25" x14ac:dyDescent="0.2">
      <c r="A1057">
        <v>1237</v>
      </c>
      <c r="B1057" t="s">
        <v>2462</v>
      </c>
      <c r="C1057" t="s">
        <v>18</v>
      </c>
      <c r="D1057" t="s">
        <v>2476</v>
      </c>
      <c r="E1057" t="s">
        <v>2477</v>
      </c>
      <c r="F1057" t="s">
        <v>151</v>
      </c>
      <c r="G1057" t="s">
        <v>24</v>
      </c>
      <c r="H1057" t="b">
        <v>0</v>
      </c>
      <c r="K1057" t="b">
        <v>0</v>
      </c>
      <c r="L1057" t="b">
        <v>0</v>
      </c>
      <c r="M1057" t="s">
        <v>2478</v>
      </c>
    </row>
    <row r="1059" spans="1:25" x14ac:dyDescent="0.2">
      <c r="A1059" s="2">
        <v>1239</v>
      </c>
      <c r="B1059" s="2" t="s">
        <v>2479</v>
      </c>
      <c r="C1059" s="2" t="s">
        <v>13</v>
      </c>
      <c r="D1059" s="2" t="s">
        <v>2480</v>
      </c>
      <c r="E1059" s="2" t="s">
        <v>2481</v>
      </c>
      <c r="F1059" s="2" t="s">
        <v>23</v>
      </c>
      <c r="G1059" s="2" t="s">
        <v>265</v>
      </c>
      <c r="H1059" s="2"/>
      <c r="I1059" s="2"/>
      <c r="J1059" s="2"/>
      <c r="K1059" s="2"/>
      <c r="L1059" s="2"/>
      <c r="M1059" s="2"/>
      <c r="N1059" s="2"/>
      <c r="O1059" s="2"/>
      <c r="P1059" s="2"/>
      <c r="Q1059" s="2"/>
      <c r="R1059" s="2"/>
      <c r="S1059" s="2"/>
      <c r="T1059" s="2"/>
      <c r="U1059" s="2"/>
      <c r="V1059" s="2"/>
      <c r="W1059" s="2"/>
      <c r="X1059" s="2"/>
      <c r="Y1059" s="2"/>
    </row>
    <row r="1060" spans="1:25" x14ac:dyDescent="0.2">
      <c r="A1060">
        <v>1240</v>
      </c>
      <c r="B1060" t="s">
        <v>2479</v>
      </c>
      <c r="C1060" t="s">
        <v>18</v>
      </c>
      <c r="D1060" t="s">
        <v>2480</v>
      </c>
      <c r="E1060" t="s">
        <v>2481</v>
      </c>
      <c r="F1060" t="s">
        <v>23</v>
      </c>
      <c r="G1060" t="s">
        <v>265</v>
      </c>
      <c r="H1060" t="b">
        <v>1</v>
      </c>
      <c r="K1060" t="b">
        <v>1</v>
      </c>
      <c r="L1060" t="b">
        <v>1</v>
      </c>
      <c r="M1060" t="s">
        <v>2482</v>
      </c>
      <c r="N1060" t="s">
        <v>2483</v>
      </c>
    </row>
    <row r="1061" spans="1:25" x14ac:dyDescent="0.2">
      <c r="A1061">
        <v>1241</v>
      </c>
      <c r="B1061" t="s">
        <v>2479</v>
      </c>
      <c r="C1061" t="s">
        <v>18</v>
      </c>
      <c r="D1061" t="s">
        <v>2484</v>
      </c>
      <c r="E1061" t="s">
        <v>2485</v>
      </c>
      <c r="F1061" t="s">
        <v>23</v>
      </c>
      <c r="G1061" t="s">
        <v>134</v>
      </c>
      <c r="H1061" t="b">
        <v>0</v>
      </c>
      <c r="K1061" t="b">
        <v>0</v>
      </c>
      <c r="L1061" t="b">
        <v>0</v>
      </c>
    </row>
    <row r="1062" spans="1:25" x14ac:dyDescent="0.2">
      <c r="A1062">
        <v>1242</v>
      </c>
      <c r="B1062" t="s">
        <v>2479</v>
      </c>
      <c r="C1062" t="s">
        <v>18</v>
      </c>
      <c r="D1062" t="s">
        <v>2486</v>
      </c>
      <c r="E1062" t="s">
        <v>2487</v>
      </c>
      <c r="F1062" t="s">
        <v>205</v>
      </c>
      <c r="G1062" t="s">
        <v>134</v>
      </c>
      <c r="H1062" t="b">
        <v>0</v>
      </c>
      <c r="K1062" t="b">
        <v>0</v>
      </c>
      <c r="L1062" t="b">
        <v>0</v>
      </c>
      <c r="M1062" t="s">
        <v>2488</v>
      </c>
      <c r="N1062" t="s">
        <v>745</v>
      </c>
    </row>
    <row r="1063" spans="1:25" x14ac:dyDescent="0.2">
      <c r="A1063">
        <v>1243</v>
      </c>
      <c r="B1063" t="s">
        <v>2479</v>
      </c>
      <c r="C1063" t="s">
        <v>18</v>
      </c>
      <c r="D1063" t="s">
        <v>2489</v>
      </c>
      <c r="E1063" t="s">
        <v>2490</v>
      </c>
      <c r="F1063" t="s">
        <v>205</v>
      </c>
      <c r="G1063" t="s">
        <v>134</v>
      </c>
      <c r="H1063" t="b">
        <v>0</v>
      </c>
      <c r="K1063" t="b">
        <v>0</v>
      </c>
      <c r="L1063" t="b">
        <v>0</v>
      </c>
      <c r="M1063" t="s">
        <v>2491</v>
      </c>
    </row>
    <row r="1064" spans="1:25" x14ac:dyDescent="0.2">
      <c r="A1064">
        <v>1244</v>
      </c>
      <c r="B1064" t="s">
        <v>2479</v>
      </c>
      <c r="C1064" t="s">
        <v>18</v>
      </c>
      <c r="D1064" t="s">
        <v>2492</v>
      </c>
      <c r="E1064" t="s">
        <v>2493</v>
      </c>
      <c r="F1064" t="s">
        <v>78</v>
      </c>
      <c r="G1064" t="s">
        <v>134</v>
      </c>
      <c r="H1064" t="b">
        <v>0</v>
      </c>
      <c r="K1064" t="b">
        <v>0</v>
      </c>
      <c r="L1064" t="b">
        <v>0</v>
      </c>
    </row>
    <row r="1066" spans="1:25" x14ac:dyDescent="0.2">
      <c r="A1066" s="2">
        <v>1253</v>
      </c>
      <c r="B1066" s="2" t="s">
        <v>2494</v>
      </c>
      <c r="C1066" s="2" t="s">
        <v>13</v>
      </c>
      <c r="D1066" s="2" t="s">
        <v>2495</v>
      </c>
      <c r="E1066" s="2" t="s">
        <v>2496</v>
      </c>
      <c r="F1066" s="2" t="s">
        <v>23</v>
      </c>
      <c r="G1066" s="2" t="s">
        <v>130</v>
      </c>
      <c r="H1066" s="2"/>
      <c r="I1066" s="2"/>
      <c r="J1066" s="2"/>
      <c r="K1066" s="2"/>
      <c r="L1066" s="2"/>
      <c r="M1066" s="2"/>
      <c r="N1066" s="2"/>
      <c r="O1066" s="2"/>
      <c r="P1066" s="2"/>
      <c r="Q1066" s="2"/>
      <c r="R1066" s="2"/>
      <c r="S1066" s="2"/>
      <c r="T1066" s="2"/>
      <c r="U1066" s="2"/>
      <c r="V1066" s="2"/>
      <c r="W1066" s="2"/>
      <c r="X1066" s="2"/>
      <c r="Y1066" s="2"/>
    </row>
    <row r="1067" spans="1:25" x14ac:dyDescent="0.2">
      <c r="A1067">
        <v>1254</v>
      </c>
      <c r="B1067" t="s">
        <v>2494</v>
      </c>
      <c r="C1067" t="s">
        <v>18</v>
      </c>
      <c r="D1067" t="s">
        <v>2495</v>
      </c>
      <c r="E1067" t="s">
        <v>1536</v>
      </c>
      <c r="F1067" t="s">
        <v>23</v>
      </c>
      <c r="G1067" t="s">
        <v>130</v>
      </c>
      <c r="H1067" t="b">
        <v>1</v>
      </c>
      <c r="K1067" t="b">
        <v>1</v>
      </c>
      <c r="L1067" t="b">
        <v>1</v>
      </c>
      <c r="M1067" t="s">
        <v>2497</v>
      </c>
      <c r="N1067" t="s">
        <v>2498</v>
      </c>
    </row>
    <row r="1068" spans="1:25" x14ac:dyDescent="0.2">
      <c r="A1068">
        <v>1255</v>
      </c>
      <c r="B1068" t="s">
        <v>2494</v>
      </c>
      <c r="C1068" t="s">
        <v>18</v>
      </c>
      <c r="D1068" t="s">
        <v>2499</v>
      </c>
      <c r="E1068" t="s">
        <v>2500</v>
      </c>
      <c r="F1068" t="s">
        <v>23</v>
      </c>
      <c r="G1068" t="s">
        <v>130</v>
      </c>
      <c r="H1068" t="b">
        <v>0</v>
      </c>
      <c r="K1068" t="b">
        <v>0</v>
      </c>
      <c r="L1068" t="b">
        <v>0</v>
      </c>
      <c r="M1068" t="s">
        <v>2501</v>
      </c>
      <c r="N1068" t="s">
        <v>2502</v>
      </c>
    </row>
    <row r="1069" spans="1:25" x14ac:dyDescent="0.2">
      <c r="A1069">
        <v>1256</v>
      </c>
      <c r="B1069" t="s">
        <v>2494</v>
      </c>
      <c r="C1069" t="s">
        <v>18</v>
      </c>
      <c r="D1069" t="s">
        <v>2503</v>
      </c>
      <c r="E1069" t="s">
        <v>2504</v>
      </c>
      <c r="F1069" t="s">
        <v>78</v>
      </c>
      <c r="G1069" t="s">
        <v>88</v>
      </c>
      <c r="H1069" t="b">
        <v>0</v>
      </c>
      <c r="K1069" t="b">
        <v>0</v>
      </c>
      <c r="L1069" t="b">
        <v>0</v>
      </c>
      <c r="M1069" t="s">
        <v>2505</v>
      </c>
      <c r="N1069" t="s">
        <v>2506</v>
      </c>
    </row>
    <row r="1070" spans="1:25" x14ac:dyDescent="0.2">
      <c r="A1070">
        <v>1257</v>
      </c>
      <c r="B1070" t="s">
        <v>2494</v>
      </c>
      <c r="C1070" t="s">
        <v>18</v>
      </c>
      <c r="D1070" t="s">
        <v>135</v>
      </c>
      <c r="E1070" t="s">
        <v>136</v>
      </c>
      <c r="F1070" t="s">
        <v>23</v>
      </c>
      <c r="G1070" t="s">
        <v>17</v>
      </c>
      <c r="H1070" t="b">
        <v>0</v>
      </c>
      <c r="K1070" t="b">
        <v>0</v>
      </c>
      <c r="L1070" t="b">
        <v>0</v>
      </c>
    </row>
    <row r="1071" spans="1:25" x14ac:dyDescent="0.2">
      <c r="A1071">
        <v>1258</v>
      </c>
      <c r="B1071" t="s">
        <v>2494</v>
      </c>
      <c r="C1071" t="s">
        <v>18</v>
      </c>
      <c r="D1071" t="s">
        <v>2507</v>
      </c>
      <c r="E1071" t="s">
        <v>2508</v>
      </c>
      <c r="F1071" t="s">
        <v>23</v>
      </c>
      <c r="G1071" t="s">
        <v>17</v>
      </c>
      <c r="H1071" t="b">
        <v>0</v>
      </c>
      <c r="K1071" t="b">
        <v>0</v>
      </c>
      <c r="L1071" t="b">
        <v>0</v>
      </c>
      <c r="M1071" t="s">
        <v>2509</v>
      </c>
    </row>
    <row r="1073" spans="1:25" x14ac:dyDescent="0.2">
      <c r="A1073" s="2">
        <v>126</v>
      </c>
      <c r="B1073" s="2" t="s">
        <v>2510</v>
      </c>
      <c r="C1073" s="2" t="s">
        <v>13</v>
      </c>
      <c r="D1073" s="2" t="s">
        <v>2511</v>
      </c>
      <c r="E1073" s="2" t="s">
        <v>2512</v>
      </c>
      <c r="F1073" s="2" t="s">
        <v>420</v>
      </c>
      <c r="G1073" s="2" t="s">
        <v>879</v>
      </c>
      <c r="H1073" s="2"/>
      <c r="I1073" s="2"/>
      <c r="J1073" s="2"/>
      <c r="K1073" s="2"/>
      <c r="L1073" s="2"/>
      <c r="M1073" s="2"/>
      <c r="N1073" s="2"/>
      <c r="O1073" s="2"/>
      <c r="P1073" s="2"/>
      <c r="Q1073" s="2"/>
      <c r="R1073" s="2"/>
      <c r="S1073" s="2"/>
      <c r="T1073" s="2"/>
      <c r="U1073" s="2"/>
      <c r="V1073" s="2"/>
      <c r="W1073" s="2"/>
      <c r="X1073" s="2"/>
      <c r="Y1073" s="2"/>
    </row>
    <row r="1074" spans="1:25" x14ac:dyDescent="0.2">
      <c r="A1074">
        <v>127</v>
      </c>
      <c r="B1074" t="s">
        <v>2510</v>
      </c>
      <c r="C1074" t="s">
        <v>18</v>
      </c>
      <c r="D1074" t="s">
        <v>2513</v>
      </c>
      <c r="E1074" t="s">
        <v>1038</v>
      </c>
      <c r="F1074" t="s">
        <v>420</v>
      </c>
      <c r="G1074" t="s">
        <v>879</v>
      </c>
      <c r="H1074" t="b">
        <v>1</v>
      </c>
      <c r="I1074" t="b">
        <v>1</v>
      </c>
      <c r="L1074" t="b">
        <v>1</v>
      </c>
      <c r="M1074" t="s">
        <v>2514</v>
      </c>
    </row>
    <row r="1075" spans="1:25" x14ac:dyDescent="0.2">
      <c r="A1075">
        <v>128</v>
      </c>
      <c r="B1075" t="s">
        <v>2510</v>
      </c>
      <c r="C1075" t="s">
        <v>18</v>
      </c>
      <c r="D1075" t="s">
        <v>2515</v>
      </c>
      <c r="E1075" t="s">
        <v>1536</v>
      </c>
      <c r="F1075" t="s">
        <v>420</v>
      </c>
      <c r="G1075" t="s">
        <v>879</v>
      </c>
      <c r="H1075" t="b">
        <v>1</v>
      </c>
      <c r="I1075" t="b">
        <v>1</v>
      </c>
      <c r="L1075" t="b">
        <v>1</v>
      </c>
      <c r="M1075" t="s">
        <v>2516</v>
      </c>
      <c r="N1075" t="s">
        <v>2517</v>
      </c>
    </row>
    <row r="1076" spans="1:25" x14ac:dyDescent="0.2">
      <c r="A1076">
        <v>129</v>
      </c>
      <c r="B1076" t="s">
        <v>2510</v>
      </c>
      <c r="C1076" t="s">
        <v>18</v>
      </c>
      <c r="D1076" t="s">
        <v>2518</v>
      </c>
      <c r="E1076" t="s">
        <v>2519</v>
      </c>
      <c r="F1076" t="s">
        <v>87</v>
      </c>
      <c r="G1076" t="s">
        <v>879</v>
      </c>
      <c r="H1076" t="b">
        <v>0</v>
      </c>
      <c r="I1076" t="b">
        <v>0</v>
      </c>
      <c r="L1076" t="b">
        <v>0</v>
      </c>
      <c r="M1076" t="s">
        <v>2520</v>
      </c>
    </row>
    <row r="1077" spans="1:25" x14ac:dyDescent="0.2">
      <c r="A1077">
        <v>130</v>
      </c>
      <c r="B1077" t="s">
        <v>2510</v>
      </c>
      <c r="C1077" t="s">
        <v>18</v>
      </c>
      <c r="D1077" t="s">
        <v>2521</v>
      </c>
      <c r="E1077" t="s">
        <v>2493</v>
      </c>
      <c r="F1077" t="s">
        <v>87</v>
      </c>
      <c r="G1077" t="s">
        <v>879</v>
      </c>
      <c r="H1077" t="b">
        <v>0</v>
      </c>
      <c r="I1077" t="b">
        <v>0</v>
      </c>
      <c r="L1077" t="b">
        <v>0</v>
      </c>
    </row>
    <row r="1078" spans="1:25" x14ac:dyDescent="0.2">
      <c r="A1078">
        <v>131</v>
      </c>
      <c r="B1078" t="s">
        <v>2510</v>
      </c>
      <c r="C1078" t="s">
        <v>18</v>
      </c>
      <c r="D1078" t="s">
        <v>2522</v>
      </c>
      <c r="E1078" t="s">
        <v>2523</v>
      </c>
      <c r="F1078" t="s">
        <v>78</v>
      </c>
      <c r="G1078" t="s">
        <v>417</v>
      </c>
      <c r="H1078" t="b">
        <v>0</v>
      </c>
      <c r="I1078" t="b">
        <v>0</v>
      </c>
      <c r="L1078" t="b">
        <v>0</v>
      </c>
      <c r="M1078" t="s">
        <v>2524</v>
      </c>
      <c r="N1078" t="s">
        <v>2525</v>
      </c>
      <c r="O1078" t="s">
        <v>2526</v>
      </c>
    </row>
    <row r="1080" spans="1:25" x14ac:dyDescent="0.2">
      <c r="A1080" s="2">
        <v>1267</v>
      </c>
      <c r="B1080" s="2" t="s">
        <v>2527</v>
      </c>
      <c r="C1080" s="2" t="s">
        <v>13</v>
      </c>
      <c r="D1080" s="2" t="s">
        <v>2528</v>
      </c>
      <c r="E1080" s="2" t="s">
        <v>2529</v>
      </c>
      <c r="F1080" s="2" t="s">
        <v>78</v>
      </c>
      <c r="G1080" s="2" t="s">
        <v>24</v>
      </c>
      <c r="H1080" s="2"/>
      <c r="I1080" s="2"/>
      <c r="J1080" s="2"/>
      <c r="K1080" s="2"/>
      <c r="L1080" s="2"/>
      <c r="M1080" s="2"/>
      <c r="N1080" s="2"/>
      <c r="O1080" s="2"/>
      <c r="P1080" s="2"/>
      <c r="Q1080" s="2"/>
      <c r="R1080" s="2"/>
      <c r="S1080" s="2"/>
      <c r="T1080" s="2"/>
      <c r="U1080" s="2"/>
      <c r="V1080" s="2"/>
      <c r="W1080" s="2"/>
      <c r="X1080" s="2"/>
      <c r="Y1080" s="2"/>
    </row>
    <row r="1081" spans="1:25" x14ac:dyDescent="0.2">
      <c r="A1081">
        <v>1268</v>
      </c>
      <c r="B1081" t="s">
        <v>2527</v>
      </c>
      <c r="C1081" t="s">
        <v>18</v>
      </c>
      <c r="D1081" t="s">
        <v>2530</v>
      </c>
      <c r="E1081" t="s">
        <v>888</v>
      </c>
      <c r="F1081" t="s">
        <v>78</v>
      </c>
      <c r="G1081" t="s">
        <v>24</v>
      </c>
      <c r="H1081" t="b">
        <v>1</v>
      </c>
      <c r="K1081" t="b">
        <v>1</v>
      </c>
      <c r="L1081" t="b">
        <v>1</v>
      </c>
      <c r="M1081" t="s">
        <v>2531</v>
      </c>
      <c r="N1081" t="s">
        <v>2532</v>
      </c>
    </row>
    <row r="1082" spans="1:25" x14ac:dyDescent="0.2">
      <c r="A1082">
        <v>1269</v>
      </c>
      <c r="B1082" t="s">
        <v>2527</v>
      </c>
      <c r="C1082" t="s">
        <v>18</v>
      </c>
      <c r="D1082" t="s">
        <v>2533</v>
      </c>
      <c r="E1082" t="s">
        <v>2534</v>
      </c>
      <c r="F1082" t="s">
        <v>78</v>
      </c>
      <c r="G1082" t="s">
        <v>24</v>
      </c>
      <c r="H1082" t="b">
        <v>0</v>
      </c>
      <c r="K1082" t="b">
        <v>0</v>
      </c>
      <c r="L1082" t="b">
        <v>0</v>
      </c>
    </row>
    <row r="1083" spans="1:25" x14ac:dyDescent="0.2">
      <c r="A1083">
        <v>1270</v>
      </c>
      <c r="B1083" t="s">
        <v>2527</v>
      </c>
      <c r="C1083" t="s">
        <v>18</v>
      </c>
      <c r="D1083" t="s">
        <v>2535</v>
      </c>
      <c r="E1083" t="s">
        <v>2536</v>
      </c>
      <c r="F1083" t="s">
        <v>168</v>
      </c>
      <c r="G1083" t="s">
        <v>17</v>
      </c>
      <c r="H1083" t="b">
        <v>0</v>
      </c>
      <c r="K1083" t="b">
        <v>0</v>
      </c>
      <c r="L1083" t="b">
        <v>0</v>
      </c>
      <c r="M1083" t="s">
        <v>2537</v>
      </c>
      <c r="N1083" t="s">
        <v>2538</v>
      </c>
      <c r="O1083" t="s">
        <v>2539</v>
      </c>
      <c r="P1083" t="s">
        <v>2540</v>
      </c>
      <c r="Q1083" t="s">
        <v>2541</v>
      </c>
      <c r="R1083" t="str">
        <f>HYPERLINK("https://arizona.app.box.com/file/386242983334")</f>
        <v>https://arizona.app.box.com/file/386242983334</v>
      </c>
    </row>
    <row r="1084" spans="1:25" x14ac:dyDescent="0.2">
      <c r="A1084">
        <v>1271</v>
      </c>
      <c r="B1084" t="s">
        <v>2527</v>
      </c>
      <c r="C1084" t="s">
        <v>18</v>
      </c>
      <c r="D1084" t="s">
        <v>2542</v>
      </c>
      <c r="E1084" t="s">
        <v>2543</v>
      </c>
      <c r="F1084" t="s">
        <v>78</v>
      </c>
      <c r="G1084" t="s">
        <v>24</v>
      </c>
      <c r="H1084" t="b">
        <v>1</v>
      </c>
      <c r="K1084" t="b">
        <v>1</v>
      </c>
      <c r="L1084" t="b">
        <v>1</v>
      </c>
      <c r="M1084" t="str">
        <f>HYPERLINK("https://arizona.app.box.com/file/386227773713")</f>
        <v>https://arizona.app.box.com/file/386227773713</v>
      </c>
    </row>
    <row r="1085" spans="1:25" x14ac:dyDescent="0.2">
      <c r="A1085">
        <v>1272</v>
      </c>
      <c r="B1085" t="s">
        <v>2527</v>
      </c>
      <c r="C1085" t="s">
        <v>18</v>
      </c>
      <c r="D1085" t="s">
        <v>2544</v>
      </c>
      <c r="E1085" t="s">
        <v>2545</v>
      </c>
      <c r="F1085" t="s">
        <v>168</v>
      </c>
      <c r="G1085" t="s">
        <v>17</v>
      </c>
      <c r="H1085" t="b">
        <v>0</v>
      </c>
      <c r="K1085" t="b">
        <v>0</v>
      </c>
      <c r="L1085" t="b">
        <v>0</v>
      </c>
      <c r="M1085" t="s">
        <v>2546</v>
      </c>
    </row>
    <row r="1087" spans="1:25" x14ac:dyDescent="0.2">
      <c r="A1087" s="2">
        <v>1274</v>
      </c>
      <c r="B1087" s="2" t="s">
        <v>2547</v>
      </c>
      <c r="C1087" s="2" t="s">
        <v>13</v>
      </c>
      <c r="D1087" s="2" t="s">
        <v>2548</v>
      </c>
      <c r="E1087" s="2" t="s">
        <v>2549</v>
      </c>
      <c r="F1087" s="2" t="s">
        <v>168</v>
      </c>
      <c r="G1087" s="2" t="s">
        <v>17</v>
      </c>
      <c r="H1087" s="2"/>
      <c r="I1087" s="2"/>
      <c r="J1087" s="2"/>
      <c r="K1087" s="2"/>
      <c r="L1087" s="2"/>
      <c r="M1087" s="2"/>
      <c r="N1087" s="2"/>
      <c r="O1087" s="2"/>
      <c r="P1087" s="2"/>
      <c r="Q1087" s="2"/>
      <c r="R1087" s="2"/>
      <c r="S1087" s="2"/>
      <c r="T1087" s="2"/>
      <c r="U1087" s="2"/>
      <c r="V1087" s="2"/>
      <c r="W1087" s="2"/>
      <c r="X1087" s="2"/>
      <c r="Y1087" s="2"/>
    </row>
    <row r="1088" spans="1:25" x14ac:dyDescent="0.2">
      <c r="A1088">
        <v>1275</v>
      </c>
      <c r="B1088" t="s">
        <v>2547</v>
      </c>
      <c r="C1088" t="s">
        <v>18</v>
      </c>
      <c r="D1088" t="s">
        <v>2548</v>
      </c>
      <c r="E1088" t="s">
        <v>2549</v>
      </c>
      <c r="F1088" t="s">
        <v>168</v>
      </c>
      <c r="G1088" t="s">
        <v>17</v>
      </c>
      <c r="H1088" t="b">
        <v>1</v>
      </c>
      <c r="I1088" t="b">
        <v>1</v>
      </c>
      <c r="L1088" t="b">
        <v>1</v>
      </c>
      <c r="M1088" t="s">
        <v>2550</v>
      </c>
      <c r="N1088" t="s">
        <v>2551</v>
      </c>
    </row>
    <row r="1089" spans="1:25" x14ac:dyDescent="0.2">
      <c r="A1089">
        <v>1276</v>
      </c>
      <c r="B1089" t="s">
        <v>2547</v>
      </c>
      <c r="C1089" t="s">
        <v>18</v>
      </c>
      <c r="D1089" t="s">
        <v>2552</v>
      </c>
      <c r="E1089" t="s">
        <v>2553</v>
      </c>
      <c r="F1089" t="s">
        <v>168</v>
      </c>
      <c r="G1089" t="s">
        <v>17</v>
      </c>
      <c r="H1089" t="b">
        <v>0</v>
      </c>
      <c r="I1089" t="b">
        <v>0</v>
      </c>
      <c r="L1089" t="b">
        <v>0</v>
      </c>
      <c r="M1089" t="s">
        <v>2554</v>
      </c>
      <c r="N1089" t="s">
        <v>2555</v>
      </c>
    </row>
    <row r="1090" spans="1:25" x14ac:dyDescent="0.2">
      <c r="A1090">
        <v>1277</v>
      </c>
      <c r="B1090" t="s">
        <v>2547</v>
      </c>
      <c r="C1090" t="s">
        <v>18</v>
      </c>
      <c r="D1090" t="s">
        <v>2556</v>
      </c>
      <c r="E1090" t="s">
        <v>2557</v>
      </c>
      <c r="F1090" t="s">
        <v>168</v>
      </c>
      <c r="G1090" t="s">
        <v>17</v>
      </c>
      <c r="H1090" t="b">
        <v>0</v>
      </c>
      <c r="I1090" t="b">
        <v>0</v>
      </c>
      <c r="L1090" t="b">
        <v>0</v>
      </c>
      <c r="M1090" t="s">
        <v>2558</v>
      </c>
    </row>
    <row r="1091" spans="1:25" x14ac:dyDescent="0.2">
      <c r="A1091">
        <v>1278</v>
      </c>
      <c r="B1091" t="s">
        <v>2547</v>
      </c>
      <c r="C1091" t="s">
        <v>18</v>
      </c>
      <c r="D1091" t="s">
        <v>2559</v>
      </c>
      <c r="E1091" t="s">
        <v>2560</v>
      </c>
      <c r="F1091" t="s">
        <v>168</v>
      </c>
      <c r="G1091" t="s">
        <v>17</v>
      </c>
      <c r="H1091" t="b">
        <v>0</v>
      </c>
      <c r="I1091" t="b">
        <v>0</v>
      </c>
      <c r="L1091" t="b">
        <v>0</v>
      </c>
    </row>
    <row r="1092" spans="1:25" x14ac:dyDescent="0.2">
      <c r="A1092">
        <v>1279</v>
      </c>
      <c r="B1092" t="s">
        <v>2547</v>
      </c>
      <c r="C1092" t="s">
        <v>18</v>
      </c>
      <c r="D1092" t="s">
        <v>2561</v>
      </c>
      <c r="E1092" t="s">
        <v>2562</v>
      </c>
      <c r="F1092" t="s">
        <v>78</v>
      </c>
      <c r="G1092" t="s">
        <v>2563</v>
      </c>
      <c r="H1092" t="b">
        <v>0</v>
      </c>
      <c r="I1092" t="b">
        <v>0</v>
      </c>
      <c r="L1092" t="b">
        <v>0</v>
      </c>
      <c r="M1092" t="s">
        <v>2564</v>
      </c>
      <c r="N1092" t="s">
        <v>745</v>
      </c>
    </row>
    <row r="1094" spans="1:25" x14ac:dyDescent="0.2">
      <c r="A1094" s="2">
        <v>1281</v>
      </c>
      <c r="B1094" s="2" t="s">
        <v>2565</v>
      </c>
      <c r="C1094" s="2" t="s">
        <v>13</v>
      </c>
      <c r="D1094" s="2" t="s">
        <v>2566</v>
      </c>
      <c r="E1094" s="2" t="s">
        <v>2567</v>
      </c>
      <c r="F1094" s="2" t="s">
        <v>168</v>
      </c>
      <c r="G1094" s="2" t="s">
        <v>17</v>
      </c>
      <c r="H1094" s="2"/>
      <c r="I1094" s="2"/>
      <c r="J1094" s="2"/>
      <c r="K1094" s="2"/>
      <c r="L1094" s="2"/>
      <c r="M1094" s="2"/>
      <c r="N1094" s="2"/>
      <c r="O1094" s="2"/>
      <c r="P1094" s="2"/>
      <c r="Q1094" s="2"/>
      <c r="R1094" s="2"/>
      <c r="S1094" s="2"/>
      <c r="T1094" s="2"/>
      <c r="U1094" s="2"/>
      <c r="V1094" s="2"/>
      <c r="W1094" s="2"/>
      <c r="X1094" s="2"/>
      <c r="Y1094" s="2"/>
    </row>
    <row r="1095" spans="1:25" x14ac:dyDescent="0.2">
      <c r="A1095">
        <v>1282</v>
      </c>
      <c r="B1095" t="s">
        <v>2565</v>
      </c>
      <c r="C1095" t="s">
        <v>18</v>
      </c>
      <c r="D1095" t="s">
        <v>2566</v>
      </c>
      <c r="E1095" t="s">
        <v>2568</v>
      </c>
      <c r="F1095" t="s">
        <v>168</v>
      </c>
      <c r="G1095" t="s">
        <v>17</v>
      </c>
      <c r="H1095" t="b">
        <v>1</v>
      </c>
      <c r="I1095" t="b">
        <v>1</v>
      </c>
      <c r="L1095" t="b">
        <v>1</v>
      </c>
      <c r="M1095" t="s">
        <v>2569</v>
      </c>
    </row>
    <row r="1096" spans="1:25" x14ac:dyDescent="0.2">
      <c r="A1096">
        <v>1283</v>
      </c>
      <c r="B1096" t="s">
        <v>2565</v>
      </c>
      <c r="C1096" t="s">
        <v>18</v>
      </c>
      <c r="D1096" t="s">
        <v>2570</v>
      </c>
      <c r="E1096" t="s">
        <v>661</v>
      </c>
      <c r="F1096" t="s">
        <v>168</v>
      </c>
      <c r="G1096" t="s">
        <v>17</v>
      </c>
      <c r="H1096" t="b">
        <v>1</v>
      </c>
      <c r="I1096" t="b">
        <v>1</v>
      </c>
      <c r="L1096" t="b">
        <v>1</v>
      </c>
      <c r="M1096" t="s">
        <v>2571</v>
      </c>
    </row>
    <row r="1097" spans="1:25" x14ac:dyDescent="0.2">
      <c r="A1097">
        <v>1284</v>
      </c>
      <c r="B1097" t="s">
        <v>2565</v>
      </c>
      <c r="C1097" t="s">
        <v>18</v>
      </c>
      <c r="D1097" t="s">
        <v>2572</v>
      </c>
      <c r="E1097" t="s">
        <v>2573</v>
      </c>
      <c r="F1097" t="s">
        <v>168</v>
      </c>
      <c r="G1097" t="s">
        <v>17</v>
      </c>
      <c r="H1097" t="b">
        <v>0</v>
      </c>
      <c r="I1097" t="b">
        <v>0</v>
      </c>
      <c r="L1097" t="b">
        <v>0</v>
      </c>
    </row>
    <row r="1098" spans="1:25" x14ac:dyDescent="0.2">
      <c r="A1098">
        <v>1285</v>
      </c>
      <c r="B1098" t="s">
        <v>2565</v>
      </c>
      <c r="C1098" t="s">
        <v>18</v>
      </c>
      <c r="D1098" t="s">
        <v>2574</v>
      </c>
      <c r="E1098" t="s">
        <v>2575</v>
      </c>
      <c r="F1098" t="s">
        <v>168</v>
      </c>
      <c r="G1098" t="s">
        <v>17</v>
      </c>
      <c r="H1098" t="b">
        <v>0</v>
      </c>
      <c r="I1098" t="b">
        <v>0</v>
      </c>
      <c r="L1098" t="b">
        <v>0</v>
      </c>
      <c r="M1098" t="s">
        <v>2576</v>
      </c>
      <c r="N1098" t="s">
        <v>2577</v>
      </c>
    </row>
    <row r="1099" spans="1:25" x14ac:dyDescent="0.2">
      <c r="A1099">
        <v>1286</v>
      </c>
      <c r="B1099" t="s">
        <v>2565</v>
      </c>
      <c r="C1099" t="s">
        <v>18</v>
      </c>
      <c r="D1099" t="s">
        <v>2578</v>
      </c>
      <c r="E1099" t="s">
        <v>2579</v>
      </c>
      <c r="F1099" t="s">
        <v>168</v>
      </c>
      <c r="G1099" t="s">
        <v>17</v>
      </c>
      <c r="H1099" t="b">
        <v>0</v>
      </c>
      <c r="I1099" t="b">
        <v>0</v>
      </c>
      <c r="L1099" t="b">
        <v>0</v>
      </c>
      <c r="M1099" t="s">
        <v>2580</v>
      </c>
      <c r="N1099" t="s">
        <v>2581</v>
      </c>
    </row>
    <row r="1101" spans="1:25" x14ac:dyDescent="0.2">
      <c r="A1101" s="2">
        <v>1288</v>
      </c>
      <c r="B1101" s="2" t="s">
        <v>2582</v>
      </c>
      <c r="C1101" s="2" t="s">
        <v>13</v>
      </c>
      <c r="D1101" s="2" t="s">
        <v>2583</v>
      </c>
      <c r="E1101" s="2" t="s">
        <v>2584</v>
      </c>
      <c r="F1101" s="2" t="s">
        <v>78</v>
      </c>
      <c r="G1101" s="2" t="s">
        <v>88</v>
      </c>
      <c r="H1101" s="2"/>
      <c r="I1101" s="2"/>
      <c r="J1101" s="2"/>
      <c r="K1101" s="2"/>
      <c r="L1101" s="2"/>
      <c r="M1101" s="2"/>
      <c r="N1101" s="2"/>
      <c r="O1101" s="2"/>
      <c r="P1101" s="2"/>
      <c r="Q1101" s="2"/>
      <c r="R1101" s="2"/>
      <c r="S1101" s="2"/>
      <c r="T1101" s="2"/>
      <c r="U1101" s="2"/>
      <c r="V1101" s="2"/>
      <c r="W1101" s="2"/>
      <c r="X1101" s="2"/>
      <c r="Y1101" s="2"/>
    </row>
    <row r="1102" spans="1:25" x14ac:dyDescent="0.2">
      <c r="A1102">
        <v>1289</v>
      </c>
      <c r="B1102" t="s">
        <v>2582</v>
      </c>
      <c r="C1102" t="s">
        <v>18</v>
      </c>
      <c r="D1102" t="s">
        <v>2583</v>
      </c>
      <c r="E1102" t="s">
        <v>2585</v>
      </c>
      <c r="F1102" t="s">
        <v>78</v>
      </c>
      <c r="G1102" t="s">
        <v>88</v>
      </c>
      <c r="H1102" t="b">
        <v>1</v>
      </c>
      <c r="I1102" t="b">
        <v>1</v>
      </c>
      <c r="L1102" t="b">
        <v>1</v>
      </c>
      <c r="M1102" t="s">
        <v>2586</v>
      </c>
      <c r="N1102" t="s">
        <v>2587</v>
      </c>
    </row>
    <row r="1103" spans="1:25" x14ac:dyDescent="0.2">
      <c r="A1103">
        <v>1290</v>
      </c>
      <c r="B1103" t="s">
        <v>2582</v>
      </c>
      <c r="C1103" t="s">
        <v>18</v>
      </c>
      <c r="D1103" t="s">
        <v>2588</v>
      </c>
      <c r="E1103" t="s">
        <v>2589</v>
      </c>
      <c r="F1103" t="s">
        <v>78</v>
      </c>
      <c r="G1103" t="s">
        <v>88</v>
      </c>
      <c r="H1103" t="b">
        <v>1</v>
      </c>
      <c r="I1103" t="b">
        <v>1</v>
      </c>
      <c r="L1103" t="b">
        <v>1</v>
      </c>
      <c r="M1103" t="s">
        <v>2590</v>
      </c>
    </row>
    <row r="1104" spans="1:25" x14ac:dyDescent="0.2">
      <c r="A1104">
        <v>1291</v>
      </c>
      <c r="B1104" t="s">
        <v>2582</v>
      </c>
      <c r="C1104" t="s">
        <v>18</v>
      </c>
      <c r="D1104" t="s">
        <v>2591</v>
      </c>
      <c r="E1104" t="s">
        <v>2592</v>
      </c>
      <c r="F1104" t="s">
        <v>78</v>
      </c>
      <c r="G1104" t="s">
        <v>2278</v>
      </c>
      <c r="H1104" t="b">
        <v>0</v>
      </c>
      <c r="I1104" t="b">
        <v>0</v>
      </c>
      <c r="L1104" t="b">
        <v>0</v>
      </c>
    </row>
    <row r="1105" spans="1:25" x14ac:dyDescent="0.2">
      <c r="A1105">
        <v>1292</v>
      </c>
      <c r="B1105" t="s">
        <v>2582</v>
      </c>
      <c r="C1105" t="s">
        <v>18</v>
      </c>
      <c r="D1105" t="s">
        <v>2593</v>
      </c>
      <c r="E1105" t="s">
        <v>2594</v>
      </c>
      <c r="F1105" t="s">
        <v>78</v>
      </c>
      <c r="G1105" t="s">
        <v>2278</v>
      </c>
      <c r="H1105" t="b">
        <v>0</v>
      </c>
      <c r="I1105" t="b">
        <v>0</v>
      </c>
      <c r="L1105" t="b">
        <v>0</v>
      </c>
    </row>
    <row r="1106" spans="1:25" x14ac:dyDescent="0.2">
      <c r="A1106">
        <v>1293</v>
      </c>
      <c r="B1106" t="s">
        <v>2582</v>
      </c>
      <c r="C1106" t="s">
        <v>18</v>
      </c>
      <c r="D1106" t="s">
        <v>2595</v>
      </c>
      <c r="E1106" t="s">
        <v>2596</v>
      </c>
      <c r="F1106" t="s">
        <v>82</v>
      </c>
      <c r="G1106" t="s">
        <v>2278</v>
      </c>
      <c r="H1106" t="b">
        <v>0</v>
      </c>
      <c r="I1106" t="b">
        <v>0</v>
      </c>
      <c r="L1106" t="b">
        <v>0</v>
      </c>
    </row>
    <row r="1108" spans="1:25" x14ac:dyDescent="0.2">
      <c r="A1108" s="2">
        <v>1316</v>
      </c>
      <c r="B1108" s="2" t="s">
        <v>2597</v>
      </c>
      <c r="C1108" s="2" t="s">
        <v>13</v>
      </c>
      <c r="D1108" s="2" t="s">
        <v>2598</v>
      </c>
      <c r="E1108" s="2" t="s">
        <v>2599</v>
      </c>
      <c r="F1108" s="2" t="s">
        <v>78</v>
      </c>
      <c r="G1108" s="2" t="s">
        <v>879</v>
      </c>
      <c r="H1108" s="2"/>
      <c r="I1108" s="2"/>
      <c r="J1108" s="2"/>
      <c r="K1108" s="2"/>
      <c r="L1108" s="2"/>
      <c r="M1108" s="2"/>
      <c r="N1108" s="2"/>
      <c r="O1108" s="2"/>
      <c r="P1108" s="2"/>
      <c r="Q1108" s="2"/>
      <c r="R1108" s="2"/>
      <c r="S1108" s="2"/>
      <c r="T1108" s="2"/>
      <c r="U1108" s="2"/>
      <c r="V1108" s="2"/>
      <c r="W1108" s="2"/>
      <c r="X1108" s="2"/>
      <c r="Y1108" s="2"/>
    </row>
    <row r="1109" spans="1:25" x14ac:dyDescent="0.2">
      <c r="A1109">
        <v>1317</v>
      </c>
      <c r="B1109" t="s">
        <v>2597</v>
      </c>
      <c r="C1109" t="s">
        <v>18</v>
      </c>
      <c r="D1109" t="s">
        <v>2598</v>
      </c>
      <c r="E1109" t="s">
        <v>2600</v>
      </c>
      <c r="F1109" t="s">
        <v>78</v>
      </c>
      <c r="G1109" t="s">
        <v>879</v>
      </c>
      <c r="H1109" t="b">
        <v>1</v>
      </c>
      <c r="K1109" t="b">
        <v>1</v>
      </c>
      <c r="L1109" t="b">
        <v>1</v>
      </c>
      <c r="M1109" t="s">
        <v>2601</v>
      </c>
      <c r="N1109" t="s">
        <v>2602</v>
      </c>
      <c r="O1109" t="s">
        <v>2603</v>
      </c>
    </row>
    <row r="1110" spans="1:25" x14ac:dyDescent="0.2">
      <c r="A1110">
        <v>1318</v>
      </c>
      <c r="B1110" t="s">
        <v>2597</v>
      </c>
      <c r="C1110" t="s">
        <v>18</v>
      </c>
      <c r="D1110" t="s">
        <v>2604</v>
      </c>
      <c r="E1110" t="s">
        <v>2605</v>
      </c>
      <c r="F1110" t="s">
        <v>78</v>
      </c>
      <c r="G1110" t="s">
        <v>88</v>
      </c>
      <c r="H1110" t="b">
        <v>0</v>
      </c>
      <c r="K1110" t="b">
        <v>0</v>
      </c>
      <c r="L1110" t="b">
        <v>0</v>
      </c>
      <c r="M1110" t="s">
        <v>2606</v>
      </c>
    </row>
    <row r="1111" spans="1:25" x14ac:dyDescent="0.2">
      <c r="A1111">
        <v>1319</v>
      </c>
      <c r="B1111" t="s">
        <v>2597</v>
      </c>
      <c r="C1111" t="s">
        <v>18</v>
      </c>
      <c r="D1111" t="s">
        <v>2607</v>
      </c>
      <c r="E1111" t="s">
        <v>2608</v>
      </c>
      <c r="F1111" t="s">
        <v>78</v>
      </c>
      <c r="G1111" t="s">
        <v>62</v>
      </c>
      <c r="H1111" t="b">
        <v>0</v>
      </c>
      <c r="K1111" t="b">
        <v>0</v>
      </c>
      <c r="L1111" t="b">
        <v>0</v>
      </c>
      <c r="M1111" t="s">
        <v>2609</v>
      </c>
      <c r="N1111" t="s">
        <v>2610</v>
      </c>
    </row>
    <row r="1112" spans="1:25" x14ac:dyDescent="0.2">
      <c r="A1112">
        <v>1320</v>
      </c>
      <c r="B1112" t="s">
        <v>2597</v>
      </c>
      <c r="C1112" t="s">
        <v>18</v>
      </c>
      <c r="D1112" t="s">
        <v>2611</v>
      </c>
      <c r="E1112" t="s">
        <v>2612</v>
      </c>
      <c r="F1112" t="s">
        <v>78</v>
      </c>
      <c r="G1112" t="s">
        <v>417</v>
      </c>
      <c r="H1112" t="b">
        <v>0</v>
      </c>
      <c r="K1112" t="b">
        <v>0</v>
      </c>
      <c r="L1112" t="b">
        <v>0</v>
      </c>
      <c r="M1112" t="s">
        <v>2613</v>
      </c>
      <c r="N1112" t="s">
        <v>2614</v>
      </c>
      <c r="O1112" t="s">
        <v>2615</v>
      </c>
      <c r="P1112" t="s">
        <v>2616</v>
      </c>
    </row>
    <row r="1113" spans="1:25" x14ac:dyDescent="0.2">
      <c r="A1113">
        <v>1321</v>
      </c>
      <c r="B1113" t="s">
        <v>2597</v>
      </c>
      <c r="C1113" t="s">
        <v>18</v>
      </c>
      <c r="D1113" t="s">
        <v>594</v>
      </c>
      <c r="E1113" t="s">
        <v>595</v>
      </c>
      <c r="F1113" t="s">
        <v>596</v>
      </c>
      <c r="G1113" t="s">
        <v>88</v>
      </c>
      <c r="H1113" t="b">
        <v>0</v>
      </c>
      <c r="K1113" t="b">
        <v>0</v>
      </c>
      <c r="L1113" t="b">
        <v>0</v>
      </c>
      <c r="M1113" t="s">
        <v>597</v>
      </c>
      <c r="N1113" t="s">
        <v>598</v>
      </c>
    </row>
    <row r="1115" spans="1:25" x14ac:dyDescent="0.2">
      <c r="A1115" s="2">
        <v>133</v>
      </c>
      <c r="B1115" s="2" t="s">
        <v>2617</v>
      </c>
      <c r="C1115" s="2" t="s">
        <v>13</v>
      </c>
      <c r="D1115" s="2" t="s">
        <v>2618</v>
      </c>
      <c r="E1115" s="2" t="s">
        <v>2619</v>
      </c>
      <c r="F1115" s="2" t="s">
        <v>260</v>
      </c>
      <c r="G1115" s="2" t="s">
        <v>17</v>
      </c>
      <c r="H1115" s="2"/>
      <c r="I1115" s="2"/>
      <c r="J1115" s="2"/>
      <c r="K1115" s="2"/>
      <c r="L1115" s="2"/>
      <c r="M1115" s="2"/>
      <c r="N1115" s="2"/>
      <c r="O1115" s="2"/>
      <c r="P1115" s="2"/>
      <c r="Q1115" s="2"/>
      <c r="R1115" s="2"/>
      <c r="S1115" s="2"/>
      <c r="T1115" s="2"/>
      <c r="U1115" s="2"/>
      <c r="V1115" s="2"/>
      <c r="W1115" s="2"/>
      <c r="X1115" s="2"/>
      <c r="Y1115" s="2"/>
    </row>
    <row r="1116" spans="1:25" x14ac:dyDescent="0.2">
      <c r="A1116">
        <v>134</v>
      </c>
      <c r="B1116" t="s">
        <v>2617</v>
      </c>
      <c r="C1116" t="s">
        <v>18</v>
      </c>
      <c r="D1116" t="s">
        <v>2618</v>
      </c>
      <c r="E1116" t="s">
        <v>2620</v>
      </c>
      <c r="F1116" t="s">
        <v>260</v>
      </c>
      <c r="G1116" t="s">
        <v>17</v>
      </c>
      <c r="H1116" t="b">
        <v>1</v>
      </c>
      <c r="K1116" t="b">
        <v>1</v>
      </c>
      <c r="L1116" t="b">
        <v>1</v>
      </c>
      <c r="M1116" t="s">
        <v>2621</v>
      </c>
      <c r="N1116" t="s">
        <v>2622</v>
      </c>
    </row>
    <row r="1117" spans="1:25" x14ac:dyDescent="0.2">
      <c r="A1117">
        <v>135</v>
      </c>
      <c r="B1117" t="s">
        <v>2617</v>
      </c>
      <c r="C1117" t="s">
        <v>18</v>
      </c>
      <c r="D1117" t="s">
        <v>2623</v>
      </c>
      <c r="E1117" t="s">
        <v>2624</v>
      </c>
      <c r="F1117" t="s">
        <v>260</v>
      </c>
      <c r="G1117" t="s">
        <v>17</v>
      </c>
      <c r="H1117" t="b">
        <v>0</v>
      </c>
      <c r="K1117" t="b">
        <v>0</v>
      </c>
      <c r="L1117" t="b">
        <v>0</v>
      </c>
      <c r="M1117" t="s">
        <v>2625</v>
      </c>
      <c r="N1117" t="s">
        <v>745</v>
      </c>
    </row>
    <row r="1118" spans="1:25" x14ac:dyDescent="0.2">
      <c r="A1118">
        <v>136</v>
      </c>
      <c r="B1118" t="s">
        <v>2617</v>
      </c>
      <c r="C1118" t="s">
        <v>18</v>
      </c>
      <c r="D1118" t="s">
        <v>2626</v>
      </c>
      <c r="E1118" t="s">
        <v>2627</v>
      </c>
      <c r="F1118" t="s">
        <v>260</v>
      </c>
      <c r="G1118" t="s">
        <v>17</v>
      </c>
      <c r="H1118" t="b">
        <v>0</v>
      </c>
      <c r="K1118" t="b">
        <v>0</v>
      </c>
      <c r="L1118" t="b">
        <v>0</v>
      </c>
      <c r="M1118" t="s">
        <v>2628</v>
      </c>
      <c r="N1118" t="s">
        <v>2629</v>
      </c>
    </row>
    <row r="1119" spans="1:25" x14ac:dyDescent="0.2">
      <c r="A1119">
        <v>137</v>
      </c>
      <c r="B1119" t="s">
        <v>2617</v>
      </c>
      <c r="C1119" t="s">
        <v>18</v>
      </c>
      <c r="D1119" t="s">
        <v>149</v>
      </c>
      <c r="E1119" t="s">
        <v>150</v>
      </c>
      <c r="F1119" t="s">
        <v>151</v>
      </c>
      <c r="G1119" t="s">
        <v>62</v>
      </c>
      <c r="H1119" t="b">
        <v>0</v>
      </c>
      <c r="K1119" t="b">
        <v>0</v>
      </c>
      <c r="L1119" t="b">
        <v>0</v>
      </c>
      <c r="M1119" t="s">
        <v>2630</v>
      </c>
    </row>
    <row r="1120" spans="1:25" x14ac:dyDescent="0.2">
      <c r="A1120">
        <v>138</v>
      </c>
      <c r="B1120" t="s">
        <v>2617</v>
      </c>
      <c r="C1120" t="s">
        <v>18</v>
      </c>
      <c r="D1120" t="s">
        <v>2631</v>
      </c>
      <c r="E1120" t="s">
        <v>2632</v>
      </c>
      <c r="F1120" t="s">
        <v>78</v>
      </c>
      <c r="G1120" t="s">
        <v>17</v>
      </c>
      <c r="H1120" t="b">
        <v>0</v>
      </c>
      <c r="K1120" t="b">
        <v>0</v>
      </c>
      <c r="L1120" t="b">
        <v>0</v>
      </c>
      <c r="M1120" t="s">
        <v>2633</v>
      </c>
      <c r="N1120" t="s">
        <v>745</v>
      </c>
    </row>
    <row r="1122" spans="1:25" x14ac:dyDescent="0.2">
      <c r="A1122" s="2">
        <v>1330</v>
      </c>
      <c r="B1122" s="2" t="s">
        <v>2634</v>
      </c>
      <c r="C1122" s="2" t="s">
        <v>13</v>
      </c>
      <c r="D1122" s="2" t="s">
        <v>2635</v>
      </c>
      <c r="E1122" s="2" t="s">
        <v>2636</v>
      </c>
      <c r="F1122" s="2" t="s">
        <v>670</v>
      </c>
      <c r="G1122" s="2" t="s">
        <v>17</v>
      </c>
      <c r="H1122" s="2"/>
      <c r="I1122" s="2"/>
      <c r="J1122" s="2"/>
      <c r="K1122" s="2"/>
      <c r="L1122" s="2"/>
      <c r="M1122" s="2"/>
      <c r="N1122" s="2"/>
      <c r="O1122" s="2"/>
      <c r="P1122" s="2"/>
      <c r="Q1122" s="2"/>
      <c r="R1122" s="2"/>
      <c r="S1122" s="2"/>
      <c r="T1122" s="2"/>
      <c r="U1122" s="2"/>
      <c r="V1122" s="2"/>
      <c r="W1122" s="2"/>
      <c r="X1122" s="2"/>
      <c r="Y1122" s="2"/>
    </row>
    <row r="1123" spans="1:25" x14ac:dyDescent="0.2">
      <c r="A1123">
        <v>1331</v>
      </c>
      <c r="B1123" t="s">
        <v>2634</v>
      </c>
      <c r="C1123" t="s">
        <v>18</v>
      </c>
      <c r="D1123" t="s">
        <v>2635</v>
      </c>
      <c r="E1123" t="s">
        <v>2636</v>
      </c>
      <c r="F1123" t="s">
        <v>670</v>
      </c>
      <c r="G1123" t="s">
        <v>17</v>
      </c>
      <c r="H1123" t="b">
        <v>1</v>
      </c>
      <c r="I1123" t="b">
        <v>1</v>
      </c>
      <c r="L1123" t="b">
        <v>1</v>
      </c>
      <c r="M1123" t="s">
        <v>2637</v>
      </c>
      <c r="N1123" t="s">
        <v>2638</v>
      </c>
    </row>
    <row r="1124" spans="1:25" x14ac:dyDescent="0.2">
      <c r="A1124">
        <v>1332</v>
      </c>
      <c r="B1124" t="s">
        <v>2634</v>
      </c>
      <c r="C1124" t="s">
        <v>18</v>
      </c>
      <c r="D1124" t="s">
        <v>2639</v>
      </c>
      <c r="E1124" t="s">
        <v>2640</v>
      </c>
      <c r="F1124" t="s">
        <v>670</v>
      </c>
      <c r="G1124" t="s">
        <v>17</v>
      </c>
      <c r="H1124" t="b">
        <v>0</v>
      </c>
      <c r="I1124" t="b">
        <v>0</v>
      </c>
      <c r="L1124" t="b">
        <v>0</v>
      </c>
    </row>
    <row r="1125" spans="1:25" x14ac:dyDescent="0.2">
      <c r="A1125">
        <v>1333</v>
      </c>
      <c r="B1125" t="s">
        <v>2634</v>
      </c>
      <c r="C1125" t="s">
        <v>18</v>
      </c>
      <c r="D1125" t="s">
        <v>2641</v>
      </c>
      <c r="E1125" t="s">
        <v>2642</v>
      </c>
      <c r="F1125" t="s">
        <v>670</v>
      </c>
      <c r="G1125" t="s">
        <v>17</v>
      </c>
      <c r="H1125" t="b">
        <v>0</v>
      </c>
      <c r="I1125" t="b">
        <v>0</v>
      </c>
      <c r="L1125" t="b">
        <v>0</v>
      </c>
    </row>
    <row r="1126" spans="1:25" x14ac:dyDescent="0.2">
      <c r="A1126">
        <v>1334</v>
      </c>
      <c r="B1126" t="s">
        <v>2634</v>
      </c>
      <c r="C1126" t="s">
        <v>18</v>
      </c>
      <c r="D1126" t="s">
        <v>2643</v>
      </c>
      <c r="E1126" t="s">
        <v>1701</v>
      </c>
      <c r="F1126" t="s">
        <v>670</v>
      </c>
      <c r="G1126" t="s">
        <v>17</v>
      </c>
      <c r="H1126" t="b">
        <v>0</v>
      </c>
      <c r="I1126" t="b">
        <v>0</v>
      </c>
      <c r="L1126" t="b">
        <v>0</v>
      </c>
      <c r="M1126" t="s">
        <v>2644</v>
      </c>
    </row>
    <row r="1127" spans="1:25" x14ac:dyDescent="0.2">
      <c r="A1127">
        <v>1335</v>
      </c>
      <c r="B1127" t="s">
        <v>2634</v>
      </c>
      <c r="C1127" t="s">
        <v>18</v>
      </c>
      <c r="D1127" t="s">
        <v>2645</v>
      </c>
      <c r="E1127" t="s">
        <v>356</v>
      </c>
      <c r="F1127" t="s">
        <v>670</v>
      </c>
      <c r="G1127" t="s">
        <v>17</v>
      </c>
      <c r="H1127" t="b">
        <v>0</v>
      </c>
      <c r="I1127" t="b">
        <v>0</v>
      </c>
      <c r="L1127" t="b">
        <v>0</v>
      </c>
      <c r="M1127" t="s">
        <v>2646</v>
      </c>
    </row>
    <row r="1129" spans="1:25" x14ac:dyDescent="0.2">
      <c r="A1129" s="2">
        <v>1337</v>
      </c>
      <c r="B1129" s="2" t="s">
        <v>2647</v>
      </c>
      <c r="C1129" s="2" t="s">
        <v>13</v>
      </c>
      <c r="D1129" s="2" t="s">
        <v>2648</v>
      </c>
      <c r="E1129" s="2" t="s">
        <v>2649</v>
      </c>
      <c r="F1129" s="2" t="s">
        <v>151</v>
      </c>
      <c r="G1129" s="2" t="s">
        <v>24</v>
      </c>
      <c r="H1129" s="2"/>
      <c r="I1129" s="2"/>
      <c r="J1129" s="2"/>
      <c r="K1129" s="2"/>
      <c r="L1129" s="2"/>
      <c r="M1129" s="2"/>
      <c r="N1129" s="2"/>
      <c r="O1129" s="2"/>
      <c r="P1129" s="2"/>
      <c r="Q1129" s="2"/>
      <c r="R1129" s="2"/>
      <c r="S1129" s="2"/>
      <c r="T1129" s="2"/>
      <c r="U1129" s="2"/>
      <c r="V1129" s="2"/>
      <c r="W1129" s="2"/>
      <c r="X1129" s="2"/>
      <c r="Y1129" s="2"/>
    </row>
    <row r="1130" spans="1:25" x14ac:dyDescent="0.2">
      <c r="A1130">
        <v>1338</v>
      </c>
      <c r="B1130" t="s">
        <v>2647</v>
      </c>
      <c r="C1130" t="s">
        <v>18</v>
      </c>
      <c r="D1130" t="s">
        <v>2648</v>
      </c>
      <c r="E1130" t="s">
        <v>2650</v>
      </c>
      <c r="F1130" t="s">
        <v>151</v>
      </c>
      <c r="G1130" t="s">
        <v>24</v>
      </c>
      <c r="H1130" t="b">
        <v>1</v>
      </c>
      <c r="K1130" t="b">
        <v>1</v>
      </c>
      <c r="L1130" t="b">
        <v>1</v>
      </c>
      <c r="M1130" t="s">
        <v>2651</v>
      </c>
      <c r="N1130" t="s">
        <v>2652</v>
      </c>
    </row>
    <row r="1131" spans="1:25" x14ac:dyDescent="0.2">
      <c r="A1131">
        <v>1339</v>
      </c>
      <c r="B1131" t="s">
        <v>2647</v>
      </c>
      <c r="C1131" t="s">
        <v>18</v>
      </c>
      <c r="D1131" t="s">
        <v>2653</v>
      </c>
      <c r="E1131" t="s">
        <v>2654</v>
      </c>
      <c r="F1131" t="s">
        <v>151</v>
      </c>
      <c r="G1131" t="s">
        <v>24</v>
      </c>
      <c r="H1131" t="b">
        <v>1</v>
      </c>
      <c r="K1131" t="b">
        <v>1</v>
      </c>
      <c r="L1131" t="b">
        <v>1</v>
      </c>
      <c r="M1131" t="s">
        <v>2655</v>
      </c>
      <c r="N1131" t="s">
        <v>2656</v>
      </c>
    </row>
    <row r="1132" spans="1:25" x14ac:dyDescent="0.2">
      <c r="A1132">
        <v>1340</v>
      </c>
      <c r="B1132" t="s">
        <v>2647</v>
      </c>
      <c r="C1132" t="s">
        <v>18</v>
      </c>
      <c r="D1132" t="s">
        <v>2657</v>
      </c>
      <c r="E1132" t="s">
        <v>2658</v>
      </c>
      <c r="F1132" t="s">
        <v>174</v>
      </c>
      <c r="G1132" t="s">
        <v>24</v>
      </c>
      <c r="H1132" t="b">
        <v>0</v>
      </c>
      <c r="K1132" t="b">
        <v>0</v>
      </c>
      <c r="L1132" t="b">
        <v>0</v>
      </c>
      <c r="M1132" t="s">
        <v>2659</v>
      </c>
      <c r="N1132" t="s">
        <v>2660</v>
      </c>
    </row>
    <row r="1133" spans="1:25" x14ac:dyDescent="0.2">
      <c r="A1133">
        <v>1341</v>
      </c>
      <c r="B1133" t="s">
        <v>2647</v>
      </c>
      <c r="C1133" t="s">
        <v>18</v>
      </c>
      <c r="D1133" t="s">
        <v>2661</v>
      </c>
      <c r="E1133" t="s">
        <v>2662</v>
      </c>
      <c r="F1133" t="s">
        <v>168</v>
      </c>
      <c r="G1133" t="s">
        <v>17</v>
      </c>
      <c r="H1133" t="b">
        <v>0</v>
      </c>
      <c r="K1133" t="b">
        <v>0</v>
      </c>
      <c r="L1133" t="b">
        <v>0</v>
      </c>
      <c r="M1133" t="s">
        <v>2663</v>
      </c>
      <c r="N1133" t="s">
        <v>2664</v>
      </c>
    </row>
    <row r="1134" spans="1:25" x14ac:dyDescent="0.2">
      <c r="A1134">
        <v>1342</v>
      </c>
      <c r="B1134" t="s">
        <v>2647</v>
      </c>
      <c r="C1134" t="s">
        <v>18</v>
      </c>
      <c r="D1134" t="s">
        <v>1099</v>
      </c>
      <c r="E1134" t="s">
        <v>1100</v>
      </c>
      <c r="F1134" t="s">
        <v>151</v>
      </c>
      <c r="G1134" t="s">
        <v>24</v>
      </c>
      <c r="H1134" t="b">
        <v>0</v>
      </c>
      <c r="K1134" t="b">
        <v>0</v>
      </c>
      <c r="L1134" t="b">
        <v>0</v>
      </c>
      <c r="M1134" t="s">
        <v>1101</v>
      </c>
      <c r="N1134" t="s">
        <v>1102</v>
      </c>
    </row>
    <row r="1136" spans="1:25" x14ac:dyDescent="0.2">
      <c r="A1136" s="2">
        <v>1344</v>
      </c>
      <c r="B1136" s="2" t="s">
        <v>2665</v>
      </c>
      <c r="C1136" s="2" t="s">
        <v>13</v>
      </c>
      <c r="D1136" s="2" t="s">
        <v>2666</v>
      </c>
      <c r="E1136" s="2" t="s">
        <v>2667</v>
      </c>
      <c r="F1136" s="2" t="s">
        <v>369</v>
      </c>
      <c r="G1136" s="2" t="s">
        <v>24</v>
      </c>
      <c r="H1136" s="2"/>
      <c r="I1136" s="2"/>
      <c r="J1136" s="2"/>
      <c r="K1136" s="2"/>
      <c r="L1136" s="2"/>
      <c r="M1136" s="2"/>
      <c r="N1136" s="2"/>
      <c r="O1136" s="2"/>
      <c r="P1136" s="2"/>
      <c r="Q1136" s="2"/>
      <c r="R1136" s="2"/>
      <c r="S1136" s="2"/>
      <c r="T1136" s="2"/>
      <c r="U1136" s="2"/>
      <c r="V1136" s="2"/>
      <c r="W1136" s="2"/>
      <c r="X1136" s="2"/>
      <c r="Y1136" s="2"/>
    </row>
    <row r="1137" spans="1:25" x14ac:dyDescent="0.2">
      <c r="A1137">
        <v>1345</v>
      </c>
      <c r="B1137" t="s">
        <v>2665</v>
      </c>
      <c r="C1137" t="s">
        <v>18</v>
      </c>
      <c r="D1137" t="s">
        <v>2668</v>
      </c>
      <c r="E1137" t="s">
        <v>2669</v>
      </c>
      <c r="F1137" t="s">
        <v>369</v>
      </c>
      <c r="G1137" t="s">
        <v>24</v>
      </c>
      <c r="H1137" t="b">
        <v>1</v>
      </c>
      <c r="K1137" t="b">
        <v>1</v>
      </c>
      <c r="L1137" t="b">
        <v>1</v>
      </c>
      <c r="M1137" t="s">
        <v>2670</v>
      </c>
      <c r="N1137" t="s">
        <v>2671</v>
      </c>
    </row>
    <row r="1138" spans="1:25" x14ac:dyDescent="0.2">
      <c r="A1138">
        <v>1346</v>
      </c>
      <c r="B1138" t="s">
        <v>2665</v>
      </c>
      <c r="C1138" t="s">
        <v>18</v>
      </c>
      <c r="D1138" t="s">
        <v>2415</v>
      </c>
      <c r="E1138" t="s">
        <v>2416</v>
      </c>
      <c r="F1138" t="s">
        <v>369</v>
      </c>
      <c r="G1138" t="s">
        <v>252</v>
      </c>
      <c r="H1138" t="b">
        <v>0</v>
      </c>
      <c r="K1138" t="b">
        <v>0</v>
      </c>
      <c r="L1138" t="b">
        <v>0</v>
      </c>
      <c r="M1138" t="s">
        <v>2417</v>
      </c>
      <c r="N1138" t="s">
        <v>2418</v>
      </c>
    </row>
    <row r="1139" spans="1:25" x14ac:dyDescent="0.2">
      <c r="A1139">
        <v>1347</v>
      </c>
      <c r="B1139" t="s">
        <v>2665</v>
      </c>
      <c r="C1139" t="s">
        <v>18</v>
      </c>
      <c r="D1139" t="s">
        <v>2672</v>
      </c>
      <c r="E1139" t="s">
        <v>2673</v>
      </c>
      <c r="F1139" t="s">
        <v>369</v>
      </c>
      <c r="G1139" t="s">
        <v>24</v>
      </c>
      <c r="H1139" t="b">
        <v>1</v>
      </c>
      <c r="K1139" t="b">
        <v>1</v>
      </c>
      <c r="L1139" t="b">
        <v>1</v>
      </c>
      <c r="M1139" t="s">
        <v>2674</v>
      </c>
    </row>
    <row r="1140" spans="1:25" x14ac:dyDescent="0.2">
      <c r="A1140">
        <v>1348</v>
      </c>
      <c r="B1140" t="s">
        <v>2665</v>
      </c>
      <c r="C1140" t="s">
        <v>18</v>
      </c>
      <c r="D1140" t="s">
        <v>2675</v>
      </c>
      <c r="E1140" t="s">
        <v>2676</v>
      </c>
      <c r="F1140" t="s">
        <v>82</v>
      </c>
      <c r="G1140" t="s">
        <v>24</v>
      </c>
      <c r="H1140" t="b">
        <v>0</v>
      </c>
      <c r="K1140" t="b">
        <v>0</v>
      </c>
      <c r="L1140" t="b">
        <v>0</v>
      </c>
      <c r="M1140" t="s">
        <v>2677</v>
      </c>
      <c r="N1140" t="s">
        <v>2678</v>
      </c>
    </row>
    <row r="1141" spans="1:25" x14ac:dyDescent="0.2">
      <c r="A1141">
        <v>1349</v>
      </c>
      <c r="B1141" t="s">
        <v>2665</v>
      </c>
      <c r="C1141" t="s">
        <v>18</v>
      </c>
      <c r="D1141" t="s">
        <v>2679</v>
      </c>
      <c r="E1141" t="s">
        <v>2680</v>
      </c>
      <c r="F1141" t="s">
        <v>369</v>
      </c>
      <c r="G1141" t="s">
        <v>24</v>
      </c>
      <c r="H1141" t="b">
        <v>0</v>
      </c>
      <c r="K1141" t="b">
        <v>0</v>
      </c>
      <c r="L1141" t="b">
        <v>0</v>
      </c>
      <c r="M1141" t="s">
        <v>2681</v>
      </c>
      <c r="N1141" t="s">
        <v>745</v>
      </c>
    </row>
    <row r="1143" spans="1:25" x14ac:dyDescent="0.2">
      <c r="A1143" s="2">
        <v>1358</v>
      </c>
      <c r="B1143" s="2" t="s">
        <v>2682</v>
      </c>
      <c r="C1143" s="2" t="s">
        <v>13</v>
      </c>
      <c r="D1143" s="2" t="s">
        <v>2683</v>
      </c>
      <c r="E1143" s="2" t="s">
        <v>2684</v>
      </c>
      <c r="F1143" s="2" t="s">
        <v>159</v>
      </c>
      <c r="G1143" s="2" t="s">
        <v>265</v>
      </c>
      <c r="H1143" s="2"/>
      <c r="I1143" s="2"/>
      <c r="J1143" s="2"/>
      <c r="K1143" s="2"/>
      <c r="L1143" s="2"/>
      <c r="M1143" s="2"/>
      <c r="N1143" s="2"/>
      <c r="O1143" s="2"/>
      <c r="P1143" s="2"/>
      <c r="Q1143" s="2"/>
      <c r="R1143" s="2"/>
      <c r="S1143" s="2"/>
      <c r="T1143" s="2"/>
      <c r="U1143" s="2"/>
      <c r="V1143" s="2"/>
      <c r="W1143" s="2"/>
      <c r="X1143" s="2"/>
      <c r="Y1143" s="2"/>
    </row>
    <row r="1144" spans="1:25" x14ac:dyDescent="0.2">
      <c r="A1144">
        <v>1359</v>
      </c>
      <c r="B1144" t="s">
        <v>2682</v>
      </c>
      <c r="C1144" t="s">
        <v>18</v>
      </c>
      <c r="D1144" t="s">
        <v>2685</v>
      </c>
      <c r="E1144" t="s">
        <v>390</v>
      </c>
      <c r="F1144" t="s">
        <v>82</v>
      </c>
      <c r="G1144" t="s">
        <v>265</v>
      </c>
      <c r="H1144" t="b">
        <v>1</v>
      </c>
      <c r="K1144" t="b">
        <v>1</v>
      </c>
      <c r="L1144" t="b">
        <v>1</v>
      </c>
      <c r="M1144" t="s">
        <v>2686</v>
      </c>
    </row>
    <row r="1145" spans="1:25" x14ac:dyDescent="0.2">
      <c r="A1145">
        <v>1360</v>
      </c>
      <c r="B1145" t="s">
        <v>2682</v>
      </c>
      <c r="C1145" t="s">
        <v>18</v>
      </c>
      <c r="D1145" t="s">
        <v>2687</v>
      </c>
      <c r="E1145" t="s">
        <v>2033</v>
      </c>
      <c r="F1145" t="s">
        <v>23</v>
      </c>
      <c r="G1145" t="s">
        <v>265</v>
      </c>
      <c r="H1145" t="b">
        <v>0</v>
      </c>
      <c r="K1145" t="b">
        <v>0</v>
      </c>
      <c r="L1145" t="b">
        <v>0</v>
      </c>
      <c r="M1145" t="s">
        <v>2688</v>
      </c>
    </row>
    <row r="1146" spans="1:25" x14ac:dyDescent="0.2">
      <c r="A1146">
        <v>1361</v>
      </c>
      <c r="B1146" t="s">
        <v>2682</v>
      </c>
      <c r="C1146" t="s">
        <v>18</v>
      </c>
      <c r="D1146" t="s">
        <v>300</v>
      </c>
      <c r="E1146" t="s">
        <v>301</v>
      </c>
      <c r="F1146" t="s">
        <v>23</v>
      </c>
      <c r="G1146" t="s">
        <v>32</v>
      </c>
      <c r="H1146" t="b">
        <v>0</v>
      </c>
      <c r="K1146" t="b">
        <v>0</v>
      </c>
      <c r="L1146" t="b">
        <v>0</v>
      </c>
      <c r="M1146" t="s">
        <v>2689</v>
      </c>
    </row>
    <row r="1147" spans="1:25" x14ac:dyDescent="0.2">
      <c r="A1147">
        <v>1362</v>
      </c>
      <c r="B1147" t="s">
        <v>2682</v>
      </c>
      <c r="C1147" t="s">
        <v>18</v>
      </c>
      <c r="D1147" t="s">
        <v>2690</v>
      </c>
      <c r="E1147" t="s">
        <v>2691</v>
      </c>
      <c r="F1147" t="s">
        <v>23</v>
      </c>
      <c r="G1147" t="s">
        <v>265</v>
      </c>
      <c r="H1147" t="b">
        <v>0</v>
      </c>
      <c r="K1147" t="b">
        <v>0</v>
      </c>
      <c r="L1147" t="b">
        <v>0</v>
      </c>
      <c r="M1147" t="s">
        <v>2692</v>
      </c>
      <c r="N1147" t="s">
        <v>2693</v>
      </c>
    </row>
    <row r="1148" spans="1:25" x14ac:dyDescent="0.2">
      <c r="A1148">
        <v>1363</v>
      </c>
      <c r="B1148" t="s">
        <v>2682</v>
      </c>
      <c r="C1148" t="s">
        <v>18</v>
      </c>
      <c r="D1148" t="s">
        <v>296</v>
      </c>
      <c r="E1148" t="s">
        <v>297</v>
      </c>
      <c r="F1148" t="s">
        <v>174</v>
      </c>
      <c r="G1148" t="s">
        <v>292</v>
      </c>
      <c r="H1148" t="b">
        <v>0</v>
      </c>
      <c r="K1148" t="b">
        <v>0</v>
      </c>
      <c r="L1148" t="b">
        <v>0</v>
      </c>
      <c r="M1148" t="s">
        <v>2694</v>
      </c>
      <c r="N1148" t="s">
        <v>2695</v>
      </c>
    </row>
    <row r="1150" spans="1:25" x14ac:dyDescent="0.2">
      <c r="A1150" s="2">
        <v>1379</v>
      </c>
      <c r="B1150" s="2" t="s">
        <v>2696</v>
      </c>
      <c r="C1150" s="2" t="s">
        <v>13</v>
      </c>
      <c r="D1150" s="2" t="s">
        <v>2697</v>
      </c>
      <c r="E1150" s="2" t="s">
        <v>2698</v>
      </c>
      <c r="F1150" s="2" t="s">
        <v>654</v>
      </c>
      <c r="G1150" s="2" t="s">
        <v>62</v>
      </c>
      <c r="H1150" s="2"/>
      <c r="I1150" s="2"/>
      <c r="J1150" s="2"/>
      <c r="K1150" s="2"/>
      <c r="L1150" s="2"/>
      <c r="M1150" s="2"/>
      <c r="N1150" s="2"/>
      <c r="O1150" s="2"/>
      <c r="P1150" s="2"/>
      <c r="Q1150" s="2"/>
      <c r="R1150" s="2"/>
      <c r="S1150" s="2"/>
      <c r="T1150" s="2"/>
      <c r="U1150" s="2"/>
      <c r="V1150" s="2"/>
      <c r="W1150" s="2"/>
      <c r="X1150" s="2"/>
      <c r="Y1150" s="2"/>
    </row>
    <row r="1151" spans="1:25" x14ac:dyDescent="0.2">
      <c r="A1151">
        <v>1380</v>
      </c>
      <c r="B1151" t="s">
        <v>2696</v>
      </c>
      <c r="C1151" t="s">
        <v>18</v>
      </c>
      <c r="D1151" t="s">
        <v>2697</v>
      </c>
      <c r="E1151" t="s">
        <v>770</v>
      </c>
      <c r="F1151" t="s">
        <v>654</v>
      </c>
      <c r="G1151" t="s">
        <v>62</v>
      </c>
      <c r="H1151" t="b">
        <v>1</v>
      </c>
      <c r="I1151" t="b">
        <v>1</v>
      </c>
      <c r="L1151" t="b">
        <v>1</v>
      </c>
      <c r="M1151" t="s">
        <v>2699</v>
      </c>
      <c r="N1151" t="s">
        <v>2700</v>
      </c>
    </row>
    <row r="1152" spans="1:25" x14ac:dyDescent="0.2">
      <c r="A1152">
        <v>1381</v>
      </c>
      <c r="B1152" t="s">
        <v>2696</v>
      </c>
      <c r="C1152" t="s">
        <v>18</v>
      </c>
      <c r="D1152" t="s">
        <v>2701</v>
      </c>
      <c r="E1152" t="s">
        <v>2702</v>
      </c>
      <c r="F1152" t="s">
        <v>420</v>
      </c>
      <c r="G1152" t="s">
        <v>62</v>
      </c>
      <c r="H1152" t="b">
        <v>0</v>
      </c>
      <c r="I1152" t="b">
        <v>0</v>
      </c>
      <c r="L1152" t="b">
        <v>0</v>
      </c>
      <c r="M1152" t="s">
        <v>2703</v>
      </c>
    </row>
    <row r="1153" spans="1:25" x14ac:dyDescent="0.2">
      <c r="A1153">
        <v>1382</v>
      </c>
      <c r="B1153" t="s">
        <v>2696</v>
      </c>
      <c r="C1153" t="s">
        <v>18</v>
      </c>
      <c r="D1153" t="s">
        <v>2704</v>
      </c>
      <c r="E1153" t="s">
        <v>2705</v>
      </c>
      <c r="F1153" t="s">
        <v>264</v>
      </c>
      <c r="G1153" t="s">
        <v>17</v>
      </c>
      <c r="H1153" t="b">
        <v>0</v>
      </c>
      <c r="I1153" t="b">
        <v>0</v>
      </c>
      <c r="L1153" t="b">
        <v>0</v>
      </c>
      <c r="M1153" t="s">
        <v>2706</v>
      </c>
      <c r="N1153" t="s">
        <v>2707</v>
      </c>
    </row>
    <row r="1154" spans="1:25" x14ac:dyDescent="0.2">
      <c r="A1154">
        <v>1383</v>
      </c>
      <c r="B1154" t="s">
        <v>2696</v>
      </c>
      <c r="C1154" t="s">
        <v>18</v>
      </c>
      <c r="D1154" t="s">
        <v>2708</v>
      </c>
      <c r="E1154" t="s">
        <v>2709</v>
      </c>
      <c r="F1154" t="s">
        <v>159</v>
      </c>
      <c r="G1154" t="s">
        <v>345</v>
      </c>
      <c r="H1154" t="b">
        <v>0</v>
      </c>
      <c r="I1154" t="b">
        <v>0</v>
      </c>
      <c r="L1154" t="b">
        <v>0</v>
      </c>
      <c r="M1154" t="s">
        <v>2710</v>
      </c>
      <c r="N1154" t="s">
        <v>2711</v>
      </c>
    </row>
    <row r="1155" spans="1:25" x14ac:dyDescent="0.2">
      <c r="A1155">
        <v>1384</v>
      </c>
      <c r="B1155" t="s">
        <v>2696</v>
      </c>
      <c r="C1155" t="s">
        <v>18</v>
      </c>
      <c r="D1155" t="s">
        <v>2712</v>
      </c>
      <c r="E1155" t="s">
        <v>2713</v>
      </c>
      <c r="F1155" t="s">
        <v>159</v>
      </c>
      <c r="G1155" t="s">
        <v>345</v>
      </c>
      <c r="H1155" t="b">
        <v>0</v>
      </c>
      <c r="I1155" t="b">
        <v>0</v>
      </c>
      <c r="L1155" t="b">
        <v>0</v>
      </c>
      <c r="M1155" t="s">
        <v>2714</v>
      </c>
      <c r="N1155" t="s">
        <v>2715</v>
      </c>
      <c r="O1155" t="s">
        <v>2716</v>
      </c>
      <c r="P1155" t="s">
        <v>2717</v>
      </c>
    </row>
    <row r="1157" spans="1:25" x14ac:dyDescent="0.2">
      <c r="A1157" s="2">
        <v>14</v>
      </c>
      <c r="B1157" s="2" t="s">
        <v>2718</v>
      </c>
      <c r="C1157" s="2" t="s">
        <v>13</v>
      </c>
      <c r="D1157" s="2" t="s">
        <v>2719</v>
      </c>
      <c r="E1157" s="2" t="s">
        <v>2720</v>
      </c>
      <c r="F1157" s="2" t="s">
        <v>2721</v>
      </c>
      <c r="G1157" s="2" t="s">
        <v>265</v>
      </c>
      <c r="H1157" s="2"/>
      <c r="I1157" s="2"/>
      <c r="J1157" s="2"/>
      <c r="K1157" s="2"/>
      <c r="L1157" s="2"/>
      <c r="M1157" s="2"/>
      <c r="N1157" s="2"/>
      <c r="O1157" s="2"/>
      <c r="P1157" s="2"/>
      <c r="Q1157" s="2"/>
      <c r="R1157" s="2"/>
      <c r="S1157" s="2"/>
      <c r="T1157" s="2"/>
      <c r="U1157" s="2"/>
      <c r="V1157" s="2"/>
      <c r="W1157" s="2"/>
      <c r="X1157" s="2"/>
      <c r="Y1157" s="2"/>
    </row>
    <row r="1158" spans="1:25" x14ac:dyDescent="0.2">
      <c r="A1158">
        <v>15</v>
      </c>
      <c r="B1158" t="s">
        <v>2718</v>
      </c>
      <c r="C1158" t="s">
        <v>18</v>
      </c>
      <c r="D1158" t="s">
        <v>2719</v>
      </c>
      <c r="E1158" t="s">
        <v>2720</v>
      </c>
      <c r="F1158" t="s">
        <v>82</v>
      </c>
      <c r="G1158" t="s">
        <v>265</v>
      </c>
      <c r="H1158" t="b">
        <v>1</v>
      </c>
      <c r="I1158" t="b">
        <v>1</v>
      </c>
      <c r="L1158" t="b">
        <v>1</v>
      </c>
      <c r="M1158" t="s">
        <v>2722</v>
      </c>
      <c r="N1158" t="s">
        <v>745</v>
      </c>
    </row>
    <row r="1159" spans="1:25" x14ac:dyDescent="0.2">
      <c r="A1159">
        <v>16</v>
      </c>
      <c r="B1159" t="s">
        <v>2718</v>
      </c>
      <c r="C1159" t="s">
        <v>18</v>
      </c>
      <c r="D1159" t="s">
        <v>2723</v>
      </c>
      <c r="E1159" t="s">
        <v>2724</v>
      </c>
      <c r="F1159" t="s">
        <v>82</v>
      </c>
      <c r="G1159" t="s">
        <v>265</v>
      </c>
      <c r="H1159" t="b">
        <v>0</v>
      </c>
      <c r="I1159" t="b">
        <v>0</v>
      </c>
      <c r="L1159" t="b">
        <v>0</v>
      </c>
      <c r="M1159" t="s">
        <v>2725</v>
      </c>
    </row>
    <row r="1160" spans="1:25" x14ac:dyDescent="0.2">
      <c r="A1160">
        <v>17</v>
      </c>
      <c r="B1160" t="s">
        <v>2718</v>
      </c>
      <c r="C1160" t="s">
        <v>18</v>
      </c>
      <c r="D1160" t="s">
        <v>2726</v>
      </c>
      <c r="E1160" t="s">
        <v>2727</v>
      </c>
      <c r="F1160" t="s">
        <v>2728</v>
      </c>
      <c r="G1160" t="s">
        <v>265</v>
      </c>
      <c r="H1160" t="b">
        <v>0</v>
      </c>
      <c r="I1160" t="b">
        <v>0</v>
      </c>
      <c r="L1160" t="b">
        <v>0</v>
      </c>
      <c r="M1160" t="s">
        <v>2729</v>
      </c>
      <c r="N1160" t="s">
        <v>745</v>
      </c>
    </row>
    <row r="1161" spans="1:25" x14ac:dyDescent="0.2">
      <c r="A1161">
        <v>18</v>
      </c>
      <c r="B1161" t="s">
        <v>2718</v>
      </c>
      <c r="C1161" t="s">
        <v>18</v>
      </c>
      <c r="D1161" t="s">
        <v>2730</v>
      </c>
      <c r="E1161" t="s">
        <v>2731</v>
      </c>
      <c r="F1161" t="s">
        <v>82</v>
      </c>
      <c r="G1161" t="s">
        <v>265</v>
      </c>
      <c r="H1161" t="b">
        <v>0</v>
      </c>
      <c r="I1161" t="b">
        <v>0</v>
      </c>
      <c r="L1161" t="b">
        <v>0</v>
      </c>
      <c r="M1161" t="s">
        <v>2732</v>
      </c>
    </row>
    <row r="1162" spans="1:25" x14ac:dyDescent="0.2">
      <c r="A1162">
        <v>19</v>
      </c>
      <c r="B1162" t="s">
        <v>2718</v>
      </c>
      <c r="C1162" t="s">
        <v>18</v>
      </c>
      <c r="D1162" t="s">
        <v>2733</v>
      </c>
      <c r="E1162" t="s">
        <v>2734</v>
      </c>
      <c r="F1162" t="s">
        <v>2122</v>
      </c>
      <c r="G1162" t="s">
        <v>265</v>
      </c>
      <c r="H1162" t="b">
        <v>0</v>
      </c>
      <c r="I1162" t="b">
        <v>0</v>
      </c>
      <c r="L1162" t="b">
        <v>0</v>
      </c>
    </row>
    <row r="1164" spans="1:25" x14ac:dyDescent="0.2">
      <c r="A1164" s="2">
        <v>140</v>
      </c>
      <c r="B1164" s="2" t="s">
        <v>2735</v>
      </c>
      <c r="C1164" s="2" t="s">
        <v>13</v>
      </c>
      <c r="D1164" s="2" t="s">
        <v>2736</v>
      </c>
      <c r="E1164" s="2" t="s">
        <v>2737</v>
      </c>
      <c r="F1164" s="2" t="s">
        <v>2738</v>
      </c>
      <c r="G1164" s="2" t="s">
        <v>17</v>
      </c>
      <c r="H1164" s="2"/>
      <c r="I1164" s="2"/>
      <c r="J1164" s="2"/>
      <c r="K1164" s="2"/>
      <c r="L1164" s="2"/>
      <c r="M1164" s="2"/>
      <c r="N1164" s="2"/>
      <c r="O1164" s="2"/>
      <c r="P1164" s="2"/>
      <c r="Q1164" s="2"/>
      <c r="R1164" s="2"/>
      <c r="S1164" s="2"/>
      <c r="T1164" s="2"/>
      <c r="U1164" s="2"/>
      <c r="V1164" s="2"/>
      <c r="W1164" s="2"/>
      <c r="X1164" s="2"/>
      <c r="Y1164" s="2"/>
    </row>
    <row r="1165" spans="1:25" x14ac:dyDescent="0.2">
      <c r="A1165">
        <v>141</v>
      </c>
      <c r="B1165" t="s">
        <v>2735</v>
      </c>
      <c r="C1165" t="s">
        <v>18</v>
      </c>
      <c r="D1165" t="s">
        <v>2736</v>
      </c>
      <c r="E1165" t="s">
        <v>2608</v>
      </c>
      <c r="F1165" t="s">
        <v>2738</v>
      </c>
      <c r="G1165" t="s">
        <v>17</v>
      </c>
      <c r="H1165" t="b">
        <v>1</v>
      </c>
      <c r="K1165" t="b">
        <v>1</v>
      </c>
      <c r="L1165" t="b">
        <v>1</v>
      </c>
      <c r="M1165" t="s">
        <v>2739</v>
      </c>
      <c r="N1165" t="s">
        <v>2740</v>
      </c>
    </row>
    <row r="1166" spans="1:25" x14ac:dyDescent="0.2">
      <c r="A1166">
        <v>142</v>
      </c>
      <c r="B1166" t="s">
        <v>2735</v>
      </c>
      <c r="C1166" t="s">
        <v>18</v>
      </c>
      <c r="D1166" t="s">
        <v>2741</v>
      </c>
      <c r="E1166" t="s">
        <v>2742</v>
      </c>
      <c r="F1166" t="s">
        <v>2738</v>
      </c>
      <c r="G1166" t="s">
        <v>17</v>
      </c>
      <c r="H1166" t="b">
        <v>1</v>
      </c>
      <c r="K1166" t="b">
        <v>1</v>
      </c>
      <c r="L1166" t="b">
        <v>1</v>
      </c>
      <c r="M1166" t="s">
        <v>2743</v>
      </c>
    </row>
    <row r="1167" spans="1:25" x14ac:dyDescent="0.2">
      <c r="A1167">
        <v>143</v>
      </c>
      <c r="B1167" t="s">
        <v>2735</v>
      </c>
      <c r="C1167" t="s">
        <v>18</v>
      </c>
      <c r="D1167" t="s">
        <v>2744</v>
      </c>
      <c r="E1167" t="s">
        <v>109</v>
      </c>
      <c r="F1167" t="s">
        <v>2738</v>
      </c>
      <c r="G1167" t="s">
        <v>17</v>
      </c>
      <c r="H1167" t="b">
        <v>0</v>
      </c>
      <c r="K1167" t="b">
        <v>0</v>
      </c>
      <c r="L1167" t="b">
        <v>0</v>
      </c>
      <c r="M1167" t="s">
        <v>2745</v>
      </c>
    </row>
    <row r="1168" spans="1:25" x14ac:dyDescent="0.2">
      <c r="A1168">
        <v>144</v>
      </c>
      <c r="B1168" t="s">
        <v>2735</v>
      </c>
      <c r="C1168" t="s">
        <v>18</v>
      </c>
      <c r="D1168" t="s">
        <v>2746</v>
      </c>
      <c r="E1168" t="s">
        <v>2747</v>
      </c>
      <c r="F1168" t="s">
        <v>2738</v>
      </c>
      <c r="G1168" t="s">
        <v>17</v>
      </c>
      <c r="H1168" t="b">
        <v>0</v>
      </c>
      <c r="K1168" t="b">
        <v>0</v>
      </c>
      <c r="L1168" t="b">
        <v>0</v>
      </c>
      <c r="M1168" t="s">
        <v>2748</v>
      </c>
    </row>
    <row r="1169" spans="1:25" x14ac:dyDescent="0.2">
      <c r="A1169">
        <v>145</v>
      </c>
      <c r="B1169" t="s">
        <v>2735</v>
      </c>
      <c r="C1169" t="s">
        <v>18</v>
      </c>
      <c r="D1169" t="s">
        <v>2749</v>
      </c>
      <c r="E1169" t="s">
        <v>2750</v>
      </c>
      <c r="F1169" t="s">
        <v>2738</v>
      </c>
      <c r="G1169" t="s">
        <v>17</v>
      </c>
      <c r="H1169" t="b">
        <v>0</v>
      </c>
      <c r="K1169" t="b">
        <v>0</v>
      </c>
      <c r="L1169" t="b">
        <v>0</v>
      </c>
      <c r="M1169" t="s">
        <v>2751</v>
      </c>
      <c r="N1169" t="s">
        <v>2752</v>
      </c>
    </row>
    <row r="1171" spans="1:25" x14ac:dyDescent="0.2">
      <c r="A1171" s="2">
        <v>1407</v>
      </c>
      <c r="B1171" s="2" t="s">
        <v>2753</v>
      </c>
      <c r="C1171" s="2" t="s">
        <v>13</v>
      </c>
      <c r="D1171" s="2" t="s">
        <v>2754</v>
      </c>
      <c r="E1171" s="2" t="s">
        <v>2755</v>
      </c>
      <c r="F1171" s="2" t="s">
        <v>144</v>
      </c>
      <c r="G1171" s="2" t="s">
        <v>345</v>
      </c>
      <c r="H1171" s="2"/>
      <c r="I1171" s="2"/>
      <c r="J1171" s="2"/>
      <c r="K1171" s="2"/>
      <c r="L1171" s="2"/>
      <c r="M1171" s="2"/>
      <c r="N1171" s="2"/>
      <c r="O1171" s="2"/>
      <c r="P1171" s="2"/>
      <c r="Q1171" s="2"/>
      <c r="R1171" s="2"/>
      <c r="S1171" s="2"/>
      <c r="T1171" s="2"/>
      <c r="U1171" s="2"/>
      <c r="V1171" s="2"/>
      <c r="W1171" s="2"/>
      <c r="X1171" s="2"/>
      <c r="Y1171" s="2"/>
    </row>
    <row r="1172" spans="1:25" x14ac:dyDescent="0.2">
      <c r="A1172">
        <v>1408</v>
      </c>
      <c r="B1172" t="s">
        <v>2753</v>
      </c>
      <c r="C1172" t="s">
        <v>18</v>
      </c>
      <c r="D1172" t="s">
        <v>2754</v>
      </c>
      <c r="E1172" t="s">
        <v>2755</v>
      </c>
      <c r="F1172" t="s">
        <v>144</v>
      </c>
      <c r="G1172" t="s">
        <v>345</v>
      </c>
      <c r="H1172" t="b">
        <v>1</v>
      </c>
      <c r="K1172" t="b">
        <v>1</v>
      </c>
      <c r="L1172" t="b">
        <v>1</v>
      </c>
      <c r="M1172" t="s">
        <v>2756</v>
      </c>
      <c r="N1172" t="s">
        <v>2757</v>
      </c>
      <c r="O1172" t="s">
        <v>2758</v>
      </c>
      <c r="P1172" t="s">
        <v>2759</v>
      </c>
    </row>
    <row r="1173" spans="1:25" x14ac:dyDescent="0.2">
      <c r="A1173">
        <v>1409</v>
      </c>
      <c r="B1173" t="s">
        <v>2753</v>
      </c>
      <c r="C1173" t="s">
        <v>18</v>
      </c>
      <c r="D1173" t="s">
        <v>2760</v>
      </c>
      <c r="E1173" t="s">
        <v>2761</v>
      </c>
      <c r="F1173" t="s">
        <v>159</v>
      </c>
      <c r="G1173" t="s">
        <v>345</v>
      </c>
      <c r="H1173" t="b">
        <v>0</v>
      </c>
      <c r="K1173" t="b">
        <v>0</v>
      </c>
      <c r="L1173" t="b">
        <v>0</v>
      </c>
      <c r="M1173" t="s">
        <v>2762</v>
      </c>
      <c r="N1173" t="s">
        <v>2763</v>
      </c>
      <c r="O1173" t="s">
        <v>2764</v>
      </c>
      <c r="P1173" t="s">
        <v>2765</v>
      </c>
    </row>
    <row r="1174" spans="1:25" x14ac:dyDescent="0.2">
      <c r="A1174">
        <v>1410</v>
      </c>
      <c r="B1174" t="s">
        <v>2753</v>
      </c>
      <c r="C1174" t="s">
        <v>18</v>
      </c>
      <c r="D1174" t="s">
        <v>2766</v>
      </c>
      <c r="E1174" t="s">
        <v>2767</v>
      </c>
      <c r="F1174" t="s">
        <v>151</v>
      </c>
      <c r="G1174" t="s">
        <v>24</v>
      </c>
      <c r="H1174" t="b">
        <v>0</v>
      </c>
      <c r="K1174" t="b">
        <v>0</v>
      </c>
      <c r="L1174" t="b">
        <v>0</v>
      </c>
      <c r="M1174" t="s">
        <v>2768</v>
      </c>
      <c r="N1174" t="s">
        <v>2769</v>
      </c>
      <c r="O1174" t="s">
        <v>2770</v>
      </c>
    </row>
    <row r="1175" spans="1:25" x14ac:dyDescent="0.2">
      <c r="A1175">
        <v>1411</v>
      </c>
      <c r="B1175" t="s">
        <v>2753</v>
      </c>
      <c r="C1175" t="s">
        <v>18</v>
      </c>
      <c r="D1175" t="s">
        <v>2771</v>
      </c>
      <c r="E1175" t="s">
        <v>2772</v>
      </c>
      <c r="F1175" t="s">
        <v>87</v>
      </c>
      <c r="G1175" t="s">
        <v>88</v>
      </c>
      <c r="H1175" t="b">
        <v>0</v>
      </c>
      <c r="K1175" t="b">
        <v>0</v>
      </c>
      <c r="L1175" t="b">
        <v>0</v>
      </c>
    </row>
    <row r="1176" spans="1:25" x14ac:dyDescent="0.2">
      <c r="A1176">
        <v>1412</v>
      </c>
      <c r="B1176" t="s">
        <v>2753</v>
      </c>
      <c r="C1176" t="s">
        <v>18</v>
      </c>
      <c r="D1176" t="s">
        <v>2773</v>
      </c>
      <c r="E1176" t="s">
        <v>2774</v>
      </c>
      <c r="F1176" t="s">
        <v>82</v>
      </c>
      <c r="G1176" t="s">
        <v>345</v>
      </c>
      <c r="H1176" t="b">
        <v>0</v>
      </c>
      <c r="K1176" t="b">
        <v>0</v>
      </c>
      <c r="L1176" t="b">
        <v>0</v>
      </c>
    </row>
    <row r="1178" spans="1:25" x14ac:dyDescent="0.2">
      <c r="A1178" s="2">
        <v>1414</v>
      </c>
      <c r="B1178" s="2" t="s">
        <v>2775</v>
      </c>
      <c r="C1178" s="2" t="s">
        <v>13</v>
      </c>
      <c r="D1178" s="2" t="s">
        <v>2776</v>
      </c>
      <c r="E1178" s="2" t="s">
        <v>2777</v>
      </c>
      <c r="F1178" s="2" t="s">
        <v>270</v>
      </c>
      <c r="G1178" s="2" t="s">
        <v>638</v>
      </c>
      <c r="H1178" s="2"/>
      <c r="I1178" s="2"/>
      <c r="J1178" s="2"/>
      <c r="K1178" s="2"/>
      <c r="L1178" s="2"/>
      <c r="M1178" s="2"/>
      <c r="N1178" s="2"/>
      <c r="O1178" s="2"/>
      <c r="P1178" s="2"/>
      <c r="Q1178" s="2"/>
      <c r="R1178" s="2"/>
      <c r="S1178" s="2"/>
      <c r="T1178" s="2"/>
      <c r="U1178" s="2"/>
      <c r="V1178" s="2"/>
      <c r="W1178" s="2"/>
      <c r="X1178" s="2"/>
      <c r="Y1178" s="2"/>
    </row>
    <row r="1179" spans="1:25" x14ac:dyDescent="0.2">
      <c r="A1179">
        <v>1415</v>
      </c>
      <c r="B1179" t="s">
        <v>2775</v>
      </c>
      <c r="C1179" t="s">
        <v>18</v>
      </c>
      <c r="D1179" t="s">
        <v>2776</v>
      </c>
      <c r="E1179" t="s">
        <v>170</v>
      </c>
      <c r="F1179" t="s">
        <v>270</v>
      </c>
      <c r="G1179" t="s">
        <v>638</v>
      </c>
      <c r="H1179" t="b">
        <v>1</v>
      </c>
      <c r="I1179" t="b">
        <v>1</v>
      </c>
      <c r="L1179" t="b">
        <v>1</v>
      </c>
      <c r="M1179" t="s">
        <v>2778</v>
      </c>
    </row>
    <row r="1180" spans="1:25" x14ac:dyDescent="0.2">
      <c r="A1180">
        <v>1416</v>
      </c>
      <c r="B1180" t="s">
        <v>2775</v>
      </c>
      <c r="C1180" t="s">
        <v>18</v>
      </c>
      <c r="D1180" t="s">
        <v>2779</v>
      </c>
      <c r="E1180" t="s">
        <v>2780</v>
      </c>
      <c r="F1180" t="s">
        <v>270</v>
      </c>
      <c r="G1180" t="s">
        <v>638</v>
      </c>
      <c r="H1180" t="b">
        <v>1</v>
      </c>
      <c r="I1180" t="b">
        <v>1</v>
      </c>
      <c r="L1180" t="b">
        <v>1</v>
      </c>
      <c r="M1180" t="s">
        <v>2781</v>
      </c>
    </row>
    <row r="1181" spans="1:25" x14ac:dyDescent="0.2">
      <c r="A1181">
        <v>1417</v>
      </c>
      <c r="B1181" t="s">
        <v>2775</v>
      </c>
      <c r="C1181" t="s">
        <v>18</v>
      </c>
      <c r="D1181" t="s">
        <v>2782</v>
      </c>
      <c r="E1181" t="s">
        <v>2783</v>
      </c>
      <c r="F1181" t="s">
        <v>248</v>
      </c>
      <c r="G1181" t="s">
        <v>638</v>
      </c>
      <c r="H1181" t="b">
        <v>0</v>
      </c>
      <c r="I1181" t="b">
        <v>0</v>
      </c>
      <c r="L1181" t="b">
        <v>0</v>
      </c>
      <c r="M1181" t="s">
        <v>2784</v>
      </c>
    </row>
    <row r="1182" spans="1:25" x14ac:dyDescent="0.2">
      <c r="A1182">
        <v>1418</v>
      </c>
      <c r="B1182" t="s">
        <v>2775</v>
      </c>
      <c r="C1182" t="s">
        <v>18</v>
      </c>
      <c r="D1182" t="s">
        <v>2785</v>
      </c>
      <c r="E1182" t="s">
        <v>2786</v>
      </c>
      <c r="F1182" t="s">
        <v>248</v>
      </c>
      <c r="G1182" t="s">
        <v>638</v>
      </c>
      <c r="H1182" t="b">
        <v>0</v>
      </c>
      <c r="I1182" t="b">
        <v>0</v>
      </c>
      <c r="L1182" t="b">
        <v>0</v>
      </c>
      <c r="M1182" t="s">
        <v>2787</v>
      </c>
    </row>
    <row r="1183" spans="1:25" x14ac:dyDescent="0.2">
      <c r="A1183">
        <v>1419</v>
      </c>
      <c r="B1183" t="s">
        <v>2775</v>
      </c>
      <c r="C1183" t="s">
        <v>18</v>
      </c>
      <c r="D1183" t="s">
        <v>2788</v>
      </c>
      <c r="E1183" t="s">
        <v>2789</v>
      </c>
      <c r="F1183" t="s">
        <v>78</v>
      </c>
      <c r="G1183" t="s">
        <v>17</v>
      </c>
      <c r="H1183" t="b">
        <v>0</v>
      </c>
      <c r="I1183" t="b">
        <v>0</v>
      </c>
      <c r="L1183" t="b">
        <v>0</v>
      </c>
      <c r="M1183" t="s">
        <v>2790</v>
      </c>
      <c r="N1183" t="s">
        <v>745</v>
      </c>
    </row>
    <row r="1185" spans="1:25" x14ac:dyDescent="0.2">
      <c r="A1185" s="2">
        <v>1428</v>
      </c>
      <c r="B1185" s="2" t="s">
        <v>2791</v>
      </c>
      <c r="C1185" s="2" t="s">
        <v>13</v>
      </c>
      <c r="D1185" s="2" t="s">
        <v>2792</v>
      </c>
      <c r="E1185" s="2" t="s">
        <v>2793</v>
      </c>
      <c r="F1185" s="2" t="s">
        <v>264</v>
      </c>
      <c r="G1185" s="2" t="s">
        <v>1405</v>
      </c>
      <c r="H1185" s="2"/>
      <c r="I1185" s="2"/>
      <c r="J1185" s="2"/>
      <c r="K1185" s="2"/>
      <c r="L1185" s="2"/>
      <c r="M1185" s="2"/>
      <c r="N1185" s="2"/>
      <c r="O1185" s="2"/>
      <c r="P1185" s="2"/>
      <c r="Q1185" s="2"/>
      <c r="R1185" s="2"/>
      <c r="S1185" s="2"/>
      <c r="T1185" s="2"/>
      <c r="U1185" s="2"/>
      <c r="V1185" s="2"/>
      <c r="W1185" s="2"/>
      <c r="X1185" s="2"/>
      <c r="Y1185" s="2"/>
    </row>
    <row r="1186" spans="1:25" x14ac:dyDescent="0.2">
      <c r="A1186">
        <v>1429</v>
      </c>
      <c r="B1186" t="s">
        <v>2791</v>
      </c>
      <c r="C1186" t="s">
        <v>18</v>
      </c>
      <c r="D1186" t="s">
        <v>372</v>
      </c>
      <c r="E1186" t="s">
        <v>373</v>
      </c>
      <c r="F1186" t="s">
        <v>78</v>
      </c>
      <c r="G1186" t="s">
        <v>134</v>
      </c>
      <c r="H1186" t="b">
        <v>0</v>
      </c>
      <c r="K1186" t="b">
        <v>0</v>
      </c>
      <c r="L1186" t="b">
        <v>0</v>
      </c>
      <c r="M1186" t="s">
        <v>2794</v>
      </c>
      <c r="N1186" t="s">
        <v>2795</v>
      </c>
    </row>
    <row r="1187" spans="1:25" x14ac:dyDescent="0.2">
      <c r="A1187">
        <v>1430</v>
      </c>
      <c r="B1187" t="s">
        <v>2791</v>
      </c>
      <c r="C1187" t="s">
        <v>18</v>
      </c>
      <c r="D1187" t="s">
        <v>2796</v>
      </c>
      <c r="E1187" t="s">
        <v>2797</v>
      </c>
      <c r="F1187" t="s">
        <v>78</v>
      </c>
      <c r="G1187" t="s">
        <v>134</v>
      </c>
      <c r="H1187" t="b">
        <v>0</v>
      </c>
      <c r="K1187" t="b">
        <v>0</v>
      </c>
      <c r="L1187" t="b">
        <v>0</v>
      </c>
      <c r="M1187" t="s">
        <v>2798</v>
      </c>
      <c r="N1187" t="s">
        <v>2799</v>
      </c>
    </row>
    <row r="1188" spans="1:25" x14ac:dyDescent="0.2">
      <c r="A1188">
        <v>1431</v>
      </c>
      <c r="B1188" t="s">
        <v>2791</v>
      </c>
      <c r="C1188" t="s">
        <v>18</v>
      </c>
      <c r="D1188" t="s">
        <v>2800</v>
      </c>
      <c r="E1188" t="s">
        <v>2801</v>
      </c>
      <c r="F1188" t="s">
        <v>200</v>
      </c>
      <c r="G1188" t="s">
        <v>1406</v>
      </c>
      <c r="H1188" t="b">
        <v>0</v>
      </c>
      <c r="K1188" t="b">
        <v>0</v>
      </c>
      <c r="L1188" t="b">
        <v>0</v>
      </c>
      <c r="M1188" t="s">
        <v>2802</v>
      </c>
    </row>
    <row r="1189" spans="1:25" x14ac:dyDescent="0.2">
      <c r="A1189">
        <v>1432</v>
      </c>
      <c r="B1189" t="s">
        <v>2791</v>
      </c>
      <c r="C1189" t="s">
        <v>18</v>
      </c>
      <c r="D1189" t="s">
        <v>2803</v>
      </c>
      <c r="E1189" t="s">
        <v>2804</v>
      </c>
      <c r="F1189" t="s">
        <v>200</v>
      </c>
      <c r="G1189" t="s">
        <v>2805</v>
      </c>
      <c r="H1189" t="b">
        <v>0</v>
      </c>
      <c r="K1189" t="b">
        <v>0</v>
      </c>
      <c r="L1189" t="b">
        <v>0</v>
      </c>
      <c r="M1189" t="s">
        <v>2806</v>
      </c>
      <c r="N1189" t="s">
        <v>2807</v>
      </c>
    </row>
    <row r="1190" spans="1:25" x14ac:dyDescent="0.2">
      <c r="A1190">
        <v>1433</v>
      </c>
      <c r="B1190" t="s">
        <v>2791</v>
      </c>
      <c r="C1190" t="s">
        <v>18</v>
      </c>
      <c r="D1190" t="s">
        <v>2808</v>
      </c>
      <c r="E1190" t="s">
        <v>2113</v>
      </c>
      <c r="F1190" t="s">
        <v>248</v>
      </c>
      <c r="G1190" t="s">
        <v>201</v>
      </c>
      <c r="H1190" t="b">
        <v>0</v>
      </c>
      <c r="K1190" t="b">
        <v>0</v>
      </c>
      <c r="L1190" t="b">
        <v>0</v>
      </c>
      <c r="M1190" t="s">
        <v>2809</v>
      </c>
      <c r="N1190" t="s">
        <v>2810</v>
      </c>
    </row>
    <row r="1192" spans="1:25" x14ac:dyDescent="0.2">
      <c r="A1192" s="2">
        <v>1435</v>
      </c>
      <c r="B1192" s="2" t="s">
        <v>2811</v>
      </c>
      <c r="C1192" s="2" t="s">
        <v>13</v>
      </c>
      <c r="D1192" s="2" t="s">
        <v>2812</v>
      </c>
      <c r="E1192" s="2" t="s">
        <v>2813</v>
      </c>
      <c r="F1192" s="2" t="s">
        <v>16</v>
      </c>
      <c r="G1192" s="2" t="s">
        <v>24</v>
      </c>
      <c r="H1192" s="2"/>
      <c r="I1192" s="2"/>
      <c r="J1192" s="2"/>
      <c r="K1192" s="2"/>
      <c r="L1192" s="2"/>
      <c r="M1192" s="2"/>
      <c r="N1192" s="2"/>
      <c r="O1192" s="2"/>
      <c r="P1192" s="2"/>
      <c r="Q1192" s="2"/>
      <c r="R1192" s="2"/>
      <c r="S1192" s="2"/>
      <c r="T1192" s="2"/>
      <c r="U1192" s="2"/>
      <c r="V1192" s="2"/>
      <c r="W1192" s="2"/>
      <c r="X1192" s="2"/>
      <c r="Y1192" s="2"/>
    </row>
    <row r="1193" spans="1:25" x14ac:dyDescent="0.2">
      <c r="A1193">
        <v>1436</v>
      </c>
      <c r="B1193" t="s">
        <v>2811</v>
      </c>
      <c r="C1193" t="s">
        <v>18</v>
      </c>
      <c r="D1193" t="s">
        <v>2812</v>
      </c>
      <c r="E1193" t="s">
        <v>2814</v>
      </c>
      <c r="F1193" t="s">
        <v>16</v>
      </c>
      <c r="G1193" t="s">
        <v>24</v>
      </c>
      <c r="H1193" t="b">
        <v>1</v>
      </c>
      <c r="K1193" t="b">
        <v>1</v>
      </c>
      <c r="L1193" t="b">
        <v>1</v>
      </c>
      <c r="M1193" t="s">
        <v>2815</v>
      </c>
      <c r="N1193" t="s">
        <v>2816</v>
      </c>
    </row>
    <row r="1194" spans="1:25" x14ac:dyDescent="0.2">
      <c r="A1194">
        <v>1437</v>
      </c>
      <c r="B1194" t="s">
        <v>2811</v>
      </c>
      <c r="C1194" t="s">
        <v>18</v>
      </c>
      <c r="D1194" t="s">
        <v>2817</v>
      </c>
      <c r="E1194" t="s">
        <v>2818</v>
      </c>
      <c r="F1194" t="s">
        <v>16</v>
      </c>
      <c r="G1194" t="s">
        <v>24</v>
      </c>
      <c r="H1194" t="b">
        <v>1</v>
      </c>
      <c r="K1194" t="b">
        <v>1</v>
      </c>
      <c r="L1194" t="b">
        <v>1</v>
      </c>
      <c r="M1194" t="s">
        <v>2819</v>
      </c>
      <c r="N1194" t="s">
        <v>2820</v>
      </c>
    </row>
    <row r="1195" spans="1:25" x14ac:dyDescent="0.2">
      <c r="A1195">
        <v>1438</v>
      </c>
      <c r="B1195" t="s">
        <v>2811</v>
      </c>
      <c r="C1195" t="s">
        <v>18</v>
      </c>
      <c r="D1195" t="s">
        <v>2821</v>
      </c>
      <c r="E1195" t="s">
        <v>2822</v>
      </c>
      <c r="F1195" t="s">
        <v>16</v>
      </c>
      <c r="G1195" t="s">
        <v>24</v>
      </c>
      <c r="H1195" t="b">
        <v>0</v>
      </c>
      <c r="K1195" t="b">
        <v>0</v>
      </c>
      <c r="L1195" t="b">
        <v>0</v>
      </c>
    </row>
    <row r="1196" spans="1:25" x14ac:dyDescent="0.2">
      <c r="A1196">
        <v>1439</v>
      </c>
      <c r="B1196" t="s">
        <v>2811</v>
      </c>
      <c r="C1196" t="s">
        <v>18</v>
      </c>
      <c r="D1196" t="s">
        <v>2823</v>
      </c>
      <c r="E1196" t="s">
        <v>2824</v>
      </c>
      <c r="F1196" t="s">
        <v>16</v>
      </c>
      <c r="G1196" t="s">
        <v>24</v>
      </c>
      <c r="H1196" t="b">
        <v>0</v>
      </c>
      <c r="K1196" t="b">
        <v>0</v>
      </c>
      <c r="L1196" t="b">
        <v>0</v>
      </c>
    </row>
    <row r="1197" spans="1:25" x14ac:dyDescent="0.2">
      <c r="A1197">
        <v>1440</v>
      </c>
      <c r="B1197" t="s">
        <v>2811</v>
      </c>
      <c r="C1197" t="s">
        <v>18</v>
      </c>
      <c r="D1197" t="s">
        <v>1037</v>
      </c>
      <c r="E1197" t="s">
        <v>1038</v>
      </c>
      <c r="F1197" t="s">
        <v>31</v>
      </c>
      <c r="G1197" t="s">
        <v>17</v>
      </c>
      <c r="H1197" t="b">
        <v>0</v>
      </c>
      <c r="K1197" t="b">
        <v>0</v>
      </c>
      <c r="L1197" t="b">
        <v>0</v>
      </c>
      <c r="M1197" t="s">
        <v>1039</v>
      </c>
    </row>
    <row r="1199" spans="1:25" x14ac:dyDescent="0.2">
      <c r="A1199" s="2">
        <v>1456</v>
      </c>
      <c r="B1199" s="2" t="s">
        <v>2825</v>
      </c>
      <c r="C1199" s="2" t="s">
        <v>13</v>
      </c>
      <c r="D1199" s="2" t="s">
        <v>2826</v>
      </c>
      <c r="E1199" s="2" t="s">
        <v>2827</v>
      </c>
      <c r="F1199" s="2" t="s">
        <v>1153</v>
      </c>
      <c r="G1199" s="2" t="s">
        <v>62</v>
      </c>
      <c r="H1199" s="2"/>
      <c r="I1199" s="2"/>
      <c r="J1199" s="2"/>
      <c r="K1199" s="2"/>
      <c r="L1199" s="2"/>
      <c r="M1199" s="2"/>
      <c r="N1199" s="2"/>
      <c r="O1199" s="2"/>
      <c r="P1199" s="2"/>
      <c r="Q1199" s="2"/>
      <c r="R1199" s="2"/>
      <c r="S1199" s="2"/>
      <c r="T1199" s="2"/>
      <c r="U1199" s="2"/>
      <c r="V1199" s="2"/>
      <c r="W1199" s="2"/>
      <c r="X1199" s="2"/>
      <c r="Y1199" s="2"/>
    </row>
    <row r="1200" spans="1:25" x14ac:dyDescent="0.2">
      <c r="A1200">
        <v>1457</v>
      </c>
      <c r="B1200" t="s">
        <v>2825</v>
      </c>
      <c r="C1200" t="s">
        <v>18</v>
      </c>
      <c r="D1200" t="s">
        <v>2826</v>
      </c>
      <c r="E1200" t="s">
        <v>2827</v>
      </c>
      <c r="F1200" t="s">
        <v>1153</v>
      </c>
      <c r="G1200" t="s">
        <v>62</v>
      </c>
      <c r="H1200" t="b">
        <v>1</v>
      </c>
      <c r="K1200" t="b">
        <v>1</v>
      </c>
      <c r="L1200" t="b">
        <v>1</v>
      </c>
      <c r="M1200" t="s">
        <v>2828</v>
      </c>
      <c r="N1200" t="s">
        <v>745</v>
      </c>
    </row>
    <row r="1201" spans="1:25" x14ac:dyDescent="0.2">
      <c r="A1201">
        <v>1458</v>
      </c>
      <c r="B1201" t="s">
        <v>2825</v>
      </c>
      <c r="C1201" t="s">
        <v>18</v>
      </c>
      <c r="D1201" t="s">
        <v>2829</v>
      </c>
      <c r="E1201" t="s">
        <v>2830</v>
      </c>
      <c r="F1201" t="s">
        <v>670</v>
      </c>
      <c r="G1201" t="s">
        <v>62</v>
      </c>
      <c r="H1201" t="b">
        <v>0</v>
      </c>
      <c r="K1201" t="b">
        <v>0</v>
      </c>
      <c r="L1201" t="b">
        <v>0</v>
      </c>
      <c r="M1201" t="s">
        <v>2831</v>
      </c>
    </row>
    <row r="1202" spans="1:25" x14ac:dyDescent="0.2">
      <c r="A1202">
        <v>1459</v>
      </c>
      <c r="B1202" t="s">
        <v>2825</v>
      </c>
      <c r="C1202" t="s">
        <v>18</v>
      </c>
      <c r="D1202" t="s">
        <v>2832</v>
      </c>
      <c r="E1202" t="s">
        <v>2833</v>
      </c>
      <c r="F1202" t="s">
        <v>2388</v>
      </c>
      <c r="G1202" t="s">
        <v>62</v>
      </c>
      <c r="H1202" t="b">
        <v>0</v>
      </c>
      <c r="K1202" t="b">
        <v>0</v>
      </c>
      <c r="L1202" t="b">
        <v>0</v>
      </c>
    </row>
    <row r="1203" spans="1:25" x14ac:dyDescent="0.2">
      <c r="A1203">
        <v>1460</v>
      </c>
      <c r="B1203" t="s">
        <v>2825</v>
      </c>
      <c r="C1203" t="s">
        <v>18</v>
      </c>
      <c r="D1203" t="s">
        <v>2834</v>
      </c>
      <c r="E1203" t="s">
        <v>2835</v>
      </c>
      <c r="F1203" t="s">
        <v>1153</v>
      </c>
      <c r="G1203" t="s">
        <v>62</v>
      </c>
      <c r="H1203" t="b">
        <v>0</v>
      </c>
      <c r="K1203" t="b">
        <v>0</v>
      </c>
      <c r="L1203" t="b">
        <v>0</v>
      </c>
    </row>
    <row r="1204" spans="1:25" x14ac:dyDescent="0.2">
      <c r="A1204">
        <v>1461</v>
      </c>
      <c r="B1204" t="s">
        <v>2825</v>
      </c>
      <c r="C1204" t="s">
        <v>18</v>
      </c>
      <c r="D1204" t="s">
        <v>2836</v>
      </c>
      <c r="E1204" t="s">
        <v>293</v>
      </c>
      <c r="F1204" t="s">
        <v>670</v>
      </c>
      <c r="G1204" t="s">
        <v>88</v>
      </c>
      <c r="H1204" t="b">
        <v>0</v>
      </c>
      <c r="K1204" t="b">
        <v>0</v>
      </c>
      <c r="L1204" t="b">
        <v>0</v>
      </c>
      <c r="M1204" t="s">
        <v>2837</v>
      </c>
    </row>
    <row r="1206" spans="1:25" x14ac:dyDescent="0.2">
      <c r="A1206" s="2">
        <v>1463</v>
      </c>
      <c r="B1206" s="2" t="s">
        <v>2838</v>
      </c>
      <c r="C1206" s="2" t="s">
        <v>13</v>
      </c>
      <c r="D1206" s="2" t="s">
        <v>2839</v>
      </c>
      <c r="E1206" s="2" t="s">
        <v>2840</v>
      </c>
      <c r="F1206" s="2" t="s">
        <v>248</v>
      </c>
      <c r="G1206" s="2" t="s">
        <v>201</v>
      </c>
      <c r="H1206" s="2"/>
      <c r="I1206" s="2"/>
      <c r="J1206" s="2"/>
      <c r="K1206" s="2"/>
      <c r="L1206" s="2"/>
      <c r="M1206" s="2"/>
      <c r="N1206" s="2"/>
      <c r="O1206" s="2"/>
      <c r="P1206" s="2"/>
      <c r="Q1206" s="2"/>
      <c r="R1206" s="2"/>
      <c r="S1206" s="2"/>
      <c r="T1206" s="2"/>
      <c r="U1206" s="2"/>
      <c r="V1206" s="2"/>
      <c r="W1206" s="2"/>
      <c r="X1206" s="2"/>
      <c r="Y1206" s="2"/>
    </row>
    <row r="1207" spans="1:25" x14ac:dyDescent="0.2">
      <c r="A1207">
        <v>1464</v>
      </c>
      <c r="B1207" t="s">
        <v>2838</v>
      </c>
      <c r="C1207" t="s">
        <v>18</v>
      </c>
      <c r="D1207" t="s">
        <v>2841</v>
      </c>
      <c r="E1207" t="s">
        <v>2842</v>
      </c>
      <c r="F1207" t="s">
        <v>248</v>
      </c>
      <c r="G1207" t="s">
        <v>201</v>
      </c>
      <c r="H1207" t="b">
        <v>1</v>
      </c>
      <c r="K1207" t="b">
        <v>1</v>
      </c>
      <c r="L1207" t="b">
        <v>1</v>
      </c>
      <c r="M1207" t="s">
        <v>2843</v>
      </c>
      <c r="N1207" t="s">
        <v>2844</v>
      </c>
    </row>
    <row r="1208" spans="1:25" x14ac:dyDescent="0.2">
      <c r="A1208">
        <v>1465</v>
      </c>
      <c r="B1208" t="s">
        <v>2838</v>
      </c>
      <c r="C1208" t="s">
        <v>18</v>
      </c>
      <c r="D1208" t="s">
        <v>2845</v>
      </c>
      <c r="E1208" t="s">
        <v>2846</v>
      </c>
      <c r="F1208" t="s">
        <v>248</v>
      </c>
      <c r="G1208" t="s">
        <v>1114</v>
      </c>
      <c r="H1208" t="b">
        <v>0</v>
      </c>
      <c r="K1208" t="b">
        <v>0</v>
      </c>
      <c r="L1208" t="b">
        <v>0</v>
      </c>
    </row>
    <row r="1209" spans="1:25" x14ac:dyDescent="0.2">
      <c r="A1209">
        <v>1466</v>
      </c>
      <c r="B1209" t="s">
        <v>2838</v>
      </c>
      <c r="C1209" t="s">
        <v>18</v>
      </c>
      <c r="D1209" t="s">
        <v>2847</v>
      </c>
      <c r="E1209" t="s">
        <v>2848</v>
      </c>
      <c r="F1209" t="s">
        <v>248</v>
      </c>
      <c r="G1209" t="s">
        <v>1114</v>
      </c>
      <c r="H1209" t="b">
        <v>0</v>
      </c>
      <c r="K1209" t="b">
        <v>0</v>
      </c>
      <c r="L1209" t="b">
        <v>0</v>
      </c>
      <c r="M1209" t="s">
        <v>2849</v>
      </c>
      <c r="N1209" t="s">
        <v>2850</v>
      </c>
    </row>
    <row r="1210" spans="1:25" x14ac:dyDescent="0.2">
      <c r="A1210">
        <v>1467</v>
      </c>
      <c r="B1210" t="s">
        <v>2838</v>
      </c>
      <c r="C1210" t="s">
        <v>18</v>
      </c>
      <c r="D1210" t="s">
        <v>2851</v>
      </c>
      <c r="E1210" t="s">
        <v>2852</v>
      </c>
      <c r="F1210" t="s">
        <v>248</v>
      </c>
      <c r="G1210" t="s">
        <v>201</v>
      </c>
      <c r="H1210" t="b">
        <v>0</v>
      </c>
      <c r="K1210" t="b">
        <v>0</v>
      </c>
      <c r="L1210" t="b">
        <v>0</v>
      </c>
      <c r="M1210" t="s">
        <v>2853</v>
      </c>
      <c r="N1210" t="s">
        <v>2854</v>
      </c>
      <c r="O1210" t="s">
        <v>2855</v>
      </c>
      <c r="P1210" t="s">
        <v>2856</v>
      </c>
    </row>
    <row r="1211" spans="1:25" x14ac:dyDescent="0.2">
      <c r="A1211">
        <v>1468</v>
      </c>
      <c r="B1211" t="s">
        <v>2838</v>
      </c>
      <c r="C1211" t="s">
        <v>18</v>
      </c>
      <c r="D1211" t="s">
        <v>2857</v>
      </c>
      <c r="E1211" t="s">
        <v>2858</v>
      </c>
      <c r="F1211" t="s">
        <v>159</v>
      </c>
      <c r="G1211" t="s">
        <v>201</v>
      </c>
      <c r="H1211" t="b">
        <v>0</v>
      </c>
      <c r="K1211" t="b">
        <v>0</v>
      </c>
      <c r="L1211" t="b">
        <v>0</v>
      </c>
      <c r="M1211" t="s">
        <v>2859</v>
      </c>
      <c r="N1211" t="s">
        <v>2860</v>
      </c>
    </row>
    <row r="1213" spans="1:25" x14ac:dyDescent="0.2">
      <c r="A1213" s="2">
        <v>1470</v>
      </c>
      <c r="B1213" s="2" t="s">
        <v>2861</v>
      </c>
      <c r="C1213" s="2" t="s">
        <v>13</v>
      </c>
      <c r="D1213" s="2" t="s">
        <v>2862</v>
      </c>
      <c r="E1213" s="2" t="s">
        <v>2863</v>
      </c>
      <c r="F1213" s="2" t="s">
        <v>78</v>
      </c>
      <c r="G1213" s="2" t="s">
        <v>130</v>
      </c>
      <c r="H1213" s="2"/>
      <c r="I1213" s="2"/>
      <c r="J1213" s="2"/>
      <c r="K1213" s="2"/>
      <c r="L1213" s="2"/>
      <c r="M1213" s="2"/>
      <c r="N1213" s="2"/>
      <c r="O1213" s="2"/>
      <c r="P1213" s="2"/>
      <c r="Q1213" s="2"/>
      <c r="R1213" s="2"/>
      <c r="S1213" s="2"/>
      <c r="T1213" s="2"/>
      <c r="U1213" s="2"/>
      <c r="V1213" s="2"/>
      <c r="W1213" s="2"/>
      <c r="X1213" s="2"/>
      <c r="Y1213" s="2"/>
    </row>
    <row r="1214" spans="1:25" x14ac:dyDescent="0.2">
      <c r="A1214">
        <v>1471</v>
      </c>
      <c r="B1214" t="s">
        <v>2861</v>
      </c>
      <c r="C1214" t="s">
        <v>18</v>
      </c>
      <c r="D1214" t="s">
        <v>2862</v>
      </c>
      <c r="E1214" t="s">
        <v>2243</v>
      </c>
      <c r="F1214" t="s">
        <v>78</v>
      </c>
      <c r="G1214" t="s">
        <v>130</v>
      </c>
      <c r="H1214" t="b">
        <v>1</v>
      </c>
      <c r="K1214" t="b">
        <v>1</v>
      </c>
      <c r="L1214" t="b">
        <v>1</v>
      </c>
      <c r="M1214" t="s">
        <v>2864</v>
      </c>
      <c r="N1214" t="s">
        <v>2865</v>
      </c>
    </row>
    <row r="1215" spans="1:25" x14ac:dyDescent="0.2">
      <c r="A1215">
        <v>1472</v>
      </c>
      <c r="B1215" t="s">
        <v>2861</v>
      </c>
      <c r="C1215" t="s">
        <v>18</v>
      </c>
      <c r="D1215" t="s">
        <v>2866</v>
      </c>
      <c r="E1215" t="s">
        <v>2867</v>
      </c>
      <c r="F1215" t="s">
        <v>78</v>
      </c>
      <c r="G1215" t="s">
        <v>130</v>
      </c>
      <c r="H1215" t="b">
        <v>0</v>
      </c>
      <c r="K1215" t="b">
        <v>0</v>
      </c>
      <c r="L1215" t="b">
        <v>0</v>
      </c>
      <c r="M1215" t="s">
        <v>2868</v>
      </c>
      <c r="N1215" t="s">
        <v>2869</v>
      </c>
      <c r="O1215" t="s">
        <v>2870</v>
      </c>
      <c r="P1215" t="s">
        <v>2871</v>
      </c>
    </row>
    <row r="1216" spans="1:25" x14ac:dyDescent="0.2">
      <c r="A1216">
        <v>1473</v>
      </c>
      <c r="B1216" t="s">
        <v>2861</v>
      </c>
      <c r="C1216" t="s">
        <v>18</v>
      </c>
      <c r="D1216" t="s">
        <v>2872</v>
      </c>
      <c r="E1216" t="s">
        <v>2873</v>
      </c>
      <c r="F1216" t="s">
        <v>2874</v>
      </c>
      <c r="G1216" t="s">
        <v>130</v>
      </c>
      <c r="H1216" t="b">
        <v>0</v>
      </c>
      <c r="K1216" t="b">
        <v>0</v>
      </c>
      <c r="L1216" t="b">
        <v>0</v>
      </c>
      <c r="M1216" t="s">
        <v>2875</v>
      </c>
      <c r="N1216" t="s">
        <v>2876</v>
      </c>
    </row>
    <row r="1217" spans="1:25" x14ac:dyDescent="0.2">
      <c r="A1217">
        <v>1474</v>
      </c>
      <c r="B1217" t="s">
        <v>2861</v>
      </c>
      <c r="C1217" t="s">
        <v>18</v>
      </c>
      <c r="D1217" t="s">
        <v>2877</v>
      </c>
      <c r="E1217" t="s">
        <v>2878</v>
      </c>
      <c r="F1217" t="s">
        <v>78</v>
      </c>
      <c r="G1217" t="s">
        <v>130</v>
      </c>
      <c r="H1217" t="b">
        <v>0</v>
      </c>
      <c r="K1217" t="b">
        <v>0</v>
      </c>
      <c r="L1217" t="b">
        <v>0</v>
      </c>
      <c r="M1217" t="s">
        <v>2879</v>
      </c>
    </row>
    <row r="1218" spans="1:25" x14ac:dyDescent="0.2">
      <c r="A1218">
        <v>1475</v>
      </c>
      <c r="B1218" t="s">
        <v>2861</v>
      </c>
      <c r="C1218" t="s">
        <v>18</v>
      </c>
      <c r="D1218" t="s">
        <v>2880</v>
      </c>
      <c r="E1218" t="s">
        <v>2881</v>
      </c>
      <c r="F1218" t="s">
        <v>78</v>
      </c>
      <c r="G1218" t="s">
        <v>130</v>
      </c>
      <c r="H1218" t="b">
        <v>0</v>
      </c>
      <c r="K1218" t="b">
        <v>0</v>
      </c>
      <c r="L1218" t="b">
        <v>0</v>
      </c>
      <c r="M1218" t="s">
        <v>2882</v>
      </c>
    </row>
    <row r="1220" spans="1:25" x14ac:dyDescent="0.2">
      <c r="A1220" s="2">
        <v>1477</v>
      </c>
      <c r="B1220" s="2" t="s">
        <v>2883</v>
      </c>
      <c r="C1220" s="2" t="s">
        <v>13</v>
      </c>
      <c r="D1220" s="2" t="s">
        <v>2884</v>
      </c>
      <c r="E1220" s="2" t="s">
        <v>2885</v>
      </c>
      <c r="F1220" s="2" t="s">
        <v>78</v>
      </c>
      <c r="G1220" s="2" t="s">
        <v>265</v>
      </c>
      <c r="H1220" s="2"/>
      <c r="I1220" s="2"/>
      <c r="J1220" s="2"/>
      <c r="K1220" s="2"/>
      <c r="L1220" s="2"/>
      <c r="M1220" s="2"/>
      <c r="N1220" s="2"/>
      <c r="O1220" s="2"/>
      <c r="P1220" s="2"/>
      <c r="Q1220" s="2"/>
      <c r="R1220" s="2"/>
      <c r="S1220" s="2"/>
      <c r="T1220" s="2"/>
      <c r="U1220" s="2"/>
      <c r="V1220" s="2"/>
      <c r="W1220" s="2"/>
      <c r="X1220" s="2"/>
      <c r="Y1220" s="2"/>
    </row>
    <row r="1221" spans="1:25" x14ac:dyDescent="0.2">
      <c r="A1221">
        <v>1478</v>
      </c>
      <c r="B1221" t="s">
        <v>2883</v>
      </c>
      <c r="C1221" t="s">
        <v>18</v>
      </c>
      <c r="D1221" t="s">
        <v>2884</v>
      </c>
      <c r="E1221" t="s">
        <v>2886</v>
      </c>
      <c r="F1221" t="s">
        <v>78</v>
      </c>
      <c r="G1221" t="s">
        <v>265</v>
      </c>
      <c r="H1221" t="b">
        <v>1</v>
      </c>
      <c r="I1221" t="b">
        <v>1</v>
      </c>
      <c r="L1221" t="b">
        <v>1</v>
      </c>
      <c r="M1221" t="s">
        <v>2887</v>
      </c>
    </row>
    <row r="1222" spans="1:25" x14ac:dyDescent="0.2">
      <c r="A1222">
        <v>1479</v>
      </c>
      <c r="B1222" t="s">
        <v>2883</v>
      </c>
      <c r="C1222" t="s">
        <v>18</v>
      </c>
      <c r="D1222" t="s">
        <v>2888</v>
      </c>
      <c r="E1222" t="s">
        <v>2889</v>
      </c>
      <c r="F1222" t="s">
        <v>78</v>
      </c>
      <c r="G1222" t="s">
        <v>265</v>
      </c>
      <c r="H1222" t="b">
        <v>1</v>
      </c>
      <c r="I1222" t="b">
        <v>1</v>
      </c>
      <c r="L1222" t="b">
        <v>1</v>
      </c>
      <c r="M1222" t="s">
        <v>2890</v>
      </c>
      <c r="N1222" t="s">
        <v>2891</v>
      </c>
    </row>
    <row r="1223" spans="1:25" x14ac:dyDescent="0.2">
      <c r="A1223">
        <v>1480</v>
      </c>
      <c r="B1223" t="s">
        <v>2883</v>
      </c>
      <c r="C1223" t="s">
        <v>18</v>
      </c>
      <c r="D1223" t="s">
        <v>2892</v>
      </c>
      <c r="E1223" t="s">
        <v>2893</v>
      </c>
      <c r="F1223" t="s">
        <v>78</v>
      </c>
      <c r="G1223" t="s">
        <v>265</v>
      </c>
      <c r="H1223" t="b">
        <v>0</v>
      </c>
      <c r="I1223" t="b">
        <v>0</v>
      </c>
      <c r="L1223" t="b">
        <v>0</v>
      </c>
      <c r="M1223" t="s">
        <v>2894</v>
      </c>
      <c r="N1223" t="s">
        <v>745</v>
      </c>
    </row>
    <row r="1224" spans="1:25" x14ac:dyDescent="0.2">
      <c r="A1224">
        <v>1481</v>
      </c>
      <c r="B1224" t="s">
        <v>2883</v>
      </c>
      <c r="C1224" t="s">
        <v>18</v>
      </c>
      <c r="D1224" t="s">
        <v>2895</v>
      </c>
      <c r="E1224" t="s">
        <v>2896</v>
      </c>
      <c r="F1224" t="s">
        <v>78</v>
      </c>
      <c r="G1224" t="s">
        <v>265</v>
      </c>
      <c r="H1224" t="b">
        <v>0</v>
      </c>
      <c r="I1224" t="b">
        <v>0</v>
      </c>
      <c r="L1224" t="b">
        <v>0</v>
      </c>
      <c r="M1224" t="s">
        <v>2897</v>
      </c>
    </row>
    <row r="1225" spans="1:25" x14ac:dyDescent="0.2">
      <c r="A1225">
        <v>1482</v>
      </c>
      <c r="B1225" t="s">
        <v>2883</v>
      </c>
      <c r="C1225" t="s">
        <v>18</v>
      </c>
      <c r="D1225" t="s">
        <v>2898</v>
      </c>
      <c r="E1225" t="s">
        <v>2899</v>
      </c>
      <c r="F1225" t="s">
        <v>78</v>
      </c>
      <c r="G1225" t="s">
        <v>265</v>
      </c>
      <c r="H1225" t="b">
        <v>0</v>
      </c>
      <c r="I1225" t="b">
        <v>0</v>
      </c>
      <c r="L1225" t="b">
        <v>0</v>
      </c>
    </row>
    <row r="1227" spans="1:25" x14ac:dyDescent="0.2">
      <c r="A1227" s="2">
        <v>1484</v>
      </c>
      <c r="B1227" s="2" t="s">
        <v>2900</v>
      </c>
      <c r="C1227" s="2" t="s">
        <v>13</v>
      </c>
      <c r="D1227" s="2" t="s">
        <v>2901</v>
      </c>
      <c r="E1227" s="2" t="s">
        <v>2902</v>
      </c>
      <c r="F1227" s="2" t="s">
        <v>78</v>
      </c>
      <c r="G1227" s="2" t="s">
        <v>88</v>
      </c>
      <c r="H1227" s="2"/>
      <c r="I1227" s="2"/>
      <c r="J1227" s="2"/>
      <c r="K1227" s="2"/>
      <c r="L1227" s="2"/>
      <c r="M1227" s="2"/>
      <c r="N1227" s="2"/>
      <c r="O1227" s="2"/>
      <c r="P1227" s="2"/>
      <c r="Q1227" s="2"/>
      <c r="R1227" s="2"/>
      <c r="S1227" s="2"/>
      <c r="T1227" s="2"/>
      <c r="U1227" s="2"/>
      <c r="V1227" s="2"/>
      <c r="W1227" s="2"/>
      <c r="X1227" s="2"/>
      <c r="Y1227" s="2"/>
    </row>
    <row r="1228" spans="1:25" x14ac:dyDescent="0.2">
      <c r="A1228">
        <v>1485</v>
      </c>
      <c r="B1228" t="s">
        <v>2900</v>
      </c>
      <c r="C1228" t="s">
        <v>18</v>
      </c>
      <c r="D1228" t="s">
        <v>2901</v>
      </c>
      <c r="E1228" t="s">
        <v>2903</v>
      </c>
      <c r="F1228" t="s">
        <v>78</v>
      </c>
      <c r="G1228" t="s">
        <v>88</v>
      </c>
      <c r="H1228" t="b">
        <v>1</v>
      </c>
      <c r="I1228" t="b">
        <v>1</v>
      </c>
      <c r="L1228" t="b">
        <v>1</v>
      </c>
      <c r="M1228" t="s">
        <v>2904</v>
      </c>
    </row>
    <row r="1229" spans="1:25" x14ac:dyDescent="0.2">
      <c r="A1229">
        <v>1486</v>
      </c>
      <c r="B1229" t="s">
        <v>2900</v>
      </c>
      <c r="C1229" t="s">
        <v>18</v>
      </c>
      <c r="D1229" t="s">
        <v>2905</v>
      </c>
      <c r="E1229" t="s">
        <v>2906</v>
      </c>
      <c r="F1229" t="s">
        <v>174</v>
      </c>
      <c r="G1229" t="s">
        <v>17</v>
      </c>
      <c r="H1229" t="b">
        <v>0</v>
      </c>
      <c r="I1229" t="b">
        <v>0</v>
      </c>
      <c r="L1229" t="b">
        <v>0</v>
      </c>
      <c r="M1229" t="s">
        <v>2907</v>
      </c>
      <c r="N1229" t="s">
        <v>2908</v>
      </c>
    </row>
    <row r="1230" spans="1:25" x14ac:dyDescent="0.2">
      <c r="A1230">
        <v>1487</v>
      </c>
      <c r="B1230" t="s">
        <v>2900</v>
      </c>
      <c r="C1230" t="s">
        <v>18</v>
      </c>
      <c r="D1230" t="s">
        <v>2909</v>
      </c>
      <c r="E1230" t="s">
        <v>2910</v>
      </c>
      <c r="F1230" t="s">
        <v>78</v>
      </c>
      <c r="G1230" t="s">
        <v>88</v>
      </c>
      <c r="H1230" t="b">
        <v>0</v>
      </c>
      <c r="I1230" t="b">
        <v>0</v>
      </c>
      <c r="L1230" t="b">
        <v>0</v>
      </c>
      <c r="M1230" t="s">
        <v>2911</v>
      </c>
      <c r="N1230" t="s">
        <v>2912</v>
      </c>
    </row>
    <row r="1231" spans="1:25" x14ac:dyDescent="0.2">
      <c r="A1231">
        <v>1488</v>
      </c>
      <c r="B1231" t="s">
        <v>2900</v>
      </c>
      <c r="C1231" t="s">
        <v>18</v>
      </c>
      <c r="D1231" t="s">
        <v>2913</v>
      </c>
      <c r="E1231" t="s">
        <v>2914</v>
      </c>
      <c r="F1231" t="s">
        <v>248</v>
      </c>
      <c r="G1231" t="s">
        <v>917</v>
      </c>
      <c r="H1231" t="b">
        <v>0</v>
      </c>
      <c r="I1231" t="b">
        <v>0</v>
      </c>
      <c r="L1231" t="b">
        <v>0</v>
      </c>
      <c r="M1231" t="s">
        <v>2915</v>
      </c>
      <c r="N1231" t="s">
        <v>2916</v>
      </c>
    </row>
    <row r="1232" spans="1:25" x14ac:dyDescent="0.2">
      <c r="A1232">
        <v>1489</v>
      </c>
      <c r="B1232" t="s">
        <v>2900</v>
      </c>
      <c r="C1232" t="s">
        <v>18</v>
      </c>
      <c r="D1232" t="s">
        <v>2917</v>
      </c>
      <c r="E1232" t="s">
        <v>2918</v>
      </c>
      <c r="F1232" t="s">
        <v>78</v>
      </c>
      <c r="G1232" t="s">
        <v>88</v>
      </c>
      <c r="H1232" t="b">
        <v>0</v>
      </c>
      <c r="I1232" t="b">
        <v>0</v>
      </c>
      <c r="L1232" t="b">
        <v>0</v>
      </c>
      <c r="M1232" t="s">
        <v>2919</v>
      </c>
      <c r="N1232" t="s">
        <v>2920</v>
      </c>
    </row>
    <row r="1234" spans="1:25" x14ac:dyDescent="0.2">
      <c r="A1234" s="2">
        <v>1491</v>
      </c>
      <c r="B1234" s="2" t="s">
        <v>2921</v>
      </c>
      <c r="C1234" s="2" t="s">
        <v>13</v>
      </c>
      <c r="D1234" s="2" t="s">
        <v>2922</v>
      </c>
      <c r="E1234" s="2" t="s">
        <v>2923</v>
      </c>
      <c r="F1234" s="2" t="s">
        <v>2924</v>
      </c>
      <c r="G1234" s="2" t="s">
        <v>2925</v>
      </c>
      <c r="H1234" s="2"/>
      <c r="I1234" s="2"/>
      <c r="J1234" s="2"/>
      <c r="K1234" s="2"/>
      <c r="L1234" s="2"/>
      <c r="M1234" s="2"/>
      <c r="N1234" s="2"/>
      <c r="O1234" s="2"/>
      <c r="P1234" s="2"/>
      <c r="Q1234" s="2"/>
      <c r="R1234" s="2"/>
      <c r="S1234" s="2"/>
      <c r="T1234" s="2"/>
      <c r="U1234" s="2"/>
      <c r="V1234" s="2"/>
      <c r="W1234" s="2"/>
      <c r="X1234" s="2"/>
      <c r="Y1234" s="2"/>
    </row>
    <row r="1235" spans="1:25" x14ac:dyDescent="0.2">
      <c r="A1235">
        <v>1492</v>
      </c>
      <c r="B1235" t="s">
        <v>2921</v>
      </c>
      <c r="C1235" t="s">
        <v>18</v>
      </c>
      <c r="D1235" t="s">
        <v>2922</v>
      </c>
      <c r="E1235" t="s">
        <v>2923</v>
      </c>
      <c r="F1235" t="s">
        <v>82</v>
      </c>
      <c r="G1235" t="s">
        <v>2925</v>
      </c>
      <c r="H1235" t="b">
        <v>1</v>
      </c>
      <c r="I1235" t="b">
        <v>1</v>
      </c>
      <c r="L1235" t="b">
        <v>1</v>
      </c>
      <c r="M1235" t="s">
        <v>2926</v>
      </c>
      <c r="N1235" t="s">
        <v>745</v>
      </c>
    </row>
    <row r="1236" spans="1:25" x14ac:dyDescent="0.2">
      <c r="A1236">
        <v>1493</v>
      </c>
      <c r="B1236" t="s">
        <v>2921</v>
      </c>
      <c r="C1236" t="s">
        <v>18</v>
      </c>
      <c r="D1236" t="s">
        <v>2927</v>
      </c>
      <c r="E1236" t="s">
        <v>2928</v>
      </c>
      <c r="F1236" t="s">
        <v>82</v>
      </c>
      <c r="G1236" t="s">
        <v>2925</v>
      </c>
      <c r="H1236" t="b">
        <v>0</v>
      </c>
      <c r="I1236" t="b">
        <v>0</v>
      </c>
      <c r="L1236" t="b">
        <v>0</v>
      </c>
    </row>
    <row r="1237" spans="1:25" x14ac:dyDescent="0.2">
      <c r="A1237">
        <v>1494</v>
      </c>
      <c r="B1237" t="s">
        <v>2921</v>
      </c>
      <c r="C1237" t="s">
        <v>18</v>
      </c>
      <c r="D1237" t="s">
        <v>2929</v>
      </c>
      <c r="E1237" t="s">
        <v>982</v>
      </c>
      <c r="F1237" t="s">
        <v>82</v>
      </c>
      <c r="G1237" t="s">
        <v>2925</v>
      </c>
      <c r="H1237" t="b">
        <v>0</v>
      </c>
      <c r="I1237" t="b">
        <v>0</v>
      </c>
      <c r="L1237" t="b">
        <v>0</v>
      </c>
      <c r="M1237" t="s">
        <v>2930</v>
      </c>
    </row>
    <row r="1238" spans="1:25" x14ac:dyDescent="0.2">
      <c r="A1238">
        <v>1495</v>
      </c>
      <c r="B1238" t="s">
        <v>2921</v>
      </c>
      <c r="C1238" t="s">
        <v>18</v>
      </c>
      <c r="D1238" t="s">
        <v>2931</v>
      </c>
      <c r="E1238" t="s">
        <v>2932</v>
      </c>
      <c r="F1238" t="s">
        <v>82</v>
      </c>
      <c r="G1238" t="s">
        <v>2925</v>
      </c>
      <c r="H1238" t="b">
        <v>0</v>
      </c>
      <c r="I1238" t="b">
        <v>0</v>
      </c>
      <c r="L1238" t="b">
        <v>0</v>
      </c>
      <c r="M1238" t="s">
        <v>2933</v>
      </c>
      <c r="N1238" t="s">
        <v>2934</v>
      </c>
    </row>
    <row r="1239" spans="1:25" x14ac:dyDescent="0.2">
      <c r="A1239">
        <v>1496</v>
      </c>
      <c r="B1239" t="s">
        <v>2921</v>
      </c>
      <c r="C1239" t="s">
        <v>18</v>
      </c>
      <c r="D1239" t="s">
        <v>2935</v>
      </c>
      <c r="E1239" t="s">
        <v>2936</v>
      </c>
      <c r="F1239" t="s">
        <v>82</v>
      </c>
      <c r="G1239" t="s">
        <v>2925</v>
      </c>
      <c r="H1239" t="b">
        <v>0</v>
      </c>
      <c r="I1239" t="b">
        <v>0</v>
      </c>
      <c r="L1239" t="b">
        <v>0</v>
      </c>
      <c r="M1239" t="s">
        <v>2937</v>
      </c>
      <c r="N1239" t="s">
        <v>745</v>
      </c>
    </row>
    <row r="1241" spans="1:25" x14ac:dyDescent="0.2">
      <c r="A1241" s="2">
        <v>1498</v>
      </c>
      <c r="B1241" s="2" t="s">
        <v>2938</v>
      </c>
      <c r="C1241" s="2" t="s">
        <v>13</v>
      </c>
      <c r="D1241" s="2" t="s">
        <v>2927</v>
      </c>
      <c r="E1241" s="2" t="s">
        <v>2939</v>
      </c>
      <c r="F1241" s="2" t="s">
        <v>2924</v>
      </c>
      <c r="G1241" s="2" t="s">
        <v>2925</v>
      </c>
      <c r="H1241" s="2"/>
      <c r="I1241" s="2"/>
      <c r="J1241" s="2"/>
      <c r="K1241" s="2"/>
      <c r="L1241" s="2"/>
      <c r="M1241" s="2"/>
      <c r="N1241" s="2"/>
      <c r="O1241" s="2"/>
      <c r="P1241" s="2"/>
      <c r="Q1241" s="2"/>
      <c r="R1241" s="2"/>
      <c r="S1241" s="2"/>
      <c r="T1241" s="2"/>
      <c r="U1241" s="2"/>
      <c r="V1241" s="2"/>
      <c r="W1241" s="2"/>
      <c r="X1241" s="2"/>
      <c r="Y1241" s="2"/>
    </row>
    <row r="1242" spans="1:25" x14ac:dyDescent="0.2">
      <c r="A1242">
        <v>1499</v>
      </c>
      <c r="B1242" t="s">
        <v>2938</v>
      </c>
      <c r="C1242" t="s">
        <v>18</v>
      </c>
      <c r="D1242" t="s">
        <v>2927</v>
      </c>
      <c r="E1242" t="s">
        <v>2928</v>
      </c>
      <c r="F1242" t="s">
        <v>82</v>
      </c>
      <c r="G1242" t="s">
        <v>2925</v>
      </c>
      <c r="H1242" t="b">
        <v>1</v>
      </c>
      <c r="K1242" t="b">
        <v>1</v>
      </c>
      <c r="L1242" t="b">
        <v>1</v>
      </c>
    </row>
    <row r="1243" spans="1:25" x14ac:dyDescent="0.2">
      <c r="A1243">
        <v>1500</v>
      </c>
      <c r="B1243" t="s">
        <v>2938</v>
      </c>
      <c r="C1243" t="s">
        <v>18</v>
      </c>
      <c r="D1243" t="s">
        <v>2922</v>
      </c>
      <c r="E1243" t="s">
        <v>2923</v>
      </c>
      <c r="F1243" t="s">
        <v>82</v>
      </c>
      <c r="G1243" t="s">
        <v>2925</v>
      </c>
      <c r="H1243" t="b">
        <v>0</v>
      </c>
      <c r="K1243" t="b">
        <v>0</v>
      </c>
      <c r="L1243" t="b">
        <v>0</v>
      </c>
      <c r="M1243" t="s">
        <v>2926</v>
      </c>
      <c r="N1243" t="s">
        <v>745</v>
      </c>
    </row>
    <row r="1244" spans="1:25" x14ac:dyDescent="0.2">
      <c r="A1244">
        <v>1501</v>
      </c>
      <c r="B1244" t="s">
        <v>2938</v>
      </c>
      <c r="C1244" t="s">
        <v>18</v>
      </c>
      <c r="D1244" t="s">
        <v>2929</v>
      </c>
      <c r="E1244" t="s">
        <v>982</v>
      </c>
      <c r="F1244" t="s">
        <v>82</v>
      </c>
      <c r="G1244" t="s">
        <v>2925</v>
      </c>
      <c r="H1244" t="b">
        <v>1</v>
      </c>
      <c r="K1244" t="b">
        <v>1</v>
      </c>
      <c r="L1244" t="b">
        <v>1</v>
      </c>
      <c r="M1244" t="s">
        <v>2930</v>
      </c>
    </row>
    <row r="1245" spans="1:25" x14ac:dyDescent="0.2">
      <c r="A1245">
        <v>1502</v>
      </c>
      <c r="B1245" t="s">
        <v>2938</v>
      </c>
      <c r="C1245" t="s">
        <v>18</v>
      </c>
      <c r="D1245" t="s">
        <v>2931</v>
      </c>
      <c r="E1245" t="s">
        <v>2932</v>
      </c>
      <c r="F1245" t="s">
        <v>82</v>
      </c>
      <c r="G1245" t="s">
        <v>2925</v>
      </c>
      <c r="H1245" t="b">
        <v>0</v>
      </c>
      <c r="K1245" t="b">
        <v>0</v>
      </c>
      <c r="L1245" t="b">
        <v>0</v>
      </c>
      <c r="M1245" t="s">
        <v>2933</v>
      </c>
      <c r="N1245" t="s">
        <v>2934</v>
      </c>
    </row>
    <row r="1246" spans="1:25" x14ac:dyDescent="0.2">
      <c r="A1246">
        <v>1503</v>
      </c>
      <c r="B1246" t="s">
        <v>2938</v>
      </c>
      <c r="C1246" t="s">
        <v>18</v>
      </c>
      <c r="D1246" t="s">
        <v>2940</v>
      </c>
      <c r="E1246" t="s">
        <v>2941</v>
      </c>
      <c r="F1246" t="s">
        <v>2924</v>
      </c>
      <c r="G1246" t="s">
        <v>2942</v>
      </c>
      <c r="H1246" t="b">
        <v>0</v>
      </c>
      <c r="K1246" t="b">
        <v>0</v>
      </c>
      <c r="L1246" t="b">
        <v>0</v>
      </c>
      <c r="M1246" t="s">
        <v>2943</v>
      </c>
    </row>
    <row r="1248" spans="1:25" x14ac:dyDescent="0.2">
      <c r="A1248" s="2">
        <v>1505</v>
      </c>
      <c r="B1248" s="2" t="s">
        <v>2944</v>
      </c>
      <c r="C1248" s="2" t="s">
        <v>13</v>
      </c>
      <c r="D1248" s="2" t="s">
        <v>2945</v>
      </c>
      <c r="E1248" s="2" t="s">
        <v>2946</v>
      </c>
      <c r="F1248" s="2" t="s">
        <v>205</v>
      </c>
      <c r="G1248" s="2" t="s">
        <v>345</v>
      </c>
      <c r="H1248" s="2"/>
      <c r="I1248" s="2"/>
      <c r="J1248" s="2"/>
      <c r="K1248" s="2"/>
      <c r="L1248" s="2"/>
      <c r="M1248" s="2"/>
      <c r="N1248" s="2"/>
      <c r="O1248" s="2"/>
      <c r="P1248" s="2"/>
      <c r="Q1248" s="2"/>
      <c r="R1248" s="2"/>
      <c r="S1248" s="2"/>
      <c r="T1248" s="2"/>
      <c r="U1248" s="2"/>
      <c r="V1248" s="2"/>
      <c r="W1248" s="2"/>
      <c r="X1248" s="2"/>
      <c r="Y1248" s="2"/>
    </row>
    <row r="1249" spans="1:25" x14ac:dyDescent="0.2">
      <c r="A1249">
        <v>1506</v>
      </c>
      <c r="B1249" t="s">
        <v>2944</v>
      </c>
      <c r="C1249" t="s">
        <v>18</v>
      </c>
      <c r="D1249" t="s">
        <v>2945</v>
      </c>
      <c r="E1249" t="s">
        <v>2946</v>
      </c>
      <c r="F1249" t="s">
        <v>205</v>
      </c>
      <c r="G1249" t="s">
        <v>345</v>
      </c>
      <c r="H1249" t="b">
        <v>1</v>
      </c>
      <c r="I1249" t="b">
        <v>1</v>
      </c>
      <c r="L1249" t="b">
        <v>1</v>
      </c>
      <c r="M1249" t="s">
        <v>2947</v>
      </c>
      <c r="N1249" t="s">
        <v>2948</v>
      </c>
      <c r="O1249" t="s">
        <v>2949</v>
      </c>
      <c r="P1249" t="s">
        <v>2950</v>
      </c>
    </row>
    <row r="1250" spans="1:25" x14ac:dyDescent="0.2">
      <c r="A1250">
        <v>1507</v>
      </c>
      <c r="B1250" t="s">
        <v>2944</v>
      </c>
      <c r="C1250" t="s">
        <v>18</v>
      </c>
      <c r="D1250" t="s">
        <v>2951</v>
      </c>
      <c r="E1250" t="s">
        <v>935</v>
      </c>
      <c r="F1250" t="s">
        <v>205</v>
      </c>
      <c r="G1250" t="s">
        <v>32</v>
      </c>
      <c r="H1250" t="b">
        <v>1</v>
      </c>
      <c r="I1250" t="b">
        <v>1</v>
      </c>
      <c r="L1250" t="b">
        <v>1</v>
      </c>
    </row>
    <row r="1251" spans="1:25" x14ac:dyDescent="0.2">
      <c r="A1251">
        <v>1508</v>
      </c>
      <c r="B1251" t="s">
        <v>2944</v>
      </c>
      <c r="C1251" t="s">
        <v>18</v>
      </c>
      <c r="D1251" t="s">
        <v>2952</v>
      </c>
      <c r="E1251" t="s">
        <v>2953</v>
      </c>
      <c r="F1251" t="s">
        <v>205</v>
      </c>
      <c r="G1251" t="s">
        <v>2278</v>
      </c>
      <c r="H1251" t="b">
        <v>0</v>
      </c>
      <c r="I1251" t="b">
        <v>0</v>
      </c>
      <c r="L1251" t="b">
        <v>0</v>
      </c>
    </row>
    <row r="1252" spans="1:25" x14ac:dyDescent="0.2">
      <c r="A1252">
        <v>1509</v>
      </c>
      <c r="B1252" t="s">
        <v>2944</v>
      </c>
      <c r="C1252" t="s">
        <v>18</v>
      </c>
      <c r="D1252" t="s">
        <v>2954</v>
      </c>
      <c r="E1252" t="s">
        <v>2955</v>
      </c>
      <c r="F1252" t="s">
        <v>205</v>
      </c>
      <c r="G1252" t="s">
        <v>345</v>
      </c>
      <c r="H1252" t="b">
        <v>0</v>
      </c>
      <c r="I1252" t="b">
        <v>0</v>
      </c>
      <c r="L1252" t="b">
        <v>0</v>
      </c>
      <c r="M1252" t="s">
        <v>2956</v>
      </c>
    </row>
    <row r="1253" spans="1:25" x14ac:dyDescent="0.2">
      <c r="A1253">
        <v>1510</v>
      </c>
      <c r="B1253" t="s">
        <v>2944</v>
      </c>
      <c r="C1253" t="s">
        <v>18</v>
      </c>
      <c r="D1253" t="s">
        <v>2957</v>
      </c>
      <c r="E1253" t="s">
        <v>2958</v>
      </c>
      <c r="F1253" t="s">
        <v>205</v>
      </c>
      <c r="G1253" t="s">
        <v>345</v>
      </c>
      <c r="H1253" t="b">
        <v>0</v>
      </c>
      <c r="I1253" t="b">
        <v>0</v>
      </c>
      <c r="L1253" t="b">
        <v>0</v>
      </c>
      <c r="M1253" t="s">
        <v>2959</v>
      </c>
    </row>
    <row r="1255" spans="1:25" x14ac:dyDescent="0.2">
      <c r="A1255" s="2">
        <v>1519</v>
      </c>
      <c r="B1255" s="2" t="s">
        <v>2960</v>
      </c>
      <c r="C1255" s="2" t="s">
        <v>13</v>
      </c>
      <c r="D1255" s="2" t="s">
        <v>2961</v>
      </c>
      <c r="E1255" s="2" t="s">
        <v>2962</v>
      </c>
      <c r="F1255" s="2" t="s">
        <v>168</v>
      </c>
      <c r="G1255" s="2" t="s">
        <v>24</v>
      </c>
      <c r="H1255" s="2"/>
      <c r="I1255" s="2"/>
      <c r="J1255" s="2"/>
      <c r="K1255" s="2"/>
      <c r="L1255" s="2"/>
      <c r="M1255" s="2"/>
      <c r="N1255" s="2"/>
      <c r="O1255" s="2"/>
      <c r="P1255" s="2"/>
      <c r="Q1255" s="2"/>
      <c r="R1255" s="2"/>
      <c r="S1255" s="2"/>
      <c r="T1255" s="2"/>
      <c r="U1255" s="2"/>
      <c r="V1255" s="2"/>
      <c r="W1255" s="2"/>
      <c r="X1255" s="2"/>
      <c r="Y1255" s="2"/>
    </row>
    <row r="1256" spans="1:25" x14ac:dyDescent="0.2">
      <c r="A1256">
        <v>1520</v>
      </c>
      <c r="B1256" t="s">
        <v>2960</v>
      </c>
      <c r="C1256" t="s">
        <v>18</v>
      </c>
      <c r="D1256" t="s">
        <v>2963</v>
      </c>
      <c r="E1256" t="s">
        <v>2964</v>
      </c>
      <c r="F1256" t="s">
        <v>168</v>
      </c>
      <c r="G1256" t="s">
        <v>252</v>
      </c>
      <c r="H1256" t="b">
        <v>0</v>
      </c>
      <c r="K1256" t="b">
        <v>0</v>
      </c>
      <c r="L1256" t="b">
        <v>0</v>
      </c>
      <c r="M1256" t="s">
        <v>2965</v>
      </c>
      <c r="N1256" t="s">
        <v>2966</v>
      </c>
    </row>
    <row r="1257" spans="1:25" x14ac:dyDescent="0.2">
      <c r="A1257">
        <v>1521</v>
      </c>
      <c r="B1257" t="s">
        <v>2960</v>
      </c>
      <c r="C1257" t="s">
        <v>18</v>
      </c>
      <c r="D1257" t="s">
        <v>2967</v>
      </c>
      <c r="E1257" t="s">
        <v>2968</v>
      </c>
      <c r="F1257" t="s">
        <v>248</v>
      </c>
      <c r="G1257" t="s">
        <v>252</v>
      </c>
      <c r="H1257" t="b">
        <v>0</v>
      </c>
      <c r="K1257" t="b">
        <v>0</v>
      </c>
      <c r="L1257" t="b">
        <v>0</v>
      </c>
      <c r="M1257" t="s">
        <v>2969</v>
      </c>
    </row>
    <row r="1258" spans="1:25" x14ac:dyDescent="0.2">
      <c r="A1258">
        <v>1522</v>
      </c>
      <c r="B1258" t="s">
        <v>2960</v>
      </c>
      <c r="C1258" t="s">
        <v>18</v>
      </c>
      <c r="D1258" t="s">
        <v>2970</v>
      </c>
      <c r="E1258" t="s">
        <v>2971</v>
      </c>
      <c r="F1258" t="s">
        <v>45</v>
      </c>
      <c r="G1258" t="s">
        <v>24</v>
      </c>
      <c r="H1258" t="b">
        <v>0</v>
      </c>
      <c r="K1258" t="b">
        <v>0</v>
      </c>
      <c r="L1258" t="b">
        <v>0</v>
      </c>
    </row>
    <row r="1259" spans="1:25" x14ac:dyDescent="0.2">
      <c r="A1259">
        <v>1523</v>
      </c>
      <c r="B1259" t="s">
        <v>2960</v>
      </c>
      <c r="C1259" t="s">
        <v>18</v>
      </c>
      <c r="D1259" t="s">
        <v>389</v>
      </c>
      <c r="E1259" t="s">
        <v>390</v>
      </c>
      <c r="F1259" t="s">
        <v>78</v>
      </c>
      <c r="G1259" t="s">
        <v>17</v>
      </c>
      <c r="H1259" t="b">
        <v>0</v>
      </c>
      <c r="K1259" t="b">
        <v>0</v>
      </c>
      <c r="L1259" t="b">
        <v>0</v>
      </c>
      <c r="M1259" t="s">
        <v>2972</v>
      </c>
    </row>
    <row r="1260" spans="1:25" x14ac:dyDescent="0.2">
      <c r="A1260">
        <v>1524</v>
      </c>
      <c r="B1260" t="s">
        <v>2960</v>
      </c>
      <c r="C1260" t="s">
        <v>18</v>
      </c>
      <c r="D1260" t="s">
        <v>2973</v>
      </c>
      <c r="E1260" t="s">
        <v>2974</v>
      </c>
      <c r="F1260" t="s">
        <v>248</v>
      </c>
      <c r="G1260" t="s">
        <v>252</v>
      </c>
      <c r="H1260" t="b">
        <v>0</v>
      </c>
      <c r="K1260" t="b">
        <v>0</v>
      </c>
      <c r="L1260" t="b">
        <v>0</v>
      </c>
      <c r="M1260" t="s">
        <v>2975</v>
      </c>
    </row>
    <row r="1262" spans="1:25" x14ac:dyDescent="0.2">
      <c r="A1262" s="2">
        <v>1533</v>
      </c>
      <c r="B1262" s="2" t="s">
        <v>2976</v>
      </c>
      <c r="C1262" s="2" t="s">
        <v>13</v>
      </c>
      <c r="D1262" s="2" t="s">
        <v>2977</v>
      </c>
      <c r="E1262" s="2" t="s">
        <v>2978</v>
      </c>
      <c r="F1262" s="2" t="s">
        <v>78</v>
      </c>
      <c r="G1262" s="2" t="s">
        <v>417</v>
      </c>
      <c r="H1262" s="2"/>
      <c r="I1262" s="2"/>
      <c r="J1262" s="2"/>
      <c r="K1262" s="2"/>
      <c r="L1262" s="2"/>
      <c r="M1262" s="2"/>
      <c r="N1262" s="2"/>
      <c r="O1262" s="2"/>
      <c r="P1262" s="2"/>
      <c r="Q1262" s="2"/>
      <c r="R1262" s="2"/>
      <c r="S1262" s="2"/>
      <c r="T1262" s="2"/>
      <c r="U1262" s="2"/>
      <c r="V1262" s="2"/>
      <c r="W1262" s="2"/>
      <c r="X1262" s="2"/>
      <c r="Y1262" s="2"/>
    </row>
    <row r="1263" spans="1:25" x14ac:dyDescent="0.2">
      <c r="A1263">
        <v>1534</v>
      </c>
      <c r="B1263" t="s">
        <v>2976</v>
      </c>
      <c r="C1263" t="s">
        <v>18</v>
      </c>
      <c r="D1263" t="s">
        <v>2977</v>
      </c>
      <c r="E1263" t="s">
        <v>2978</v>
      </c>
      <c r="F1263" t="s">
        <v>78</v>
      </c>
      <c r="G1263" t="s">
        <v>417</v>
      </c>
      <c r="H1263" t="b">
        <v>1</v>
      </c>
      <c r="K1263" t="b">
        <v>1</v>
      </c>
      <c r="L1263" t="b">
        <v>1</v>
      </c>
      <c r="M1263" t="s">
        <v>2979</v>
      </c>
      <c r="N1263" t="s">
        <v>2980</v>
      </c>
    </row>
    <row r="1264" spans="1:25" x14ac:dyDescent="0.2">
      <c r="A1264">
        <v>1535</v>
      </c>
      <c r="B1264" t="s">
        <v>2976</v>
      </c>
      <c r="C1264" t="s">
        <v>18</v>
      </c>
      <c r="D1264" t="s">
        <v>2981</v>
      </c>
      <c r="E1264" t="s">
        <v>2982</v>
      </c>
      <c r="F1264" t="s">
        <v>78</v>
      </c>
      <c r="G1264" t="s">
        <v>417</v>
      </c>
      <c r="H1264" t="b">
        <v>1</v>
      </c>
      <c r="K1264" t="b">
        <v>1</v>
      </c>
      <c r="L1264" t="b">
        <v>1</v>
      </c>
      <c r="M1264" t="s">
        <v>2983</v>
      </c>
    </row>
    <row r="1265" spans="1:25" x14ac:dyDescent="0.2">
      <c r="A1265">
        <v>1536</v>
      </c>
      <c r="B1265" t="s">
        <v>2976</v>
      </c>
      <c r="C1265" t="s">
        <v>18</v>
      </c>
      <c r="D1265" t="s">
        <v>2984</v>
      </c>
      <c r="E1265" t="s">
        <v>2985</v>
      </c>
      <c r="F1265" t="s">
        <v>78</v>
      </c>
      <c r="G1265" t="s">
        <v>417</v>
      </c>
      <c r="H1265" t="b">
        <v>0</v>
      </c>
      <c r="K1265" t="b">
        <v>0</v>
      </c>
      <c r="L1265" t="b">
        <v>0</v>
      </c>
      <c r="M1265" t="s">
        <v>2986</v>
      </c>
      <c r="N1265" t="s">
        <v>2987</v>
      </c>
    </row>
    <row r="1266" spans="1:25" x14ac:dyDescent="0.2">
      <c r="A1266">
        <v>1537</v>
      </c>
      <c r="B1266" t="s">
        <v>2976</v>
      </c>
      <c r="C1266" t="s">
        <v>18</v>
      </c>
      <c r="D1266" t="s">
        <v>2988</v>
      </c>
      <c r="E1266" t="s">
        <v>2989</v>
      </c>
      <c r="F1266" t="s">
        <v>78</v>
      </c>
      <c r="G1266" t="s">
        <v>417</v>
      </c>
      <c r="H1266" t="b">
        <v>0</v>
      </c>
      <c r="K1266" t="b">
        <v>0</v>
      </c>
      <c r="L1266" t="b">
        <v>0</v>
      </c>
      <c r="M1266" t="s">
        <v>2990</v>
      </c>
    </row>
    <row r="1267" spans="1:25" x14ac:dyDescent="0.2">
      <c r="A1267">
        <v>1538</v>
      </c>
      <c r="B1267" t="s">
        <v>2976</v>
      </c>
      <c r="C1267" t="s">
        <v>18</v>
      </c>
      <c r="D1267" t="s">
        <v>2991</v>
      </c>
      <c r="E1267" t="s">
        <v>2992</v>
      </c>
      <c r="F1267" t="s">
        <v>78</v>
      </c>
      <c r="G1267" t="s">
        <v>1290</v>
      </c>
      <c r="H1267" t="b">
        <v>0</v>
      </c>
      <c r="K1267" t="b">
        <v>0</v>
      </c>
      <c r="L1267" t="b">
        <v>0</v>
      </c>
    </row>
    <row r="1269" spans="1:25" x14ac:dyDescent="0.2">
      <c r="A1269" s="2">
        <v>154</v>
      </c>
      <c r="B1269" s="2" t="s">
        <v>2993</v>
      </c>
      <c r="C1269" s="2" t="s">
        <v>13</v>
      </c>
      <c r="D1269" s="2" t="s">
        <v>2994</v>
      </c>
      <c r="E1269" s="2" t="s">
        <v>2995</v>
      </c>
      <c r="F1269" s="2" t="s">
        <v>78</v>
      </c>
      <c r="G1269" s="2" t="s">
        <v>24</v>
      </c>
      <c r="H1269" s="2"/>
      <c r="I1269" s="2"/>
      <c r="J1269" s="2"/>
      <c r="K1269" s="2"/>
      <c r="L1269" s="2"/>
      <c r="M1269" s="2"/>
      <c r="N1269" s="2"/>
      <c r="O1269" s="2"/>
      <c r="P1269" s="2"/>
      <c r="Q1269" s="2"/>
      <c r="R1269" s="2"/>
      <c r="S1269" s="2"/>
      <c r="T1269" s="2"/>
      <c r="U1269" s="2"/>
      <c r="V1269" s="2"/>
      <c r="W1269" s="2"/>
      <c r="X1269" s="2"/>
      <c r="Y1269" s="2"/>
    </row>
    <row r="1270" spans="1:25" x14ac:dyDescent="0.2">
      <c r="A1270">
        <v>155</v>
      </c>
      <c r="B1270" t="s">
        <v>2993</v>
      </c>
      <c r="C1270" t="s">
        <v>18</v>
      </c>
      <c r="D1270" t="s">
        <v>2996</v>
      </c>
      <c r="E1270" t="s">
        <v>1859</v>
      </c>
      <c r="F1270" t="s">
        <v>78</v>
      </c>
      <c r="G1270" t="s">
        <v>24</v>
      </c>
      <c r="H1270" t="b">
        <v>1</v>
      </c>
      <c r="K1270" t="b">
        <v>1</v>
      </c>
      <c r="L1270" t="b">
        <v>1</v>
      </c>
      <c r="M1270" t="s">
        <v>2997</v>
      </c>
      <c r="N1270" t="s">
        <v>2998</v>
      </c>
    </row>
    <row r="1271" spans="1:25" x14ac:dyDescent="0.2">
      <c r="A1271">
        <v>156</v>
      </c>
      <c r="B1271" t="s">
        <v>2993</v>
      </c>
      <c r="C1271" t="s">
        <v>18</v>
      </c>
      <c r="D1271" t="s">
        <v>2999</v>
      </c>
      <c r="E1271" t="s">
        <v>3000</v>
      </c>
      <c r="F1271" t="s">
        <v>78</v>
      </c>
      <c r="G1271" t="s">
        <v>24</v>
      </c>
      <c r="H1271" t="b">
        <v>1</v>
      </c>
      <c r="K1271" t="b">
        <v>1</v>
      </c>
      <c r="L1271" t="b">
        <v>1</v>
      </c>
      <c r="M1271" t="s">
        <v>3001</v>
      </c>
    </row>
    <row r="1272" spans="1:25" x14ac:dyDescent="0.2">
      <c r="A1272">
        <v>157</v>
      </c>
      <c r="B1272" t="s">
        <v>2993</v>
      </c>
      <c r="C1272" t="s">
        <v>18</v>
      </c>
      <c r="D1272" t="s">
        <v>3002</v>
      </c>
      <c r="E1272" t="s">
        <v>1721</v>
      </c>
      <c r="F1272" t="s">
        <v>78</v>
      </c>
      <c r="G1272" t="s">
        <v>24</v>
      </c>
      <c r="H1272" t="b">
        <v>0</v>
      </c>
      <c r="K1272" t="b">
        <v>0</v>
      </c>
      <c r="L1272" t="b">
        <v>0</v>
      </c>
      <c r="M1272" t="s">
        <v>3003</v>
      </c>
      <c r="N1272" t="s">
        <v>3004</v>
      </c>
    </row>
    <row r="1273" spans="1:25" x14ac:dyDescent="0.2">
      <c r="A1273">
        <v>158</v>
      </c>
      <c r="B1273" t="s">
        <v>2993</v>
      </c>
      <c r="C1273" t="s">
        <v>18</v>
      </c>
      <c r="D1273" t="s">
        <v>1052</v>
      </c>
      <c r="E1273" t="s">
        <v>1053</v>
      </c>
      <c r="F1273" t="s">
        <v>596</v>
      </c>
      <c r="G1273" t="s">
        <v>201</v>
      </c>
      <c r="H1273" t="b">
        <v>0</v>
      </c>
      <c r="K1273" t="b">
        <v>0</v>
      </c>
      <c r="L1273" t="b">
        <v>0</v>
      </c>
      <c r="M1273" t="s">
        <v>1054</v>
      </c>
      <c r="N1273" t="s">
        <v>1055</v>
      </c>
    </row>
    <row r="1274" spans="1:25" x14ac:dyDescent="0.2">
      <c r="A1274">
        <v>159</v>
      </c>
      <c r="B1274" t="s">
        <v>2993</v>
      </c>
      <c r="C1274" t="s">
        <v>18</v>
      </c>
      <c r="D1274" t="s">
        <v>3005</v>
      </c>
      <c r="E1274" t="s">
        <v>3006</v>
      </c>
      <c r="F1274" t="s">
        <v>122</v>
      </c>
      <c r="G1274" t="s">
        <v>17</v>
      </c>
      <c r="H1274" t="b">
        <v>0</v>
      </c>
      <c r="K1274" t="b">
        <v>0</v>
      </c>
      <c r="L1274" t="b">
        <v>0</v>
      </c>
      <c r="M1274" t="s">
        <v>3007</v>
      </c>
    </row>
    <row r="1276" spans="1:25" x14ac:dyDescent="0.2">
      <c r="A1276" s="2">
        <v>1540</v>
      </c>
      <c r="B1276" s="2" t="s">
        <v>3008</v>
      </c>
      <c r="C1276" s="2" t="s">
        <v>13</v>
      </c>
      <c r="D1276" s="2" t="s">
        <v>3009</v>
      </c>
      <c r="E1276" s="2" t="s">
        <v>3010</v>
      </c>
      <c r="F1276" s="2" t="s">
        <v>451</v>
      </c>
      <c r="G1276" s="2" t="s">
        <v>101</v>
      </c>
      <c r="H1276" s="2"/>
      <c r="I1276" s="2"/>
      <c r="J1276" s="2"/>
      <c r="K1276" s="2"/>
      <c r="L1276" s="2"/>
      <c r="M1276" s="2"/>
      <c r="N1276" s="2"/>
      <c r="O1276" s="2"/>
      <c r="P1276" s="2"/>
      <c r="Q1276" s="2"/>
      <c r="R1276" s="2"/>
      <c r="S1276" s="2"/>
      <c r="T1276" s="2"/>
      <c r="U1276" s="2"/>
      <c r="V1276" s="2"/>
      <c r="W1276" s="2"/>
      <c r="X1276" s="2"/>
      <c r="Y1276" s="2"/>
    </row>
    <row r="1277" spans="1:25" x14ac:dyDescent="0.2">
      <c r="A1277">
        <v>1541</v>
      </c>
      <c r="B1277" t="s">
        <v>3008</v>
      </c>
      <c r="C1277" t="s">
        <v>18</v>
      </c>
      <c r="D1277" t="s">
        <v>3009</v>
      </c>
      <c r="E1277" t="s">
        <v>3010</v>
      </c>
      <c r="F1277" t="s">
        <v>1837</v>
      </c>
      <c r="G1277" t="s">
        <v>101</v>
      </c>
      <c r="H1277" t="b">
        <v>1</v>
      </c>
      <c r="I1277" t="b">
        <v>1</v>
      </c>
      <c r="L1277" t="b">
        <v>1</v>
      </c>
    </row>
    <row r="1278" spans="1:25" x14ac:dyDescent="0.2">
      <c r="A1278">
        <v>1542</v>
      </c>
      <c r="B1278" t="s">
        <v>3008</v>
      </c>
      <c r="C1278" t="s">
        <v>18</v>
      </c>
      <c r="D1278" t="s">
        <v>3011</v>
      </c>
      <c r="E1278" t="s">
        <v>3012</v>
      </c>
      <c r="F1278" t="s">
        <v>159</v>
      </c>
      <c r="G1278" t="s">
        <v>101</v>
      </c>
      <c r="H1278" t="b">
        <v>0</v>
      </c>
      <c r="I1278" t="b">
        <v>0</v>
      </c>
      <c r="L1278" t="b">
        <v>0</v>
      </c>
      <c r="M1278" t="s">
        <v>3013</v>
      </c>
    </row>
    <row r="1279" spans="1:25" x14ac:dyDescent="0.2">
      <c r="A1279">
        <v>1543</v>
      </c>
      <c r="B1279" t="s">
        <v>3008</v>
      </c>
      <c r="C1279" t="s">
        <v>18</v>
      </c>
      <c r="D1279" t="s">
        <v>3014</v>
      </c>
      <c r="E1279" t="s">
        <v>3015</v>
      </c>
      <c r="F1279" t="s">
        <v>159</v>
      </c>
      <c r="G1279" t="s">
        <v>101</v>
      </c>
      <c r="H1279" t="b">
        <v>0</v>
      </c>
      <c r="I1279" t="b">
        <v>0</v>
      </c>
      <c r="L1279" t="b">
        <v>0</v>
      </c>
      <c r="M1279" t="s">
        <v>3016</v>
      </c>
    </row>
    <row r="1280" spans="1:25" x14ac:dyDescent="0.2">
      <c r="A1280">
        <v>1544</v>
      </c>
      <c r="B1280" t="s">
        <v>3008</v>
      </c>
      <c r="C1280" t="s">
        <v>18</v>
      </c>
      <c r="D1280" t="s">
        <v>3017</v>
      </c>
      <c r="E1280" t="s">
        <v>3018</v>
      </c>
      <c r="F1280" t="s">
        <v>71</v>
      </c>
      <c r="G1280" t="s">
        <v>101</v>
      </c>
      <c r="H1280" t="b">
        <v>0</v>
      </c>
      <c r="I1280" t="b">
        <v>0</v>
      </c>
      <c r="L1280" t="b">
        <v>0</v>
      </c>
      <c r="M1280" t="s">
        <v>3019</v>
      </c>
    </row>
    <row r="1281" spans="1:25" x14ac:dyDescent="0.2">
      <c r="A1281">
        <v>1545</v>
      </c>
      <c r="B1281" t="s">
        <v>3008</v>
      </c>
      <c r="C1281" t="s">
        <v>18</v>
      </c>
      <c r="D1281" t="s">
        <v>3020</v>
      </c>
      <c r="E1281" t="s">
        <v>3021</v>
      </c>
      <c r="F1281" t="s">
        <v>82</v>
      </c>
      <c r="G1281" t="s">
        <v>101</v>
      </c>
      <c r="H1281" t="b">
        <v>0</v>
      </c>
      <c r="I1281" t="b">
        <v>0</v>
      </c>
      <c r="L1281" t="b">
        <v>0</v>
      </c>
      <c r="M1281" t="s">
        <v>3022</v>
      </c>
      <c r="N1281" t="s">
        <v>3023</v>
      </c>
    </row>
    <row r="1283" spans="1:25" x14ac:dyDescent="0.2">
      <c r="A1283" s="2">
        <v>1561</v>
      </c>
      <c r="B1283" s="2" t="s">
        <v>3024</v>
      </c>
      <c r="C1283" s="2" t="s">
        <v>13</v>
      </c>
      <c r="D1283" s="2" t="s">
        <v>2701</v>
      </c>
      <c r="E1283" s="2" t="s">
        <v>3025</v>
      </c>
      <c r="F1283" s="2" t="s">
        <v>420</v>
      </c>
      <c r="G1283" s="2" t="s">
        <v>62</v>
      </c>
      <c r="H1283" s="2"/>
      <c r="I1283" s="2"/>
      <c r="J1283" s="2"/>
      <c r="K1283" s="2"/>
      <c r="L1283" s="2"/>
      <c r="M1283" s="2"/>
      <c r="N1283" s="2"/>
      <c r="O1283" s="2"/>
      <c r="P1283" s="2"/>
      <c r="Q1283" s="2"/>
      <c r="R1283" s="2"/>
      <c r="S1283" s="2"/>
      <c r="T1283" s="2"/>
      <c r="U1283" s="2"/>
      <c r="V1283" s="2"/>
      <c r="W1283" s="2"/>
      <c r="X1283" s="2"/>
      <c r="Y1283" s="2"/>
    </row>
    <row r="1284" spans="1:25" x14ac:dyDescent="0.2">
      <c r="A1284">
        <v>1562</v>
      </c>
      <c r="B1284" t="s">
        <v>3024</v>
      </c>
      <c r="C1284" t="s">
        <v>18</v>
      </c>
      <c r="D1284" t="s">
        <v>2701</v>
      </c>
      <c r="E1284" t="s">
        <v>2702</v>
      </c>
      <c r="F1284" t="s">
        <v>420</v>
      </c>
      <c r="G1284" t="s">
        <v>62</v>
      </c>
      <c r="H1284" t="b">
        <v>1</v>
      </c>
      <c r="I1284" t="b">
        <v>1</v>
      </c>
      <c r="L1284" t="b">
        <v>1</v>
      </c>
      <c r="M1284" t="s">
        <v>2703</v>
      </c>
    </row>
    <row r="1285" spans="1:25" x14ac:dyDescent="0.2">
      <c r="A1285">
        <v>1563</v>
      </c>
      <c r="B1285" t="s">
        <v>3024</v>
      </c>
      <c r="C1285" t="s">
        <v>18</v>
      </c>
      <c r="D1285" t="s">
        <v>3026</v>
      </c>
      <c r="E1285" t="s">
        <v>3027</v>
      </c>
      <c r="F1285" t="s">
        <v>420</v>
      </c>
      <c r="G1285" t="s">
        <v>62</v>
      </c>
      <c r="H1285" t="b">
        <v>0</v>
      </c>
      <c r="I1285" t="b">
        <v>0</v>
      </c>
      <c r="L1285" t="b">
        <v>0</v>
      </c>
    </row>
    <row r="1286" spans="1:25" x14ac:dyDescent="0.2">
      <c r="A1286">
        <v>1564</v>
      </c>
      <c r="B1286" t="s">
        <v>3024</v>
      </c>
      <c r="C1286" t="s">
        <v>18</v>
      </c>
      <c r="D1286" t="s">
        <v>3028</v>
      </c>
      <c r="E1286" t="s">
        <v>3029</v>
      </c>
      <c r="F1286" t="s">
        <v>2451</v>
      </c>
      <c r="G1286" t="s">
        <v>62</v>
      </c>
      <c r="H1286" t="b">
        <v>0</v>
      </c>
      <c r="I1286" t="b">
        <v>0</v>
      </c>
      <c r="L1286" t="b">
        <v>0</v>
      </c>
      <c r="M1286" t="s">
        <v>3030</v>
      </c>
    </row>
    <row r="1287" spans="1:25" x14ac:dyDescent="0.2">
      <c r="A1287">
        <v>1565</v>
      </c>
      <c r="B1287" t="s">
        <v>3024</v>
      </c>
      <c r="C1287" t="s">
        <v>18</v>
      </c>
      <c r="D1287" t="s">
        <v>3031</v>
      </c>
      <c r="E1287" t="s">
        <v>3032</v>
      </c>
      <c r="F1287" t="s">
        <v>2451</v>
      </c>
      <c r="G1287" t="s">
        <v>62</v>
      </c>
      <c r="H1287" t="b">
        <v>0</v>
      </c>
      <c r="I1287" t="b">
        <v>0</v>
      </c>
      <c r="L1287" t="b">
        <v>0</v>
      </c>
      <c r="M1287" t="s">
        <v>3033</v>
      </c>
    </row>
    <row r="1288" spans="1:25" x14ac:dyDescent="0.2">
      <c r="A1288">
        <v>1566</v>
      </c>
      <c r="B1288" t="s">
        <v>3024</v>
      </c>
      <c r="C1288" t="s">
        <v>18</v>
      </c>
      <c r="D1288" t="s">
        <v>3034</v>
      </c>
      <c r="E1288" t="s">
        <v>3035</v>
      </c>
      <c r="F1288" t="s">
        <v>420</v>
      </c>
      <c r="G1288" t="s">
        <v>62</v>
      </c>
      <c r="H1288" t="b">
        <v>1</v>
      </c>
      <c r="I1288" t="b">
        <v>1</v>
      </c>
      <c r="L1288" t="b">
        <v>1</v>
      </c>
      <c r="M1288" t="s">
        <v>3036</v>
      </c>
    </row>
    <row r="1290" spans="1:25" x14ac:dyDescent="0.2">
      <c r="A1290" s="2">
        <v>1575</v>
      </c>
      <c r="B1290" s="2" t="s">
        <v>3037</v>
      </c>
      <c r="C1290" s="2" t="s">
        <v>13</v>
      </c>
      <c r="D1290" s="2" t="s">
        <v>3038</v>
      </c>
      <c r="E1290" s="2" t="s">
        <v>3039</v>
      </c>
      <c r="F1290" s="2" t="s">
        <v>369</v>
      </c>
      <c r="G1290" s="2" t="s">
        <v>17</v>
      </c>
      <c r="H1290" s="2"/>
      <c r="I1290" s="2"/>
      <c r="J1290" s="2"/>
      <c r="K1290" s="2"/>
      <c r="L1290" s="2"/>
      <c r="M1290" s="2"/>
      <c r="N1290" s="2"/>
      <c r="O1290" s="2"/>
      <c r="P1290" s="2"/>
      <c r="Q1290" s="2"/>
      <c r="R1290" s="2"/>
      <c r="S1290" s="2"/>
      <c r="T1290" s="2"/>
      <c r="U1290" s="2"/>
      <c r="V1290" s="2"/>
      <c r="W1290" s="2"/>
      <c r="X1290" s="2"/>
      <c r="Y1290" s="2"/>
    </row>
    <row r="1291" spans="1:25" x14ac:dyDescent="0.2">
      <c r="A1291">
        <v>1576</v>
      </c>
      <c r="B1291" t="s">
        <v>3037</v>
      </c>
      <c r="C1291" t="s">
        <v>18</v>
      </c>
      <c r="D1291" t="s">
        <v>3038</v>
      </c>
      <c r="E1291" t="s">
        <v>3039</v>
      </c>
      <c r="F1291" t="s">
        <v>369</v>
      </c>
      <c r="G1291" t="s">
        <v>17</v>
      </c>
      <c r="H1291" t="b">
        <v>1</v>
      </c>
      <c r="I1291" t="b">
        <v>1</v>
      </c>
      <c r="L1291" t="b">
        <v>1</v>
      </c>
      <c r="M1291" t="s">
        <v>3040</v>
      </c>
      <c r="N1291" t="s">
        <v>3041</v>
      </c>
      <c r="O1291" t="s">
        <v>3042</v>
      </c>
    </row>
    <row r="1292" spans="1:25" x14ac:dyDescent="0.2">
      <c r="A1292">
        <v>1577</v>
      </c>
      <c r="B1292" t="s">
        <v>3037</v>
      </c>
      <c r="C1292" t="s">
        <v>18</v>
      </c>
      <c r="D1292" t="s">
        <v>547</v>
      </c>
      <c r="E1292" t="s">
        <v>548</v>
      </c>
      <c r="F1292" t="s">
        <v>78</v>
      </c>
      <c r="G1292" t="s">
        <v>17</v>
      </c>
      <c r="H1292" t="b">
        <v>0</v>
      </c>
      <c r="I1292" t="b">
        <v>0</v>
      </c>
      <c r="L1292" t="b">
        <v>0</v>
      </c>
      <c r="M1292" t="s">
        <v>549</v>
      </c>
      <c r="N1292" t="s">
        <v>550</v>
      </c>
      <c r="O1292" t="s">
        <v>551</v>
      </c>
    </row>
    <row r="1293" spans="1:25" x14ac:dyDescent="0.2">
      <c r="A1293">
        <v>1578</v>
      </c>
      <c r="B1293" t="s">
        <v>3037</v>
      </c>
      <c r="C1293" t="s">
        <v>18</v>
      </c>
      <c r="D1293" t="s">
        <v>555</v>
      </c>
      <c r="E1293" t="s">
        <v>556</v>
      </c>
      <c r="F1293" t="s">
        <v>78</v>
      </c>
      <c r="G1293" t="s">
        <v>17</v>
      </c>
      <c r="H1293" t="b">
        <v>0</v>
      </c>
      <c r="I1293" t="b">
        <v>0</v>
      </c>
      <c r="L1293" t="b">
        <v>0</v>
      </c>
      <c r="M1293" t="s">
        <v>557</v>
      </c>
    </row>
    <row r="1294" spans="1:25" x14ac:dyDescent="0.2">
      <c r="A1294">
        <v>1579</v>
      </c>
      <c r="B1294" t="s">
        <v>3037</v>
      </c>
      <c r="C1294" t="s">
        <v>18</v>
      </c>
      <c r="D1294" t="s">
        <v>552</v>
      </c>
      <c r="E1294" t="s">
        <v>553</v>
      </c>
      <c r="F1294" t="s">
        <v>174</v>
      </c>
      <c r="G1294" t="s">
        <v>17</v>
      </c>
      <c r="H1294" t="b">
        <v>0</v>
      </c>
      <c r="I1294" t="b">
        <v>0</v>
      </c>
      <c r="L1294" t="b">
        <v>0</v>
      </c>
      <c r="M1294" t="s">
        <v>554</v>
      </c>
    </row>
    <row r="1295" spans="1:25" x14ac:dyDescent="0.2">
      <c r="A1295">
        <v>1580</v>
      </c>
      <c r="B1295" t="s">
        <v>3037</v>
      </c>
      <c r="C1295" t="s">
        <v>18</v>
      </c>
      <c r="D1295" t="s">
        <v>1368</v>
      </c>
      <c r="E1295" t="s">
        <v>1369</v>
      </c>
      <c r="F1295" t="s">
        <v>174</v>
      </c>
      <c r="G1295" t="s">
        <v>17</v>
      </c>
      <c r="H1295" t="b">
        <v>0</v>
      </c>
      <c r="I1295" t="b">
        <v>0</v>
      </c>
      <c r="L1295" t="b">
        <v>0</v>
      </c>
      <c r="M1295" t="s">
        <v>1370</v>
      </c>
      <c r="N1295" t="s">
        <v>1371</v>
      </c>
      <c r="O1295" t="s">
        <v>745</v>
      </c>
    </row>
    <row r="1297" spans="1:25" x14ac:dyDescent="0.2">
      <c r="A1297" s="2">
        <v>1589</v>
      </c>
      <c r="B1297" s="2" t="s">
        <v>3043</v>
      </c>
      <c r="C1297" s="2" t="s">
        <v>13</v>
      </c>
      <c r="D1297" s="2" t="s">
        <v>1674</v>
      </c>
      <c r="E1297" s="2" t="s">
        <v>3044</v>
      </c>
      <c r="F1297" s="2" t="s">
        <v>1077</v>
      </c>
      <c r="G1297" s="2" t="s">
        <v>252</v>
      </c>
      <c r="H1297" s="2"/>
      <c r="I1297" s="2"/>
      <c r="J1297" s="2"/>
      <c r="K1297" s="2"/>
      <c r="L1297" s="2"/>
      <c r="M1297" s="2"/>
      <c r="N1297" s="2"/>
      <c r="O1297" s="2"/>
      <c r="P1297" s="2"/>
      <c r="Q1297" s="2"/>
      <c r="R1297" s="2"/>
      <c r="S1297" s="2"/>
      <c r="T1297" s="2"/>
      <c r="U1297" s="2"/>
      <c r="V1297" s="2"/>
      <c r="W1297" s="2"/>
      <c r="X1297" s="2"/>
      <c r="Y1297" s="2"/>
    </row>
    <row r="1298" spans="1:25" x14ac:dyDescent="0.2">
      <c r="A1298">
        <v>1590</v>
      </c>
      <c r="B1298" t="s">
        <v>3043</v>
      </c>
      <c r="C1298" t="s">
        <v>18</v>
      </c>
      <c r="D1298" t="s">
        <v>1674</v>
      </c>
      <c r="E1298" t="s">
        <v>323</v>
      </c>
      <c r="F1298" t="s">
        <v>1077</v>
      </c>
      <c r="G1298" t="s">
        <v>252</v>
      </c>
      <c r="H1298" t="b">
        <v>1</v>
      </c>
      <c r="K1298" t="b">
        <v>1</v>
      </c>
      <c r="L1298" t="b">
        <v>1</v>
      </c>
      <c r="M1298" t="s">
        <v>1675</v>
      </c>
    </row>
    <row r="1299" spans="1:25" x14ac:dyDescent="0.2">
      <c r="A1299">
        <v>1591</v>
      </c>
      <c r="B1299" t="s">
        <v>3043</v>
      </c>
      <c r="C1299" t="s">
        <v>18</v>
      </c>
      <c r="D1299" t="s">
        <v>3045</v>
      </c>
      <c r="E1299" t="s">
        <v>2267</v>
      </c>
      <c r="F1299" t="s">
        <v>1077</v>
      </c>
      <c r="G1299" t="s">
        <v>252</v>
      </c>
      <c r="H1299" t="b">
        <v>0</v>
      </c>
      <c r="K1299" t="b">
        <v>0</v>
      </c>
      <c r="L1299" t="b">
        <v>0</v>
      </c>
      <c r="M1299" t="s">
        <v>3046</v>
      </c>
      <c r="N1299" t="s">
        <v>3047</v>
      </c>
    </row>
    <row r="1300" spans="1:25" x14ac:dyDescent="0.2">
      <c r="A1300">
        <v>1592</v>
      </c>
      <c r="B1300" t="s">
        <v>3043</v>
      </c>
      <c r="C1300" t="s">
        <v>18</v>
      </c>
      <c r="D1300" t="s">
        <v>3048</v>
      </c>
      <c r="E1300" t="s">
        <v>3049</v>
      </c>
      <c r="F1300" t="s">
        <v>144</v>
      </c>
      <c r="G1300" t="s">
        <v>252</v>
      </c>
      <c r="H1300" t="b">
        <v>0</v>
      </c>
      <c r="K1300" t="b">
        <v>0</v>
      </c>
      <c r="L1300" t="b">
        <v>0</v>
      </c>
      <c r="M1300" t="s">
        <v>3050</v>
      </c>
      <c r="N1300" t="s">
        <v>3051</v>
      </c>
    </row>
    <row r="1301" spans="1:25" x14ac:dyDescent="0.2">
      <c r="A1301">
        <v>1593</v>
      </c>
      <c r="B1301" t="s">
        <v>3043</v>
      </c>
      <c r="C1301" t="s">
        <v>18</v>
      </c>
      <c r="D1301" t="s">
        <v>3052</v>
      </c>
      <c r="E1301" t="s">
        <v>3053</v>
      </c>
      <c r="F1301" t="s">
        <v>144</v>
      </c>
      <c r="G1301" t="s">
        <v>252</v>
      </c>
      <c r="H1301" t="b">
        <v>0</v>
      </c>
      <c r="K1301" t="b">
        <v>0</v>
      </c>
      <c r="L1301" t="b">
        <v>0</v>
      </c>
      <c r="M1301" t="s">
        <v>3054</v>
      </c>
    </row>
    <row r="1302" spans="1:25" x14ac:dyDescent="0.2">
      <c r="A1302">
        <v>1594</v>
      </c>
      <c r="B1302" t="s">
        <v>3043</v>
      </c>
      <c r="C1302" t="s">
        <v>18</v>
      </c>
      <c r="D1302" t="s">
        <v>1676</v>
      </c>
      <c r="E1302" t="s">
        <v>1677</v>
      </c>
      <c r="F1302" t="s">
        <v>316</v>
      </c>
      <c r="G1302" t="s">
        <v>252</v>
      </c>
      <c r="H1302" t="b">
        <v>0</v>
      </c>
      <c r="K1302" t="b">
        <v>0</v>
      </c>
      <c r="L1302" t="b">
        <v>0</v>
      </c>
      <c r="M1302" t="s">
        <v>1678</v>
      </c>
    </row>
    <row r="1304" spans="1:25" x14ac:dyDescent="0.2">
      <c r="A1304" s="2">
        <v>1603</v>
      </c>
      <c r="B1304" s="2" t="s">
        <v>3055</v>
      </c>
      <c r="C1304" s="2" t="s">
        <v>13</v>
      </c>
      <c r="D1304" s="2" t="s">
        <v>3056</v>
      </c>
      <c r="E1304" s="2" t="s">
        <v>3057</v>
      </c>
      <c r="F1304" s="2" t="s">
        <v>574</v>
      </c>
      <c r="G1304" s="2" t="s">
        <v>193</v>
      </c>
      <c r="H1304" s="2"/>
      <c r="I1304" s="2"/>
      <c r="J1304" s="2"/>
      <c r="K1304" s="2"/>
      <c r="L1304" s="2"/>
      <c r="M1304" s="2"/>
      <c r="N1304" s="2"/>
      <c r="O1304" s="2"/>
      <c r="P1304" s="2"/>
      <c r="Q1304" s="2"/>
      <c r="R1304" s="2"/>
      <c r="S1304" s="2"/>
      <c r="T1304" s="2"/>
      <c r="U1304" s="2"/>
      <c r="V1304" s="2"/>
      <c r="W1304" s="2"/>
      <c r="X1304" s="2"/>
      <c r="Y1304" s="2"/>
    </row>
    <row r="1305" spans="1:25" x14ac:dyDescent="0.2">
      <c r="A1305">
        <v>1604</v>
      </c>
      <c r="B1305" t="s">
        <v>3055</v>
      </c>
      <c r="C1305" t="s">
        <v>18</v>
      </c>
      <c r="D1305" t="s">
        <v>3056</v>
      </c>
      <c r="E1305" t="s">
        <v>3058</v>
      </c>
      <c r="F1305" t="s">
        <v>574</v>
      </c>
      <c r="G1305" t="s">
        <v>193</v>
      </c>
      <c r="H1305" t="b">
        <v>1</v>
      </c>
      <c r="K1305" t="b">
        <v>1</v>
      </c>
      <c r="L1305" t="b">
        <v>1</v>
      </c>
      <c r="M1305" t="s">
        <v>3059</v>
      </c>
      <c r="N1305" t="s">
        <v>3060</v>
      </c>
    </row>
    <row r="1306" spans="1:25" x14ac:dyDescent="0.2">
      <c r="A1306">
        <v>1605</v>
      </c>
      <c r="B1306" t="s">
        <v>3055</v>
      </c>
      <c r="C1306" t="s">
        <v>18</v>
      </c>
      <c r="D1306" t="s">
        <v>3061</v>
      </c>
      <c r="E1306" t="s">
        <v>3062</v>
      </c>
      <c r="F1306" t="s">
        <v>574</v>
      </c>
      <c r="G1306" t="s">
        <v>193</v>
      </c>
      <c r="H1306" t="b">
        <v>1</v>
      </c>
      <c r="K1306" t="b">
        <v>1</v>
      </c>
      <c r="L1306" t="b">
        <v>1</v>
      </c>
      <c r="M1306" t="s">
        <v>3063</v>
      </c>
    </row>
    <row r="1307" spans="1:25" x14ac:dyDescent="0.2">
      <c r="A1307">
        <v>1606</v>
      </c>
      <c r="B1307" t="s">
        <v>3055</v>
      </c>
      <c r="C1307" t="s">
        <v>18</v>
      </c>
      <c r="D1307" t="s">
        <v>3064</v>
      </c>
      <c r="E1307" t="s">
        <v>3065</v>
      </c>
      <c r="F1307" t="s">
        <v>574</v>
      </c>
      <c r="G1307" t="s">
        <v>1406</v>
      </c>
      <c r="H1307" t="b">
        <v>0</v>
      </c>
      <c r="K1307" t="b">
        <v>0</v>
      </c>
      <c r="L1307" t="b">
        <v>0</v>
      </c>
    </row>
    <row r="1308" spans="1:25" x14ac:dyDescent="0.2">
      <c r="A1308">
        <v>1607</v>
      </c>
      <c r="B1308" t="s">
        <v>3055</v>
      </c>
      <c r="C1308" t="s">
        <v>18</v>
      </c>
      <c r="D1308" t="s">
        <v>3066</v>
      </c>
      <c r="E1308" t="s">
        <v>3067</v>
      </c>
      <c r="F1308" t="s">
        <v>574</v>
      </c>
      <c r="G1308" t="s">
        <v>1406</v>
      </c>
      <c r="H1308" t="b">
        <v>0</v>
      </c>
      <c r="K1308" t="b">
        <v>0</v>
      </c>
      <c r="L1308" t="b">
        <v>0</v>
      </c>
      <c r="M1308" t="s">
        <v>3068</v>
      </c>
      <c r="N1308" t="s">
        <v>3069</v>
      </c>
    </row>
    <row r="1309" spans="1:25" x14ac:dyDescent="0.2">
      <c r="A1309">
        <v>1608</v>
      </c>
      <c r="B1309" t="s">
        <v>3055</v>
      </c>
      <c r="C1309" t="s">
        <v>18</v>
      </c>
      <c r="D1309" t="s">
        <v>3070</v>
      </c>
      <c r="E1309" t="s">
        <v>3071</v>
      </c>
      <c r="F1309" t="s">
        <v>574</v>
      </c>
      <c r="G1309" t="s">
        <v>1406</v>
      </c>
      <c r="H1309" t="b">
        <v>0</v>
      </c>
      <c r="K1309" t="b">
        <v>0</v>
      </c>
      <c r="L1309" t="b">
        <v>0</v>
      </c>
      <c r="M1309" t="s">
        <v>3072</v>
      </c>
    </row>
    <row r="1311" spans="1:25" x14ac:dyDescent="0.2">
      <c r="A1311" s="2">
        <v>161</v>
      </c>
      <c r="B1311" s="2" t="s">
        <v>3073</v>
      </c>
      <c r="C1311" s="2" t="s">
        <v>13</v>
      </c>
      <c r="D1311" s="2" t="s">
        <v>3074</v>
      </c>
      <c r="E1311" s="2" t="s">
        <v>3075</v>
      </c>
      <c r="F1311" s="2" t="s">
        <v>151</v>
      </c>
      <c r="G1311" s="2" t="s">
        <v>24</v>
      </c>
      <c r="H1311" s="2"/>
      <c r="I1311" s="2"/>
      <c r="J1311" s="2"/>
      <c r="K1311" s="2"/>
      <c r="L1311" s="2"/>
      <c r="M1311" s="2"/>
      <c r="N1311" s="2"/>
      <c r="O1311" s="2"/>
      <c r="P1311" s="2"/>
      <c r="Q1311" s="2"/>
      <c r="R1311" s="2"/>
      <c r="S1311" s="2"/>
      <c r="T1311" s="2"/>
      <c r="U1311" s="2"/>
      <c r="V1311" s="2"/>
      <c r="W1311" s="2"/>
      <c r="X1311" s="2"/>
      <c r="Y1311" s="2"/>
    </row>
    <row r="1312" spans="1:25" x14ac:dyDescent="0.2">
      <c r="A1312">
        <v>162</v>
      </c>
      <c r="B1312" t="s">
        <v>3073</v>
      </c>
      <c r="C1312" t="s">
        <v>18</v>
      </c>
      <c r="D1312" t="s">
        <v>3074</v>
      </c>
      <c r="E1312" t="s">
        <v>486</v>
      </c>
      <c r="F1312" t="s">
        <v>151</v>
      </c>
      <c r="G1312" t="s">
        <v>24</v>
      </c>
      <c r="H1312" t="b">
        <v>1</v>
      </c>
      <c r="K1312" t="b">
        <v>1</v>
      </c>
      <c r="L1312" t="b">
        <v>1</v>
      </c>
      <c r="M1312" t="s">
        <v>3076</v>
      </c>
    </row>
    <row r="1313" spans="1:25" x14ac:dyDescent="0.2">
      <c r="A1313">
        <v>163</v>
      </c>
      <c r="B1313" t="s">
        <v>3073</v>
      </c>
      <c r="C1313" t="s">
        <v>18</v>
      </c>
      <c r="D1313" t="s">
        <v>3077</v>
      </c>
      <c r="E1313" t="s">
        <v>3078</v>
      </c>
      <c r="F1313" t="s">
        <v>151</v>
      </c>
      <c r="G1313" t="s">
        <v>24</v>
      </c>
      <c r="H1313" t="b">
        <v>1</v>
      </c>
      <c r="K1313" t="b">
        <v>1</v>
      </c>
      <c r="L1313" t="b">
        <v>1</v>
      </c>
      <c r="M1313" t="s">
        <v>3079</v>
      </c>
    </row>
    <row r="1314" spans="1:25" x14ac:dyDescent="0.2">
      <c r="A1314">
        <v>164</v>
      </c>
      <c r="B1314" t="s">
        <v>3073</v>
      </c>
      <c r="C1314" t="s">
        <v>18</v>
      </c>
      <c r="D1314" t="s">
        <v>3080</v>
      </c>
      <c r="E1314" t="s">
        <v>3081</v>
      </c>
      <c r="F1314" t="s">
        <v>151</v>
      </c>
      <c r="G1314" t="s">
        <v>24</v>
      </c>
      <c r="H1314" t="b">
        <v>0</v>
      </c>
      <c r="K1314" t="b">
        <v>0</v>
      </c>
      <c r="L1314" t="b">
        <v>0</v>
      </c>
      <c r="M1314" t="s">
        <v>3082</v>
      </c>
      <c r="N1314" t="s">
        <v>3083</v>
      </c>
    </row>
    <row r="1315" spans="1:25" x14ac:dyDescent="0.2">
      <c r="A1315">
        <v>165</v>
      </c>
      <c r="B1315" t="s">
        <v>3073</v>
      </c>
      <c r="C1315" t="s">
        <v>18</v>
      </c>
      <c r="D1315" t="s">
        <v>3084</v>
      </c>
      <c r="E1315" t="s">
        <v>3085</v>
      </c>
      <c r="F1315" t="s">
        <v>151</v>
      </c>
      <c r="G1315" t="s">
        <v>24</v>
      </c>
      <c r="H1315" t="b">
        <v>0</v>
      </c>
      <c r="K1315" t="b">
        <v>0</v>
      </c>
      <c r="L1315" t="b">
        <v>0</v>
      </c>
      <c r="M1315" t="s">
        <v>3086</v>
      </c>
    </row>
    <row r="1316" spans="1:25" x14ac:dyDescent="0.2">
      <c r="A1316">
        <v>166</v>
      </c>
      <c r="B1316" t="s">
        <v>3073</v>
      </c>
      <c r="C1316" t="s">
        <v>18</v>
      </c>
      <c r="D1316" t="s">
        <v>3087</v>
      </c>
      <c r="E1316" t="s">
        <v>3088</v>
      </c>
      <c r="F1316" t="s">
        <v>151</v>
      </c>
      <c r="G1316" t="s">
        <v>24</v>
      </c>
      <c r="H1316" t="b">
        <v>0</v>
      </c>
      <c r="K1316" t="b">
        <v>0</v>
      </c>
      <c r="L1316" t="b">
        <v>0</v>
      </c>
      <c r="M1316" t="s">
        <v>3089</v>
      </c>
    </row>
    <row r="1318" spans="1:25" x14ac:dyDescent="0.2">
      <c r="A1318" s="2">
        <v>1617</v>
      </c>
      <c r="B1318" s="2" t="s">
        <v>3090</v>
      </c>
      <c r="C1318" s="2" t="s">
        <v>13</v>
      </c>
      <c r="D1318" s="2" t="s">
        <v>3091</v>
      </c>
      <c r="E1318" s="2" t="s">
        <v>3092</v>
      </c>
      <c r="F1318" s="2" t="s">
        <v>1010</v>
      </c>
      <c r="G1318" s="2" t="s">
        <v>265</v>
      </c>
      <c r="H1318" s="2"/>
      <c r="I1318" s="2"/>
      <c r="J1318" s="2"/>
      <c r="K1318" s="2"/>
      <c r="L1318" s="2"/>
      <c r="M1318" s="2"/>
      <c r="N1318" s="2"/>
      <c r="O1318" s="2"/>
      <c r="P1318" s="2"/>
      <c r="Q1318" s="2"/>
      <c r="R1318" s="2"/>
      <c r="S1318" s="2"/>
      <c r="T1318" s="2"/>
      <c r="U1318" s="2"/>
      <c r="V1318" s="2"/>
      <c r="W1318" s="2"/>
      <c r="X1318" s="2"/>
      <c r="Y1318" s="2"/>
    </row>
    <row r="1319" spans="1:25" x14ac:dyDescent="0.2">
      <c r="A1319">
        <v>1618</v>
      </c>
      <c r="B1319" t="s">
        <v>3090</v>
      </c>
      <c r="C1319" t="s">
        <v>18</v>
      </c>
      <c r="D1319" t="s">
        <v>3093</v>
      </c>
      <c r="E1319" t="s">
        <v>416</v>
      </c>
      <c r="F1319" t="s">
        <v>1010</v>
      </c>
      <c r="G1319" t="s">
        <v>265</v>
      </c>
      <c r="H1319" t="b">
        <v>1</v>
      </c>
      <c r="K1319" t="b">
        <v>1</v>
      </c>
      <c r="L1319" t="b">
        <v>1</v>
      </c>
      <c r="M1319" t="s">
        <v>3094</v>
      </c>
      <c r="N1319" t="s">
        <v>3095</v>
      </c>
    </row>
    <row r="1320" spans="1:25" x14ac:dyDescent="0.2">
      <c r="A1320">
        <v>1619</v>
      </c>
      <c r="B1320" t="s">
        <v>3090</v>
      </c>
      <c r="C1320" t="s">
        <v>18</v>
      </c>
      <c r="D1320" t="s">
        <v>3096</v>
      </c>
      <c r="E1320" t="s">
        <v>3097</v>
      </c>
      <c r="F1320" t="s">
        <v>159</v>
      </c>
      <c r="G1320" t="s">
        <v>265</v>
      </c>
      <c r="H1320" t="b">
        <v>0</v>
      </c>
      <c r="K1320" t="b">
        <v>0</v>
      </c>
      <c r="L1320" t="b">
        <v>0</v>
      </c>
      <c r="M1320" t="s">
        <v>3098</v>
      </c>
      <c r="N1320" t="s">
        <v>3099</v>
      </c>
    </row>
    <row r="1321" spans="1:25" x14ac:dyDescent="0.2">
      <c r="A1321">
        <v>1620</v>
      </c>
      <c r="B1321" t="s">
        <v>3090</v>
      </c>
      <c r="C1321" t="s">
        <v>18</v>
      </c>
      <c r="D1321" t="s">
        <v>3100</v>
      </c>
      <c r="E1321" t="s">
        <v>3101</v>
      </c>
      <c r="F1321" t="s">
        <v>159</v>
      </c>
      <c r="G1321" t="s">
        <v>864</v>
      </c>
      <c r="H1321" t="b">
        <v>0</v>
      </c>
      <c r="K1321" t="b">
        <v>0</v>
      </c>
      <c r="L1321" t="b">
        <v>0</v>
      </c>
      <c r="M1321" t="s">
        <v>3102</v>
      </c>
    </row>
    <row r="1322" spans="1:25" x14ac:dyDescent="0.2">
      <c r="A1322">
        <v>1621</v>
      </c>
      <c r="B1322" t="s">
        <v>3090</v>
      </c>
      <c r="C1322" t="s">
        <v>18</v>
      </c>
      <c r="D1322" t="s">
        <v>3103</v>
      </c>
      <c r="E1322" t="s">
        <v>3104</v>
      </c>
      <c r="F1322" t="s">
        <v>82</v>
      </c>
      <c r="G1322" t="s">
        <v>265</v>
      </c>
      <c r="H1322" t="b">
        <v>0</v>
      </c>
      <c r="K1322" t="b">
        <v>0</v>
      </c>
      <c r="L1322" t="b">
        <v>0</v>
      </c>
    </row>
    <row r="1323" spans="1:25" x14ac:dyDescent="0.2">
      <c r="A1323">
        <v>1622</v>
      </c>
      <c r="B1323" t="s">
        <v>3090</v>
      </c>
      <c r="C1323" t="s">
        <v>18</v>
      </c>
      <c r="D1323" t="s">
        <v>3105</v>
      </c>
      <c r="E1323" t="s">
        <v>3106</v>
      </c>
      <c r="F1323" t="s">
        <v>159</v>
      </c>
      <c r="G1323" t="s">
        <v>864</v>
      </c>
      <c r="H1323" t="b">
        <v>0</v>
      </c>
      <c r="K1323" t="b">
        <v>0</v>
      </c>
      <c r="L1323" t="b">
        <v>0</v>
      </c>
      <c r="M1323" t="s">
        <v>3107</v>
      </c>
      <c r="N1323" t="s">
        <v>3108</v>
      </c>
    </row>
    <row r="1325" spans="1:25" x14ac:dyDescent="0.2">
      <c r="A1325" s="2">
        <v>1624</v>
      </c>
      <c r="B1325" s="2" t="s">
        <v>3109</v>
      </c>
      <c r="C1325" s="2" t="s">
        <v>13</v>
      </c>
      <c r="D1325" s="2" t="s">
        <v>3110</v>
      </c>
      <c r="E1325" s="2" t="s">
        <v>3111</v>
      </c>
      <c r="F1325" s="2" t="s">
        <v>20</v>
      </c>
      <c r="G1325" s="2" t="s">
        <v>1047</v>
      </c>
      <c r="H1325" s="2"/>
      <c r="I1325" s="2"/>
      <c r="J1325" s="2"/>
      <c r="K1325" s="2"/>
      <c r="L1325" s="2"/>
      <c r="M1325" s="2"/>
      <c r="N1325" s="2"/>
      <c r="O1325" s="2"/>
      <c r="P1325" s="2"/>
      <c r="Q1325" s="2"/>
      <c r="R1325" s="2"/>
      <c r="S1325" s="2"/>
      <c r="T1325" s="2"/>
      <c r="U1325" s="2"/>
      <c r="V1325" s="2"/>
      <c r="W1325" s="2"/>
      <c r="X1325" s="2"/>
      <c r="Y1325" s="2"/>
    </row>
    <row r="1326" spans="1:25" x14ac:dyDescent="0.2">
      <c r="A1326">
        <v>1625</v>
      </c>
      <c r="B1326" t="s">
        <v>3109</v>
      </c>
      <c r="C1326" t="s">
        <v>18</v>
      </c>
      <c r="D1326" t="s">
        <v>3112</v>
      </c>
      <c r="E1326" t="s">
        <v>3111</v>
      </c>
      <c r="F1326" t="s">
        <v>20</v>
      </c>
      <c r="G1326" t="s">
        <v>1047</v>
      </c>
      <c r="H1326" t="b">
        <v>1</v>
      </c>
      <c r="I1326" t="b">
        <v>1</v>
      </c>
      <c r="L1326" t="b">
        <v>1</v>
      </c>
      <c r="M1326" t="s">
        <v>3113</v>
      </c>
      <c r="N1326" t="s">
        <v>3114</v>
      </c>
    </row>
    <row r="1327" spans="1:25" x14ac:dyDescent="0.2">
      <c r="A1327">
        <v>1626</v>
      </c>
      <c r="B1327" t="s">
        <v>3109</v>
      </c>
      <c r="C1327" t="s">
        <v>18</v>
      </c>
      <c r="D1327" t="s">
        <v>3115</v>
      </c>
      <c r="E1327" t="s">
        <v>3116</v>
      </c>
      <c r="F1327" t="s">
        <v>2451</v>
      </c>
      <c r="G1327" t="s">
        <v>292</v>
      </c>
      <c r="H1327" t="b">
        <v>0</v>
      </c>
      <c r="I1327" t="b">
        <v>0</v>
      </c>
      <c r="L1327" t="b">
        <v>0</v>
      </c>
      <c r="M1327" t="s">
        <v>3117</v>
      </c>
    </row>
    <row r="1328" spans="1:25" x14ac:dyDescent="0.2">
      <c r="A1328">
        <v>1627</v>
      </c>
      <c r="B1328" t="s">
        <v>3109</v>
      </c>
      <c r="C1328" t="s">
        <v>18</v>
      </c>
      <c r="D1328" t="s">
        <v>3118</v>
      </c>
      <c r="E1328" t="s">
        <v>2262</v>
      </c>
      <c r="F1328" t="s">
        <v>23</v>
      </c>
      <c r="G1328" t="s">
        <v>32</v>
      </c>
      <c r="H1328" t="b">
        <v>0</v>
      </c>
      <c r="I1328" t="b">
        <v>0</v>
      </c>
      <c r="L1328" t="b">
        <v>0</v>
      </c>
      <c r="M1328" t="s">
        <v>3119</v>
      </c>
    </row>
    <row r="1329" spans="1:25" x14ac:dyDescent="0.2">
      <c r="A1329">
        <v>1628</v>
      </c>
      <c r="B1329" t="s">
        <v>3109</v>
      </c>
      <c r="C1329" t="s">
        <v>18</v>
      </c>
      <c r="D1329" t="s">
        <v>3120</v>
      </c>
      <c r="E1329" t="s">
        <v>3121</v>
      </c>
      <c r="F1329" t="s">
        <v>23</v>
      </c>
      <c r="G1329" t="s">
        <v>32</v>
      </c>
      <c r="H1329" t="b">
        <v>0</v>
      </c>
      <c r="I1329" t="b">
        <v>0</v>
      </c>
      <c r="L1329" t="b">
        <v>0</v>
      </c>
      <c r="M1329" t="s">
        <v>3122</v>
      </c>
    </row>
    <row r="1330" spans="1:25" x14ac:dyDescent="0.2">
      <c r="A1330">
        <v>1629</v>
      </c>
      <c r="B1330" t="s">
        <v>3109</v>
      </c>
      <c r="C1330" t="s">
        <v>18</v>
      </c>
      <c r="D1330" t="s">
        <v>3123</v>
      </c>
      <c r="E1330" t="s">
        <v>3124</v>
      </c>
      <c r="F1330" t="s">
        <v>670</v>
      </c>
      <c r="G1330" t="s">
        <v>32</v>
      </c>
      <c r="H1330" t="b">
        <v>0</v>
      </c>
      <c r="I1330" t="b">
        <v>0</v>
      </c>
      <c r="L1330" t="b">
        <v>0</v>
      </c>
      <c r="M1330" t="s">
        <v>3125</v>
      </c>
    </row>
    <row r="1332" spans="1:25" x14ac:dyDescent="0.2">
      <c r="A1332" s="2">
        <v>1631</v>
      </c>
      <c r="B1332" s="2" t="s">
        <v>3126</v>
      </c>
      <c r="C1332" s="2" t="s">
        <v>13</v>
      </c>
      <c r="D1332" s="2" t="s">
        <v>3127</v>
      </c>
      <c r="E1332" s="2" t="s">
        <v>3128</v>
      </c>
      <c r="F1332" s="2" t="s">
        <v>168</v>
      </c>
      <c r="G1332" s="2" t="s">
        <v>134</v>
      </c>
      <c r="H1332" s="2"/>
      <c r="I1332" s="2"/>
      <c r="J1332" s="2"/>
      <c r="K1332" s="2"/>
      <c r="L1332" s="2"/>
      <c r="M1332" s="2"/>
      <c r="N1332" s="2"/>
      <c r="O1332" s="2"/>
      <c r="P1332" s="2"/>
      <c r="Q1332" s="2"/>
      <c r="R1332" s="2"/>
      <c r="S1332" s="2"/>
      <c r="T1332" s="2"/>
      <c r="U1332" s="2"/>
      <c r="V1332" s="2"/>
      <c r="W1332" s="2"/>
      <c r="X1332" s="2"/>
      <c r="Y1332" s="2"/>
    </row>
    <row r="1333" spans="1:25" x14ac:dyDescent="0.2">
      <c r="A1333">
        <v>1632</v>
      </c>
      <c r="B1333" t="s">
        <v>3126</v>
      </c>
      <c r="C1333" t="s">
        <v>18</v>
      </c>
      <c r="D1333" t="s">
        <v>3127</v>
      </c>
      <c r="E1333" t="s">
        <v>1167</v>
      </c>
      <c r="F1333" t="s">
        <v>168</v>
      </c>
      <c r="G1333" t="s">
        <v>134</v>
      </c>
      <c r="H1333" t="b">
        <v>1</v>
      </c>
      <c r="K1333" t="b">
        <v>1</v>
      </c>
      <c r="L1333" t="b">
        <v>1</v>
      </c>
      <c r="M1333" t="s">
        <v>3129</v>
      </c>
    </row>
    <row r="1334" spans="1:25" x14ac:dyDescent="0.2">
      <c r="A1334">
        <v>1633</v>
      </c>
      <c r="B1334" t="s">
        <v>3126</v>
      </c>
      <c r="C1334" t="s">
        <v>18</v>
      </c>
      <c r="D1334" t="s">
        <v>1724</v>
      </c>
      <c r="E1334" t="s">
        <v>1725</v>
      </c>
      <c r="F1334" t="s">
        <v>168</v>
      </c>
      <c r="G1334" t="s">
        <v>134</v>
      </c>
      <c r="H1334" t="b">
        <v>1</v>
      </c>
      <c r="K1334" t="b">
        <v>1</v>
      </c>
      <c r="L1334" t="b">
        <v>1</v>
      </c>
      <c r="M1334" t="s">
        <v>1726</v>
      </c>
      <c r="N1334" t="s">
        <v>1727</v>
      </c>
    </row>
    <row r="1335" spans="1:25" x14ac:dyDescent="0.2">
      <c r="A1335">
        <v>1634</v>
      </c>
      <c r="B1335" t="s">
        <v>3126</v>
      </c>
      <c r="C1335" t="s">
        <v>18</v>
      </c>
      <c r="D1335" t="s">
        <v>2308</v>
      </c>
      <c r="E1335" t="s">
        <v>2309</v>
      </c>
      <c r="F1335" t="s">
        <v>248</v>
      </c>
      <c r="G1335" t="s">
        <v>134</v>
      </c>
      <c r="H1335" t="b">
        <v>0</v>
      </c>
      <c r="K1335" t="b">
        <v>0</v>
      </c>
      <c r="L1335" t="b">
        <v>0</v>
      </c>
      <c r="M1335" t="s">
        <v>2310</v>
      </c>
      <c r="N1335" t="s">
        <v>2311</v>
      </c>
      <c r="O1335" t="s">
        <v>2312</v>
      </c>
    </row>
    <row r="1336" spans="1:25" x14ac:dyDescent="0.2">
      <c r="A1336">
        <v>1635</v>
      </c>
      <c r="B1336" t="s">
        <v>3126</v>
      </c>
      <c r="C1336" t="s">
        <v>18</v>
      </c>
      <c r="D1336" t="s">
        <v>1720</v>
      </c>
      <c r="E1336" t="s">
        <v>1721</v>
      </c>
      <c r="F1336" t="s">
        <v>596</v>
      </c>
      <c r="G1336" t="s">
        <v>134</v>
      </c>
      <c r="H1336" t="b">
        <v>0</v>
      </c>
      <c r="K1336" t="b">
        <v>0</v>
      </c>
      <c r="L1336" t="b">
        <v>0</v>
      </c>
      <c r="M1336" t="s">
        <v>1722</v>
      </c>
      <c r="N1336" t="s">
        <v>1723</v>
      </c>
    </row>
    <row r="1337" spans="1:25" x14ac:dyDescent="0.2">
      <c r="A1337">
        <v>1636</v>
      </c>
      <c r="B1337" t="s">
        <v>3126</v>
      </c>
      <c r="C1337" t="s">
        <v>18</v>
      </c>
      <c r="D1337" t="s">
        <v>2202</v>
      </c>
      <c r="E1337" t="s">
        <v>2203</v>
      </c>
      <c r="F1337" t="s">
        <v>23</v>
      </c>
      <c r="G1337" t="s">
        <v>134</v>
      </c>
      <c r="H1337" t="b">
        <v>0</v>
      </c>
      <c r="K1337" t="b">
        <v>0</v>
      </c>
      <c r="L1337" t="b">
        <v>0</v>
      </c>
      <c r="M1337" t="s">
        <v>2204</v>
      </c>
    </row>
    <row r="1339" spans="1:25" x14ac:dyDescent="0.2">
      <c r="A1339" s="2">
        <v>1666</v>
      </c>
      <c r="B1339" s="2" t="s">
        <v>3130</v>
      </c>
      <c r="C1339" s="2" t="s">
        <v>13</v>
      </c>
      <c r="D1339" s="2" t="s">
        <v>3131</v>
      </c>
      <c r="E1339" s="2" t="s">
        <v>3132</v>
      </c>
      <c r="F1339" s="2" t="s">
        <v>78</v>
      </c>
      <c r="G1339" s="2" t="s">
        <v>24</v>
      </c>
      <c r="H1339" s="2"/>
      <c r="I1339" s="2"/>
      <c r="J1339" s="2"/>
      <c r="K1339" s="2"/>
      <c r="L1339" s="2"/>
      <c r="M1339" s="2"/>
      <c r="N1339" s="2"/>
      <c r="O1339" s="2"/>
      <c r="P1339" s="2"/>
      <c r="Q1339" s="2"/>
      <c r="R1339" s="2"/>
      <c r="S1339" s="2"/>
      <c r="T1339" s="2"/>
      <c r="U1339" s="2"/>
      <c r="V1339" s="2"/>
      <c r="W1339" s="2"/>
      <c r="X1339" s="2"/>
      <c r="Y1339" s="2"/>
    </row>
    <row r="1340" spans="1:25" x14ac:dyDescent="0.2">
      <c r="A1340">
        <v>1667</v>
      </c>
      <c r="B1340" t="s">
        <v>3130</v>
      </c>
      <c r="C1340" t="s">
        <v>18</v>
      </c>
      <c r="D1340" t="s">
        <v>3131</v>
      </c>
      <c r="E1340" t="s">
        <v>3132</v>
      </c>
      <c r="F1340" t="s">
        <v>78</v>
      </c>
      <c r="G1340" t="s">
        <v>24</v>
      </c>
      <c r="H1340" t="b">
        <v>1</v>
      </c>
      <c r="I1340" t="b">
        <v>1</v>
      </c>
      <c r="L1340" t="b">
        <v>1</v>
      </c>
      <c r="M1340" t="s">
        <v>3133</v>
      </c>
      <c r="N1340" t="s">
        <v>3134</v>
      </c>
      <c r="O1340" t="s">
        <v>3135</v>
      </c>
    </row>
    <row r="1341" spans="1:25" x14ac:dyDescent="0.2">
      <c r="A1341">
        <v>1668</v>
      </c>
      <c r="B1341" t="s">
        <v>3130</v>
      </c>
      <c r="C1341" t="s">
        <v>18</v>
      </c>
      <c r="D1341" t="s">
        <v>3084</v>
      </c>
      <c r="E1341" t="s">
        <v>3085</v>
      </c>
      <c r="F1341" t="s">
        <v>151</v>
      </c>
      <c r="G1341" t="s">
        <v>24</v>
      </c>
      <c r="H1341" t="b">
        <v>0</v>
      </c>
      <c r="I1341" t="b">
        <v>0</v>
      </c>
      <c r="L1341" t="b">
        <v>0</v>
      </c>
      <c r="M1341" t="s">
        <v>3086</v>
      </c>
    </row>
    <row r="1342" spans="1:25" x14ac:dyDescent="0.2">
      <c r="A1342">
        <v>1669</v>
      </c>
      <c r="B1342" t="s">
        <v>3130</v>
      </c>
      <c r="C1342" t="s">
        <v>18</v>
      </c>
      <c r="D1342" t="s">
        <v>3136</v>
      </c>
      <c r="E1342" t="s">
        <v>3137</v>
      </c>
      <c r="F1342" t="s">
        <v>78</v>
      </c>
      <c r="G1342" t="s">
        <v>1047</v>
      </c>
      <c r="H1342" t="b">
        <v>0</v>
      </c>
      <c r="I1342" t="b">
        <v>0</v>
      </c>
      <c r="L1342" t="b">
        <v>0</v>
      </c>
      <c r="M1342" t="s">
        <v>3138</v>
      </c>
    </row>
    <row r="1343" spans="1:25" x14ac:dyDescent="0.2">
      <c r="A1343">
        <v>1670</v>
      </c>
      <c r="B1343" t="s">
        <v>3130</v>
      </c>
      <c r="C1343" t="s">
        <v>18</v>
      </c>
      <c r="D1343" t="s">
        <v>3139</v>
      </c>
      <c r="E1343" t="s">
        <v>3140</v>
      </c>
      <c r="F1343" t="s">
        <v>78</v>
      </c>
      <c r="G1343" t="s">
        <v>24</v>
      </c>
      <c r="H1343" t="b">
        <v>0</v>
      </c>
      <c r="I1343" t="b">
        <v>0</v>
      </c>
      <c r="L1343" t="b">
        <v>0</v>
      </c>
      <c r="M1343" t="s">
        <v>3141</v>
      </c>
    </row>
    <row r="1344" spans="1:25" x14ac:dyDescent="0.2">
      <c r="A1344">
        <v>1671</v>
      </c>
      <c r="B1344" t="s">
        <v>3130</v>
      </c>
      <c r="C1344" t="s">
        <v>18</v>
      </c>
      <c r="D1344" t="s">
        <v>1248</v>
      </c>
      <c r="E1344" t="s">
        <v>1249</v>
      </c>
      <c r="F1344" t="s">
        <v>78</v>
      </c>
      <c r="G1344" t="s">
        <v>24</v>
      </c>
      <c r="H1344" t="b">
        <v>0</v>
      </c>
      <c r="I1344" t="b">
        <v>0</v>
      </c>
      <c r="L1344" t="b">
        <v>0</v>
      </c>
      <c r="M1344" t="s">
        <v>1250</v>
      </c>
      <c r="N1344" t="s">
        <v>1251</v>
      </c>
    </row>
    <row r="1346" spans="1:25" x14ac:dyDescent="0.2">
      <c r="A1346" s="2">
        <v>1673</v>
      </c>
      <c r="B1346" s="2" t="s">
        <v>3142</v>
      </c>
      <c r="C1346" s="2" t="s">
        <v>13</v>
      </c>
      <c r="D1346" s="2" t="s">
        <v>3143</v>
      </c>
      <c r="E1346" s="2" t="s">
        <v>3144</v>
      </c>
      <c r="F1346" s="2" t="s">
        <v>78</v>
      </c>
      <c r="G1346" s="2" t="s">
        <v>24</v>
      </c>
      <c r="H1346" s="2"/>
      <c r="I1346" s="2"/>
      <c r="J1346" s="2"/>
      <c r="K1346" s="2"/>
      <c r="L1346" s="2"/>
      <c r="M1346" s="2"/>
      <c r="N1346" s="2"/>
      <c r="O1346" s="2"/>
      <c r="P1346" s="2"/>
      <c r="Q1346" s="2"/>
      <c r="R1346" s="2"/>
      <c r="S1346" s="2"/>
      <c r="T1346" s="2"/>
      <c r="U1346" s="2"/>
      <c r="V1346" s="2"/>
      <c r="W1346" s="2"/>
      <c r="X1346" s="2"/>
      <c r="Y1346" s="2"/>
    </row>
    <row r="1347" spans="1:25" x14ac:dyDescent="0.2">
      <c r="A1347">
        <v>1674</v>
      </c>
      <c r="B1347" t="s">
        <v>3142</v>
      </c>
      <c r="C1347" t="s">
        <v>18</v>
      </c>
      <c r="D1347" t="s">
        <v>1527</v>
      </c>
      <c r="E1347" t="s">
        <v>1063</v>
      </c>
      <c r="F1347" t="s">
        <v>78</v>
      </c>
      <c r="G1347" t="s">
        <v>24</v>
      </c>
      <c r="H1347" t="b">
        <v>1</v>
      </c>
      <c r="I1347" t="b">
        <v>1</v>
      </c>
      <c r="L1347" t="b">
        <v>1</v>
      </c>
      <c r="M1347" t="s">
        <v>1528</v>
      </c>
    </row>
    <row r="1348" spans="1:25" x14ac:dyDescent="0.2">
      <c r="A1348">
        <v>1675</v>
      </c>
      <c r="B1348" t="s">
        <v>3142</v>
      </c>
      <c r="C1348" t="s">
        <v>18</v>
      </c>
      <c r="D1348" t="s">
        <v>1535</v>
      </c>
      <c r="E1348" t="s">
        <v>1536</v>
      </c>
      <c r="F1348" t="s">
        <v>78</v>
      </c>
      <c r="G1348" t="s">
        <v>24</v>
      </c>
      <c r="H1348" t="b">
        <v>1</v>
      </c>
      <c r="I1348" t="b">
        <v>1</v>
      </c>
      <c r="L1348" t="b">
        <v>1</v>
      </c>
      <c r="M1348" t="s">
        <v>1537</v>
      </c>
    </row>
    <row r="1349" spans="1:25" x14ac:dyDescent="0.2">
      <c r="A1349">
        <v>1676</v>
      </c>
      <c r="B1349" t="s">
        <v>3142</v>
      </c>
      <c r="C1349" t="s">
        <v>18</v>
      </c>
      <c r="D1349" t="s">
        <v>1523</v>
      </c>
      <c r="E1349" t="s">
        <v>431</v>
      </c>
      <c r="F1349" t="s">
        <v>78</v>
      </c>
      <c r="G1349" t="s">
        <v>24</v>
      </c>
      <c r="H1349" t="b">
        <v>0</v>
      </c>
      <c r="I1349" t="b">
        <v>0</v>
      </c>
      <c r="L1349" t="b">
        <v>0</v>
      </c>
      <c r="M1349" t="s">
        <v>1525</v>
      </c>
      <c r="N1349" t="s">
        <v>1526</v>
      </c>
    </row>
    <row r="1350" spans="1:25" x14ac:dyDescent="0.2">
      <c r="A1350">
        <v>1677</v>
      </c>
      <c r="B1350" t="s">
        <v>3142</v>
      </c>
      <c r="C1350" t="s">
        <v>18</v>
      </c>
      <c r="D1350" t="s">
        <v>3145</v>
      </c>
      <c r="E1350" t="s">
        <v>3146</v>
      </c>
      <c r="F1350" t="s">
        <v>78</v>
      </c>
      <c r="G1350" t="s">
        <v>24</v>
      </c>
      <c r="H1350" t="b">
        <v>0</v>
      </c>
      <c r="I1350" t="b">
        <v>0</v>
      </c>
      <c r="L1350" t="b">
        <v>0</v>
      </c>
      <c r="M1350" t="s">
        <v>3147</v>
      </c>
      <c r="N1350" t="s">
        <v>3148</v>
      </c>
    </row>
    <row r="1351" spans="1:25" x14ac:dyDescent="0.2">
      <c r="A1351">
        <v>1678</v>
      </c>
      <c r="B1351" t="s">
        <v>3142</v>
      </c>
      <c r="C1351" t="s">
        <v>18</v>
      </c>
      <c r="D1351" t="s">
        <v>2377</v>
      </c>
      <c r="E1351" t="s">
        <v>2378</v>
      </c>
      <c r="F1351" t="s">
        <v>78</v>
      </c>
      <c r="G1351" t="s">
        <v>24</v>
      </c>
      <c r="H1351" t="b">
        <v>0</v>
      </c>
      <c r="I1351" t="b">
        <v>0</v>
      </c>
      <c r="L1351" t="b">
        <v>0</v>
      </c>
      <c r="M1351" t="s">
        <v>2379</v>
      </c>
    </row>
    <row r="1353" spans="1:25" x14ac:dyDescent="0.2">
      <c r="A1353" s="2">
        <v>1680</v>
      </c>
      <c r="B1353" s="2" t="s">
        <v>3149</v>
      </c>
      <c r="C1353" s="2" t="s">
        <v>13</v>
      </c>
      <c r="D1353" s="2" t="s">
        <v>3150</v>
      </c>
      <c r="E1353" s="2" t="s">
        <v>3151</v>
      </c>
      <c r="F1353" s="2" t="s">
        <v>151</v>
      </c>
      <c r="G1353" s="2" t="s">
        <v>879</v>
      </c>
      <c r="H1353" s="2"/>
      <c r="I1353" s="2"/>
      <c r="J1353" s="2"/>
      <c r="K1353" s="2"/>
      <c r="L1353" s="2"/>
      <c r="M1353" s="2"/>
      <c r="N1353" s="2"/>
      <c r="O1353" s="2"/>
      <c r="P1353" s="2"/>
      <c r="Q1353" s="2"/>
      <c r="R1353" s="2"/>
      <c r="S1353" s="2"/>
      <c r="T1353" s="2"/>
      <c r="U1353" s="2"/>
      <c r="V1353" s="2"/>
      <c r="W1353" s="2"/>
      <c r="X1353" s="2"/>
      <c r="Y1353" s="2"/>
    </row>
    <row r="1354" spans="1:25" x14ac:dyDescent="0.2">
      <c r="A1354">
        <v>1681</v>
      </c>
      <c r="B1354" t="s">
        <v>3149</v>
      </c>
      <c r="C1354" t="s">
        <v>18</v>
      </c>
      <c r="D1354" t="s">
        <v>3150</v>
      </c>
      <c r="E1354" t="s">
        <v>3151</v>
      </c>
      <c r="F1354" t="s">
        <v>1898</v>
      </c>
      <c r="G1354" t="s">
        <v>879</v>
      </c>
      <c r="H1354" t="b">
        <v>1</v>
      </c>
      <c r="I1354" t="b">
        <v>1</v>
      </c>
      <c r="L1354" t="b">
        <v>1</v>
      </c>
      <c r="M1354" t="s">
        <v>3152</v>
      </c>
      <c r="N1354" t="s">
        <v>3153</v>
      </c>
    </row>
    <row r="1355" spans="1:25" x14ac:dyDescent="0.2">
      <c r="A1355">
        <v>1682</v>
      </c>
      <c r="B1355" t="s">
        <v>3149</v>
      </c>
      <c r="C1355" t="s">
        <v>18</v>
      </c>
      <c r="D1355" t="s">
        <v>3154</v>
      </c>
      <c r="E1355" t="s">
        <v>3155</v>
      </c>
      <c r="F1355" t="s">
        <v>151</v>
      </c>
      <c r="G1355" t="s">
        <v>879</v>
      </c>
      <c r="H1355" t="b">
        <v>1</v>
      </c>
      <c r="I1355" t="b">
        <v>1</v>
      </c>
      <c r="L1355" t="b">
        <v>1</v>
      </c>
      <c r="M1355" t="s">
        <v>3156</v>
      </c>
    </row>
    <row r="1356" spans="1:25" x14ac:dyDescent="0.2">
      <c r="A1356">
        <v>1683</v>
      </c>
      <c r="B1356" t="s">
        <v>3149</v>
      </c>
      <c r="C1356" t="s">
        <v>18</v>
      </c>
      <c r="D1356" t="s">
        <v>2041</v>
      </c>
      <c r="E1356" t="s">
        <v>2043</v>
      </c>
      <c r="F1356" t="s">
        <v>78</v>
      </c>
      <c r="G1356" t="s">
        <v>879</v>
      </c>
      <c r="H1356" t="b">
        <v>0</v>
      </c>
      <c r="I1356" t="b">
        <v>0</v>
      </c>
      <c r="L1356" t="b">
        <v>0</v>
      </c>
      <c r="M1356" t="s">
        <v>2044</v>
      </c>
      <c r="N1356" t="s">
        <v>2045</v>
      </c>
    </row>
    <row r="1357" spans="1:25" x14ac:dyDescent="0.2">
      <c r="A1357">
        <v>1684</v>
      </c>
      <c r="B1357" t="s">
        <v>3149</v>
      </c>
      <c r="C1357" t="s">
        <v>18</v>
      </c>
      <c r="D1357" t="s">
        <v>2048</v>
      </c>
      <c r="E1357" t="s">
        <v>2049</v>
      </c>
      <c r="F1357" t="s">
        <v>78</v>
      </c>
      <c r="G1357" t="s">
        <v>2050</v>
      </c>
      <c r="H1357" t="b">
        <v>0</v>
      </c>
      <c r="I1357" t="b">
        <v>0</v>
      </c>
      <c r="L1357" t="b">
        <v>0</v>
      </c>
      <c r="M1357" t="s">
        <v>2051</v>
      </c>
    </row>
    <row r="1358" spans="1:25" x14ac:dyDescent="0.2">
      <c r="A1358">
        <v>1685</v>
      </c>
      <c r="B1358" t="s">
        <v>3149</v>
      </c>
      <c r="C1358" t="s">
        <v>18</v>
      </c>
      <c r="D1358" t="s">
        <v>2052</v>
      </c>
      <c r="E1358" t="s">
        <v>2053</v>
      </c>
      <c r="F1358" t="s">
        <v>78</v>
      </c>
      <c r="G1358" t="s">
        <v>879</v>
      </c>
      <c r="H1358" t="b">
        <v>0</v>
      </c>
      <c r="I1358" t="b">
        <v>0</v>
      </c>
      <c r="L1358" t="b">
        <v>0</v>
      </c>
      <c r="M1358" t="s">
        <v>2054</v>
      </c>
    </row>
    <row r="1360" spans="1:25" x14ac:dyDescent="0.2">
      <c r="A1360" s="2">
        <v>1687</v>
      </c>
      <c r="B1360" s="2" t="s">
        <v>3157</v>
      </c>
      <c r="C1360" s="2" t="s">
        <v>13</v>
      </c>
      <c r="D1360" s="2" t="s">
        <v>3158</v>
      </c>
      <c r="E1360" s="2" t="s">
        <v>3159</v>
      </c>
      <c r="F1360" s="2" t="s">
        <v>420</v>
      </c>
      <c r="G1360" s="2" t="s">
        <v>2278</v>
      </c>
      <c r="H1360" s="2"/>
      <c r="I1360" s="2"/>
      <c r="J1360" s="2"/>
      <c r="K1360" s="2"/>
      <c r="L1360" s="2"/>
      <c r="M1360" s="2"/>
      <c r="N1360" s="2"/>
      <c r="O1360" s="2"/>
      <c r="P1360" s="2"/>
      <c r="Q1360" s="2"/>
      <c r="R1360" s="2"/>
      <c r="S1360" s="2"/>
      <c r="T1360" s="2"/>
      <c r="U1360" s="2"/>
      <c r="V1360" s="2"/>
      <c r="W1360" s="2"/>
      <c r="X1360" s="2"/>
      <c r="Y1360" s="2"/>
    </row>
    <row r="1361" spans="1:25" x14ac:dyDescent="0.2">
      <c r="A1361">
        <v>1688</v>
      </c>
      <c r="B1361" t="s">
        <v>3157</v>
      </c>
      <c r="C1361" t="s">
        <v>18</v>
      </c>
      <c r="D1361" t="s">
        <v>3158</v>
      </c>
      <c r="E1361" t="s">
        <v>3160</v>
      </c>
      <c r="F1361" t="s">
        <v>420</v>
      </c>
      <c r="G1361" t="s">
        <v>2278</v>
      </c>
      <c r="H1361" t="b">
        <v>1</v>
      </c>
      <c r="K1361" t="b">
        <v>1</v>
      </c>
      <c r="L1361" t="b">
        <v>1</v>
      </c>
      <c r="M1361" t="s">
        <v>3161</v>
      </c>
    </row>
    <row r="1362" spans="1:25" x14ac:dyDescent="0.2">
      <c r="A1362">
        <v>1689</v>
      </c>
      <c r="B1362" t="s">
        <v>3157</v>
      </c>
      <c r="C1362" t="s">
        <v>18</v>
      </c>
      <c r="D1362" t="s">
        <v>3162</v>
      </c>
      <c r="E1362" t="s">
        <v>3140</v>
      </c>
      <c r="F1362" t="s">
        <v>420</v>
      </c>
      <c r="G1362" t="s">
        <v>2278</v>
      </c>
      <c r="H1362" t="b">
        <v>0</v>
      </c>
      <c r="K1362" t="b">
        <v>0</v>
      </c>
      <c r="L1362" t="b">
        <v>0</v>
      </c>
      <c r="M1362" t="s">
        <v>3163</v>
      </c>
    </row>
    <row r="1363" spans="1:25" x14ac:dyDescent="0.2">
      <c r="A1363">
        <v>1690</v>
      </c>
      <c r="B1363" t="s">
        <v>3157</v>
      </c>
      <c r="C1363" t="s">
        <v>18</v>
      </c>
      <c r="D1363" t="s">
        <v>3164</v>
      </c>
      <c r="E1363" t="s">
        <v>3165</v>
      </c>
      <c r="F1363" t="s">
        <v>87</v>
      </c>
      <c r="G1363" t="s">
        <v>2278</v>
      </c>
      <c r="H1363" t="b">
        <v>0</v>
      </c>
      <c r="K1363" t="b">
        <v>0</v>
      </c>
      <c r="L1363" t="b">
        <v>0</v>
      </c>
    </row>
    <row r="1364" spans="1:25" x14ac:dyDescent="0.2">
      <c r="A1364">
        <v>1691</v>
      </c>
      <c r="B1364" t="s">
        <v>3157</v>
      </c>
      <c r="C1364" t="s">
        <v>18</v>
      </c>
      <c r="D1364" t="s">
        <v>3166</v>
      </c>
      <c r="E1364" t="s">
        <v>3167</v>
      </c>
      <c r="F1364" t="s">
        <v>1938</v>
      </c>
      <c r="G1364" t="s">
        <v>2278</v>
      </c>
      <c r="H1364" t="b">
        <v>0</v>
      </c>
      <c r="K1364" t="b">
        <v>0</v>
      </c>
      <c r="L1364" t="b">
        <v>0</v>
      </c>
    </row>
    <row r="1365" spans="1:25" x14ac:dyDescent="0.2">
      <c r="A1365">
        <v>1692</v>
      </c>
      <c r="B1365" t="s">
        <v>3157</v>
      </c>
      <c r="C1365" t="s">
        <v>18</v>
      </c>
      <c r="D1365" t="s">
        <v>3168</v>
      </c>
      <c r="E1365" t="s">
        <v>3169</v>
      </c>
      <c r="F1365" t="s">
        <v>420</v>
      </c>
      <c r="G1365" t="s">
        <v>2278</v>
      </c>
      <c r="H1365" t="b">
        <v>0</v>
      </c>
      <c r="K1365" t="b">
        <v>0</v>
      </c>
      <c r="L1365" t="b">
        <v>0</v>
      </c>
    </row>
    <row r="1367" spans="1:25" x14ac:dyDescent="0.2">
      <c r="A1367" s="2">
        <v>1708</v>
      </c>
      <c r="B1367" s="2" t="s">
        <v>3170</v>
      </c>
      <c r="C1367" s="2" t="s">
        <v>13</v>
      </c>
      <c r="D1367" s="2" t="s">
        <v>3171</v>
      </c>
      <c r="E1367" s="2" t="s">
        <v>3172</v>
      </c>
      <c r="F1367" s="2" t="s">
        <v>20</v>
      </c>
      <c r="G1367" s="2" t="s">
        <v>1405</v>
      </c>
      <c r="H1367" s="2"/>
      <c r="I1367" s="2"/>
      <c r="J1367" s="2"/>
      <c r="K1367" s="2"/>
      <c r="L1367" s="2"/>
      <c r="M1367" s="2"/>
      <c r="N1367" s="2"/>
      <c r="O1367" s="2"/>
      <c r="P1367" s="2"/>
      <c r="Q1367" s="2"/>
      <c r="R1367" s="2"/>
      <c r="S1367" s="2"/>
      <c r="T1367" s="2"/>
      <c r="U1367" s="2"/>
      <c r="V1367" s="2"/>
      <c r="W1367" s="2"/>
      <c r="X1367" s="2"/>
      <c r="Y1367" s="2"/>
    </row>
    <row r="1368" spans="1:25" x14ac:dyDescent="0.2">
      <c r="A1368">
        <v>1709</v>
      </c>
      <c r="B1368" t="s">
        <v>3170</v>
      </c>
      <c r="C1368" t="s">
        <v>18</v>
      </c>
      <c r="D1368" t="s">
        <v>3173</v>
      </c>
      <c r="E1368" t="s">
        <v>3174</v>
      </c>
      <c r="F1368" t="s">
        <v>16</v>
      </c>
      <c r="G1368" t="s">
        <v>1406</v>
      </c>
      <c r="H1368" t="b">
        <v>0</v>
      </c>
      <c r="I1368" t="b">
        <v>0</v>
      </c>
      <c r="L1368" t="b">
        <v>0</v>
      </c>
      <c r="M1368" t="s">
        <v>3175</v>
      </c>
      <c r="N1368" t="s">
        <v>3176</v>
      </c>
    </row>
    <row r="1369" spans="1:25" x14ac:dyDescent="0.2">
      <c r="A1369">
        <v>1710</v>
      </c>
      <c r="B1369" t="s">
        <v>3170</v>
      </c>
      <c r="C1369" t="s">
        <v>18</v>
      </c>
      <c r="D1369" t="s">
        <v>3177</v>
      </c>
      <c r="E1369" t="s">
        <v>3178</v>
      </c>
      <c r="F1369" t="s">
        <v>16</v>
      </c>
      <c r="G1369" t="s">
        <v>1406</v>
      </c>
      <c r="H1369" t="b">
        <v>0</v>
      </c>
      <c r="I1369" t="b">
        <v>0</v>
      </c>
      <c r="L1369" t="b">
        <v>0</v>
      </c>
      <c r="M1369" t="s">
        <v>3179</v>
      </c>
      <c r="N1369" t="s">
        <v>3180</v>
      </c>
    </row>
    <row r="1370" spans="1:25" x14ac:dyDescent="0.2">
      <c r="A1370">
        <v>1711</v>
      </c>
      <c r="B1370" t="s">
        <v>3170</v>
      </c>
      <c r="C1370" t="s">
        <v>18</v>
      </c>
      <c r="D1370" t="s">
        <v>3181</v>
      </c>
      <c r="E1370" t="s">
        <v>3182</v>
      </c>
      <c r="F1370" t="s">
        <v>16</v>
      </c>
      <c r="G1370" t="s">
        <v>1406</v>
      </c>
      <c r="H1370" t="b">
        <v>0</v>
      </c>
      <c r="I1370" t="b">
        <v>0</v>
      </c>
      <c r="L1370" t="b">
        <v>0</v>
      </c>
      <c r="M1370" t="s">
        <v>3183</v>
      </c>
      <c r="N1370" t="s">
        <v>3184</v>
      </c>
    </row>
    <row r="1371" spans="1:25" x14ac:dyDescent="0.2">
      <c r="A1371">
        <v>1712</v>
      </c>
      <c r="B1371" t="s">
        <v>3170</v>
      </c>
      <c r="C1371" t="s">
        <v>18</v>
      </c>
      <c r="D1371" t="s">
        <v>3185</v>
      </c>
      <c r="E1371" t="s">
        <v>3186</v>
      </c>
      <c r="F1371" t="s">
        <v>20</v>
      </c>
      <c r="G1371" t="s">
        <v>1406</v>
      </c>
      <c r="H1371" t="b">
        <v>1</v>
      </c>
      <c r="I1371" t="b">
        <v>0</v>
      </c>
      <c r="L1371" t="b">
        <v>1</v>
      </c>
      <c r="M1371" t="s">
        <v>3187</v>
      </c>
      <c r="N1371" t="s">
        <v>3188</v>
      </c>
    </row>
    <row r="1372" spans="1:25" x14ac:dyDescent="0.2">
      <c r="A1372">
        <v>1713</v>
      </c>
      <c r="B1372" t="s">
        <v>3170</v>
      </c>
      <c r="C1372" t="s">
        <v>18</v>
      </c>
      <c r="D1372" t="s">
        <v>3189</v>
      </c>
      <c r="E1372" t="s">
        <v>3190</v>
      </c>
      <c r="F1372" t="s">
        <v>20</v>
      </c>
      <c r="G1372" t="s">
        <v>1406</v>
      </c>
      <c r="H1372" t="b">
        <v>0</v>
      </c>
      <c r="I1372" t="b">
        <v>0</v>
      </c>
      <c r="L1372" t="b">
        <v>0</v>
      </c>
      <c r="M1372" t="s">
        <v>3191</v>
      </c>
      <c r="N1372" t="s">
        <v>3192</v>
      </c>
    </row>
    <row r="1374" spans="1:25" x14ac:dyDescent="0.2">
      <c r="A1374" s="2">
        <v>1729</v>
      </c>
      <c r="B1374" s="2" t="s">
        <v>3193</v>
      </c>
      <c r="C1374" s="2" t="s">
        <v>13</v>
      </c>
      <c r="D1374" s="2" t="s">
        <v>3194</v>
      </c>
      <c r="E1374" s="2" t="s">
        <v>3195</v>
      </c>
      <c r="F1374" s="2" t="s">
        <v>78</v>
      </c>
      <c r="G1374" s="2" t="s">
        <v>280</v>
      </c>
      <c r="H1374" s="2"/>
      <c r="I1374" s="2"/>
      <c r="J1374" s="2"/>
      <c r="K1374" s="2"/>
      <c r="L1374" s="2"/>
      <c r="M1374" s="2"/>
      <c r="N1374" s="2"/>
      <c r="O1374" s="2"/>
      <c r="P1374" s="2"/>
      <c r="Q1374" s="2"/>
      <c r="R1374" s="2"/>
      <c r="S1374" s="2"/>
      <c r="T1374" s="2"/>
      <c r="U1374" s="2"/>
      <c r="V1374" s="2"/>
      <c r="W1374" s="2"/>
      <c r="X1374" s="2"/>
      <c r="Y1374" s="2"/>
    </row>
    <row r="1375" spans="1:25" x14ac:dyDescent="0.2">
      <c r="A1375">
        <v>1730</v>
      </c>
      <c r="B1375" t="s">
        <v>3193</v>
      </c>
      <c r="C1375" t="s">
        <v>18</v>
      </c>
      <c r="D1375" t="s">
        <v>3196</v>
      </c>
      <c r="E1375" t="s">
        <v>3197</v>
      </c>
      <c r="F1375" t="s">
        <v>78</v>
      </c>
      <c r="G1375" t="s">
        <v>280</v>
      </c>
      <c r="H1375" t="b">
        <v>1</v>
      </c>
      <c r="K1375" t="b">
        <v>1</v>
      </c>
      <c r="L1375" t="b">
        <v>1</v>
      </c>
      <c r="M1375" t="s">
        <v>3198</v>
      </c>
      <c r="N1375" t="s">
        <v>3199</v>
      </c>
    </row>
    <row r="1376" spans="1:25" x14ac:dyDescent="0.2">
      <c r="A1376">
        <v>1731</v>
      </c>
      <c r="B1376" t="s">
        <v>3193</v>
      </c>
      <c r="C1376" t="s">
        <v>18</v>
      </c>
      <c r="D1376" t="s">
        <v>3200</v>
      </c>
      <c r="E1376" t="s">
        <v>19</v>
      </c>
      <c r="F1376" t="s">
        <v>616</v>
      </c>
      <c r="G1376" t="s">
        <v>280</v>
      </c>
      <c r="H1376" t="b">
        <v>0</v>
      </c>
      <c r="K1376" t="b">
        <v>0</v>
      </c>
      <c r="L1376" t="b">
        <v>0</v>
      </c>
      <c r="M1376" t="s">
        <v>3201</v>
      </c>
      <c r="N1376" t="s">
        <v>3202</v>
      </c>
    </row>
    <row r="1377" spans="1:25" x14ac:dyDescent="0.2">
      <c r="A1377">
        <v>1732</v>
      </c>
      <c r="B1377" t="s">
        <v>3193</v>
      </c>
      <c r="C1377" t="s">
        <v>18</v>
      </c>
      <c r="D1377" t="s">
        <v>3203</v>
      </c>
      <c r="E1377" t="s">
        <v>3204</v>
      </c>
      <c r="F1377" t="s">
        <v>78</v>
      </c>
      <c r="G1377" t="s">
        <v>134</v>
      </c>
      <c r="H1377" t="b">
        <v>0</v>
      </c>
      <c r="K1377" t="b">
        <v>0</v>
      </c>
      <c r="L1377" t="b">
        <v>0</v>
      </c>
    </row>
    <row r="1378" spans="1:25" x14ac:dyDescent="0.2">
      <c r="A1378">
        <v>1733</v>
      </c>
      <c r="B1378" t="s">
        <v>3193</v>
      </c>
      <c r="C1378" t="s">
        <v>18</v>
      </c>
      <c r="D1378" t="s">
        <v>3205</v>
      </c>
      <c r="E1378" t="s">
        <v>3206</v>
      </c>
      <c r="F1378" t="s">
        <v>616</v>
      </c>
      <c r="G1378" t="s">
        <v>280</v>
      </c>
      <c r="H1378" t="b">
        <v>0</v>
      </c>
      <c r="K1378" t="b">
        <v>0</v>
      </c>
      <c r="L1378" t="b">
        <v>0</v>
      </c>
    </row>
    <row r="1379" spans="1:25" x14ac:dyDescent="0.2">
      <c r="A1379">
        <v>1734</v>
      </c>
      <c r="B1379" t="s">
        <v>3193</v>
      </c>
      <c r="C1379" t="s">
        <v>18</v>
      </c>
      <c r="D1379" t="s">
        <v>1934</v>
      </c>
      <c r="E1379" t="s">
        <v>1935</v>
      </c>
      <c r="F1379" t="s">
        <v>205</v>
      </c>
      <c r="G1379" t="s">
        <v>280</v>
      </c>
      <c r="H1379" t="b">
        <v>0</v>
      </c>
      <c r="K1379" t="b">
        <v>0</v>
      </c>
      <c r="L1379" t="b">
        <v>0</v>
      </c>
    </row>
    <row r="1381" spans="1:25" x14ac:dyDescent="0.2">
      <c r="A1381" s="2">
        <v>1757</v>
      </c>
      <c r="B1381" s="2" t="s">
        <v>3207</v>
      </c>
      <c r="C1381" s="2" t="s">
        <v>13</v>
      </c>
      <c r="D1381" s="2" t="s">
        <v>3208</v>
      </c>
      <c r="E1381" s="2" t="s">
        <v>3209</v>
      </c>
      <c r="F1381" s="2" t="s">
        <v>369</v>
      </c>
      <c r="G1381" s="2" t="s">
        <v>24</v>
      </c>
      <c r="H1381" s="2"/>
      <c r="I1381" s="2"/>
      <c r="J1381" s="2"/>
      <c r="K1381" s="2"/>
      <c r="L1381" s="2"/>
      <c r="M1381" s="2"/>
      <c r="N1381" s="2"/>
      <c r="O1381" s="2"/>
      <c r="P1381" s="2"/>
      <c r="Q1381" s="2"/>
      <c r="R1381" s="2"/>
      <c r="S1381" s="2"/>
      <c r="T1381" s="2"/>
      <c r="U1381" s="2"/>
      <c r="V1381" s="2"/>
      <c r="W1381" s="2"/>
      <c r="X1381" s="2"/>
      <c r="Y1381" s="2"/>
    </row>
    <row r="1382" spans="1:25" x14ac:dyDescent="0.2">
      <c r="A1382">
        <v>1758</v>
      </c>
      <c r="B1382" t="s">
        <v>3207</v>
      </c>
      <c r="C1382" t="s">
        <v>18</v>
      </c>
      <c r="D1382" t="s">
        <v>3210</v>
      </c>
      <c r="E1382" t="s">
        <v>1541</v>
      </c>
      <c r="F1382" t="s">
        <v>369</v>
      </c>
      <c r="G1382" t="s">
        <v>24</v>
      </c>
      <c r="H1382" t="b">
        <v>1</v>
      </c>
      <c r="I1382" t="b">
        <v>1</v>
      </c>
      <c r="L1382" t="b">
        <v>1</v>
      </c>
      <c r="M1382" t="s">
        <v>3211</v>
      </c>
    </row>
    <row r="1383" spans="1:25" x14ac:dyDescent="0.2">
      <c r="A1383">
        <v>1759</v>
      </c>
      <c r="B1383" t="s">
        <v>3207</v>
      </c>
      <c r="C1383" t="s">
        <v>18</v>
      </c>
      <c r="D1383" t="s">
        <v>856</v>
      </c>
      <c r="E1383" t="s">
        <v>857</v>
      </c>
      <c r="F1383" t="s">
        <v>122</v>
      </c>
      <c r="G1383" t="s">
        <v>24</v>
      </c>
      <c r="H1383" t="b">
        <v>0</v>
      </c>
      <c r="I1383" t="b">
        <v>0</v>
      </c>
      <c r="L1383" t="b">
        <v>0</v>
      </c>
      <c r="M1383" t="s">
        <v>858</v>
      </c>
      <c r="N1383" t="s">
        <v>745</v>
      </c>
    </row>
    <row r="1384" spans="1:25" x14ac:dyDescent="0.2">
      <c r="A1384">
        <v>1760</v>
      </c>
      <c r="B1384" t="s">
        <v>3207</v>
      </c>
      <c r="C1384" t="s">
        <v>18</v>
      </c>
      <c r="D1384" t="s">
        <v>3212</v>
      </c>
      <c r="E1384" t="s">
        <v>3213</v>
      </c>
      <c r="F1384" t="s">
        <v>369</v>
      </c>
      <c r="G1384" t="s">
        <v>24</v>
      </c>
      <c r="H1384" t="b">
        <v>0</v>
      </c>
      <c r="I1384" t="b">
        <v>0</v>
      </c>
      <c r="L1384" t="b">
        <v>0</v>
      </c>
      <c r="M1384" t="s">
        <v>3214</v>
      </c>
      <c r="N1384" t="s">
        <v>745</v>
      </c>
    </row>
    <row r="1385" spans="1:25" x14ac:dyDescent="0.2">
      <c r="A1385">
        <v>1761</v>
      </c>
      <c r="B1385" t="s">
        <v>3207</v>
      </c>
      <c r="C1385" t="s">
        <v>18</v>
      </c>
      <c r="D1385" t="s">
        <v>3215</v>
      </c>
      <c r="E1385" t="s">
        <v>3216</v>
      </c>
      <c r="F1385" t="s">
        <v>670</v>
      </c>
      <c r="G1385" t="s">
        <v>24</v>
      </c>
      <c r="H1385" t="b">
        <v>0</v>
      </c>
      <c r="I1385" t="b">
        <v>0</v>
      </c>
      <c r="L1385" t="b">
        <v>0</v>
      </c>
      <c r="M1385" t="s">
        <v>3217</v>
      </c>
      <c r="N1385" t="s">
        <v>3218</v>
      </c>
    </row>
    <row r="1386" spans="1:25" x14ac:dyDescent="0.2">
      <c r="A1386">
        <v>1762</v>
      </c>
      <c r="B1386" t="s">
        <v>3207</v>
      </c>
      <c r="C1386" t="s">
        <v>18</v>
      </c>
      <c r="D1386" t="s">
        <v>3219</v>
      </c>
      <c r="E1386" t="s">
        <v>2364</v>
      </c>
      <c r="F1386" t="s">
        <v>78</v>
      </c>
      <c r="G1386" t="s">
        <v>24</v>
      </c>
      <c r="H1386" t="b">
        <v>0</v>
      </c>
      <c r="I1386" t="b">
        <v>0</v>
      </c>
      <c r="L1386" t="b">
        <v>0</v>
      </c>
    </row>
    <row r="1388" spans="1:25" x14ac:dyDescent="0.2">
      <c r="A1388" s="2">
        <v>1764</v>
      </c>
      <c r="B1388" s="2" t="s">
        <v>3220</v>
      </c>
      <c r="C1388" s="2" t="s">
        <v>13</v>
      </c>
      <c r="D1388" s="2" t="s">
        <v>3221</v>
      </c>
      <c r="E1388" s="2" t="s">
        <v>3222</v>
      </c>
      <c r="F1388" s="2" t="s">
        <v>174</v>
      </c>
      <c r="G1388" s="2" t="s">
        <v>88</v>
      </c>
      <c r="H1388" s="2"/>
      <c r="I1388" s="2"/>
      <c r="J1388" s="2"/>
      <c r="K1388" s="2"/>
      <c r="L1388" s="2"/>
      <c r="M1388" s="2"/>
      <c r="N1388" s="2"/>
      <c r="O1388" s="2"/>
      <c r="P1388" s="2"/>
      <c r="Q1388" s="2"/>
      <c r="R1388" s="2"/>
      <c r="S1388" s="2"/>
      <c r="T1388" s="2"/>
      <c r="U1388" s="2"/>
      <c r="V1388" s="2"/>
      <c r="W1388" s="2"/>
      <c r="X1388" s="2"/>
      <c r="Y1388" s="2"/>
    </row>
    <row r="1389" spans="1:25" x14ac:dyDescent="0.2">
      <c r="A1389">
        <v>1765</v>
      </c>
      <c r="B1389" t="s">
        <v>3220</v>
      </c>
      <c r="C1389" t="s">
        <v>18</v>
      </c>
      <c r="D1389" t="s">
        <v>3221</v>
      </c>
      <c r="E1389" t="s">
        <v>3222</v>
      </c>
      <c r="F1389" t="s">
        <v>174</v>
      </c>
      <c r="G1389" t="s">
        <v>88</v>
      </c>
      <c r="H1389" t="b">
        <v>1</v>
      </c>
      <c r="K1389" t="b">
        <v>1</v>
      </c>
      <c r="L1389" t="b">
        <v>1</v>
      </c>
      <c r="M1389" t="s">
        <v>3223</v>
      </c>
      <c r="N1389" t="s">
        <v>3224</v>
      </c>
      <c r="O1389" t="s">
        <v>3225</v>
      </c>
    </row>
    <row r="1390" spans="1:25" x14ac:dyDescent="0.2">
      <c r="A1390">
        <v>1766</v>
      </c>
      <c r="B1390" t="s">
        <v>3220</v>
      </c>
      <c r="C1390" t="s">
        <v>18</v>
      </c>
      <c r="D1390" t="s">
        <v>3226</v>
      </c>
      <c r="E1390" t="s">
        <v>3227</v>
      </c>
      <c r="F1390" t="s">
        <v>23</v>
      </c>
      <c r="G1390" t="s">
        <v>134</v>
      </c>
      <c r="H1390" t="b">
        <v>0</v>
      </c>
      <c r="K1390" t="b">
        <v>0</v>
      </c>
      <c r="L1390" t="b">
        <v>0</v>
      </c>
      <c r="M1390" t="s">
        <v>3228</v>
      </c>
    </row>
    <row r="1391" spans="1:25" x14ac:dyDescent="0.2">
      <c r="A1391">
        <v>1767</v>
      </c>
      <c r="B1391" t="s">
        <v>3220</v>
      </c>
      <c r="C1391" t="s">
        <v>18</v>
      </c>
      <c r="D1391" t="s">
        <v>3229</v>
      </c>
      <c r="E1391" t="s">
        <v>3230</v>
      </c>
      <c r="F1391" t="s">
        <v>82</v>
      </c>
      <c r="G1391" t="s">
        <v>134</v>
      </c>
      <c r="H1391" t="b">
        <v>0</v>
      </c>
      <c r="K1391" t="b">
        <v>0</v>
      </c>
      <c r="L1391" t="b">
        <v>0</v>
      </c>
      <c r="M1391" t="s">
        <v>3231</v>
      </c>
    </row>
    <row r="1392" spans="1:25" x14ac:dyDescent="0.2">
      <c r="A1392">
        <v>1768</v>
      </c>
      <c r="B1392" t="s">
        <v>3220</v>
      </c>
      <c r="C1392" t="s">
        <v>18</v>
      </c>
      <c r="D1392" t="s">
        <v>3232</v>
      </c>
      <c r="E1392" t="s">
        <v>3233</v>
      </c>
      <c r="F1392" t="s">
        <v>159</v>
      </c>
      <c r="G1392" t="s">
        <v>134</v>
      </c>
      <c r="H1392" t="b">
        <v>0</v>
      </c>
      <c r="K1392" t="b">
        <v>0</v>
      </c>
      <c r="L1392" t="b">
        <v>0</v>
      </c>
      <c r="M1392" t="s">
        <v>3234</v>
      </c>
    </row>
    <row r="1393" spans="1:25" x14ac:dyDescent="0.2">
      <c r="A1393">
        <v>1769</v>
      </c>
      <c r="B1393" t="s">
        <v>3220</v>
      </c>
      <c r="C1393" t="s">
        <v>18</v>
      </c>
      <c r="D1393" t="s">
        <v>3235</v>
      </c>
      <c r="E1393" t="s">
        <v>3236</v>
      </c>
      <c r="F1393" t="s">
        <v>82</v>
      </c>
      <c r="G1393" t="s">
        <v>134</v>
      </c>
      <c r="H1393" t="b">
        <v>0</v>
      </c>
      <c r="K1393" t="b">
        <v>0</v>
      </c>
      <c r="L1393" t="b">
        <v>0</v>
      </c>
    </row>
    <row r="1395" spans="1:25" x14ac:dyDescent="0.2">
      <c r="A1395" s="2">
        <v>1792</v>
      </c>
      <c r="B1395" s="2" t="s">
        <v>3237</v>
      </c>
      <c r="C1395" s="2" t="s">
        <v>13</v>
      </c>
      <c r="D1395" s="2" t="s">
        <v>3238</v>
      </c>
      <c r="E1395" s="2" t="s">
        <v>3239</v>
      </c>
      <c r="F1395" s="2" t="s">
        <v>122</v>
      </c>
      <c r="G1395" s="2" t="s">
        <v>417</v>
      </c>
      <c r="H1395" s="2"/>
      <c r="I1395" s="2"/>
      <c r="J1395" s="2"/>
      <c r="K1395" s="2"/>
      <c r="L1395" s="2"/>
      <c r="M1395" s="2"/>
      <c r="N1395" s="2"/>
      <c r="O1395" s="2"/>
      <c r="P1395" s="2"/>
      <c r="Q1395" s="2"/>
      <c r="R1395" s="2"/>
      <c r="S1395" s="2"/>
      <c r="T1395" s="2"/>
      <c r="U1395" s="2"/>
      <c r="V1395" s="2"/>
      <c r="W1395" s="2"/>
      <c r="X1395" s="2"/>
      <c r="Y1395" s="2"/>
    </row>
    <row r="1396" spans="1:25" x14ac:dyDescent="0.2">
      <c r="A1396">
        <v>1793</v>
      </c>
      <c r="B1396" t="s">
        <v>3237</v>
      </c>
      <c r="C1396" t="s">
        <v>18</v>
      </c>
      <c r="D1396" t="s">
        <v>3238</v>
      </c>
      <c r="E1396" t="s">
        <v>3239</v>
      </c>
      <c r="F1396" t="s">
        <v>122</v>
      </c>
      <c r="G1396" t="s">
        <v>417</v>
      </c>
      <c r="H1396" t="b">
        <v>1</v>
      </c>
      <c r="K1396" t="b">
        <v>1</v>
      </c>
      <c r="L1396" t="b">
        <v>1</v>
      </c>
      <c r="M1396" t="s">
        <v>3240</v>
      </c>
      <c r="N1396" t="s">
        <v>3241</v>
      </c>
      <c r="O1396" t="s">
        <v>3242</v>
      </c>
    </row>
    <row r="1397" spans="1:25" x14ac:dyDescent="0.2">
      <c r="A1397">
        <v>1794</v>
      </c>
      <c r="B1397" t="s">
        <v>3237</v>
      </c>
      <c r="C1397" t="s">
        <v>18</v>
      </c>
      <c r="D1397" t="s">
        <v>3243</v>
      </c>
      <c r="E1397" t="s">
        <v>3244</v>
      </c>
      <c r="F1397" t="s">
        <v>78</v>
      </c>
      <c r="G1397" t="s">
        <v>417</v>
      </c>
      <c r="H1397" t="b">
        <v>0</v>
      </c>
      <c r="K1397" t="b">
        <v>0</v>
      </c>
      <c r="L1397" t="b">
        <v>0</v>
      </c>
      <c r="M1397" t="s">
        <v>3245</v>
      </c>
      <c r="N1397" t="s">
        <v>3246</v>
      </c>
    </row>
    <row r="1398" spans="1:25" x14ac:dyDescent="0.2">
      <c r="A1398">
        <v>1795</v>
      </c>
      <c r="B1398" t="s">
        <v>3237</v>
      </c>
      <c r="C1398" t="s">
        <v>18</v>
      </c>
      <c r="D1398" t="s">
        <v>3247</v>
      </c>
      <c r="E1398" t="s">
        <v>3248</v>
      </c>
      <c r="F1398" t="s">
        <v>122</v>
      </c>
      <c r="G1398" t="s">
        <v>62</v>
      </c>
      <c r="H1398" t="b">
        <v>0</v>
      </c>
      <c r="K1398" t="b">
        <v>0</v>
      </c>
      <c r="L1398" t="b">
        <v>0</v>
      </c>
      <c r="M1398" t="s">
        <v>3249</v>
      </c>
      <c r="N1398" t="s">
        <v>3250</v>
      </c>
    </row>
    <row r="1399" spans="1:25" x14ac:dyDescent="0.2">
      <c r="A1399">
        <v>1796</v>
      </c>
      <c r="B1399" t="s">
        <v>3237</v>
      </c>
      <c r="C1399" t="s">
        <v>18</v>
      </c>
      <c r="D1399" t="s">
        <v>1288</v>
      </c>
      <c r="E1399" t="s">
        <v>1289</v>
      </c>
      <c r="F1399" t="s">
        <v>122</v>
      </c>
      <c r="G1399" t="s">
        <v>1290</v>
      </c>
      <c r="H1399" t="b">
        <v>0</v>
      </c>
      <c r="K1399" t="b">
        <v>0</v>
      </c>
      <c r="L1399" t="b">
        <v>0</v>
      </c>
    </row>
    <row r="1400" spans="1:25" x14ac:dyDescent="0.2">
      <c r="A1400">
        <v>1797</v>
      </c>
      <c r="B1400" t="s">
        <v>3237</v>
      </c>
      <c r="C1400" t="s">
        <v>18</v>
      </c>
      <c r="D1400" t="s">
        <v>1291</v>
      </c>
      <c r="E1400" t="s">
        <v>1292</v>
      </c>
      <c r="F1400" t="s">
        <v>122</v>
      </c>
      <c r="G1400" t="s">
        <v>1290</v>
      </c>
      <c r="H1400" t="b">
        <v>0</v>
      </c>
      <c r="K1400" t="b">
        <v>0</v>
      </c>
      <c r="L1400" t="b">
        <v>0</v>
      </c>
    </row>
    <row r="1402" spans="1:25" x14ac:dyDescent="0.2">
      <c r="A1402" s="2">
        <v>1799</v>
      </c>
      <c r="B1402" s="2" t="s">
        <v>3251</v>
      </c>
      <c r="C1402" s="2" t="s">
        <v>13</v>
      </c>
      <c r="D1402" s="2" t="s">
        <v>3252</v>
      </c>
      <c r="E1402" s="2" t="s">
        <v>3253</v>
      </c>
      <c r="F1402" s="2" t="s">
        <v>654</v>
      </c>
      <c r="G1402" s="2" t="s">
        <v>417</v>
      </c>
      <c r="H1402" s="2"/>
      <c r="I1402" s="2"/>
      <c r="J1402" s="2"/>
      <c r="K1402" s="2"/>
      <c r="L1402" s="2"/>
      <c r="M1402" s="2"/>
      <c r="N1402" s="2"/>
      <c r="O1402" s="2"/>
      <c r="P1402" s="2"/>
      <c r="Q1402" s="2"/>
      <c r="R1402" s="2"/>
      <c r="S1402" s="2"/>
      <c r="T1402" s="2"/>
      <c r="U1402" s="2"/>
      <c r="V1402" s="2"/>
      <c r="W1402" s="2"/>
      <c r="X1402" s="2"/>
      <c r="Y1402" s="2"/>
    </row>
    <row r="1403" spans="1:25" x14ac:dyDescent="0.2">
      <c r="A1403">
        <v>1800</v>
      </c>
      <c r="B1403" t="s">
        <v>3251</v>
      </c>
      <c r="C1403" t="s">
        <v>18</v>
      </c>
      <c r="D1403" t="s">
        <v>3254</v>
      </c>
      <c r="E1403" t="s">
        <v>3255</v>
      </c>
      <c r="F1403" t="s">
        <v>654</v>
      </c>
      <c r="G1403" t="s">
        <v>2278</v>
      </c>
      <c r="H1403" t="b">
        <v>0</v>
      </c>
      <c r="K1403" t="b">
        <v>0</v>
      </c>
      <c r="L1403" t="b">
        <v>0</v>
      </c>
    </row>
    <row r="1404" spans="1:25" x14ac:dyDescent="0.2">
      <c r="A1404">
        <v>1801</v>
      </c>
      <c r="B1404" t="s">
        <v>3251</v>
      </c>
      <c r="C1404" t="s">
        <v>18</v>
      </c>
      <c r="D1404" t="s">
        <v>3256</v>
      </c>
      <c r="E1404" t="s">
        <v>3257</v>
      </c>
      <c r="F1404" t="s">
        <v>654</v>
      </c>
      <c r="G1404" t="s">
        <v>417</v>
      </c>
      <c r="H1404" t="b">
        <v>0</v>
      </c>
      <c r="K1404" t="b">
        <v>0</v>
      </c>
      <c r="L1404" t="b">
        <v>0</v>
      </c>
      <c r="M1404" t="s">
        <v>3258</v>
      </c>
      <c r="N1404" t="s">
        <v>3259</v>
      </c>
    </row>
    <row r="1405" spans="1:25" x14ac:dyDescent="0.2">
      <c r="A1405">
        <v>1802</v>
      </c>
      <c r="B1405" t="s">
        <v>3251</v>
      </c>
      <c r="C1405" t="s">
        <v>18</v>
      </c>
      <c r="D1405" t="s">
        <v>434</v>
      </c>
      <c r="E1405" t="s">
        <v>435</v>
      </c>
      <c r="F1405" t="s">
        <v>23</v>
      </c>
      <c r="G1405" t="s">
        <v>417</v>
      </c>
      <c r="H1405" t="b">
        <v>0</v>
      </c>
      <c r="K1405" t="b">
        <v>0</v>
      </c>
      <c r="L1405" t="b">
        <v>0</v>
      </c>
      <c r="M1405" t="s">
        <v>3260</v>
      </c>
      <c r="N1405" t="s">
        <v>3261</v>
      </c>
    </row>
    <row r="1406" spans="1:25" x14ac:dyDescent="0.2">
      <c r="A1406">
        <v>1803</v>
      </c>
      <c r="B1406" t="s">
        <v>3251</v>
      </c>
      <c r="C1406" t="s">
        <v>18</v>
      </c>
      <c r="D1406" t="s">
        <v>3262</v>
      </c>
      <c r="E1406" t="s">
        <v>3263</v>
      </c>
      <c r="F1406" t="s">
        <v>27</v>
      </c>
      <c r="G1406" t="s">
        <v>417</v>
      </c>
      <c r="H1406" t="b">
        <v>0</v>
      </c>
      <c r="K1406" t="b">
        <v>0</v>
      </c>
      <c r="L1406" t="b">
        <v>0</v>
      </c>
      <c r="M1406" t="s">
        <v>3264</v>
      </c>
      <c r="N1406" t="s">
        <v>3265</v>
      </c>
    </row>
    <row r="1407" spans="1:25" x14ac:dyDescent="0.2">
      <c r="A1407">
        <v>1804</v>
      </c>
      <c r="B1407" t="s">
        <v>3251</v>
      </c>
      <c r="C1407" t="s">
        <v>18</v>
      </c>
      <c r="D1407" t="s">
        <v>428</v>
      </c>
      <c r="E1407" t="s">
        <v>429</v>
      </c>
      <c r="F1407" t="s">
        <v>174</v>
      </c>
      <c r="G1407" t="s">
        <v>417</v>
      </c>
      <c r="H1407" t="b">
        <v>0</v>
      </c>
      <c r="K1407" t="b">
        <v>0</v>
      </c>
      <c r="L1407" t="b">
        <v>0</v>
      </c>
      <c r="M1407" t="s">
        <v>3266</v>
      </c>
      <c r="N1407" t="s">
        <v>3267</v>
      </c>
    </row>
    <row r="1409" spans="1:25" x14ac:dyDescent="0.2">
      <c r="A1409" s="2">
        <v>1806</v>
      </c>
      <c r="B1409" s="2" t="s">
        <v>3268</v>
      </c>
      <c r="C1409" s="2" t="s">
        <v>13</v>
      </c>
      <c r="D1409" s="2" t="s">
        <v>3269</v>
      </c>
      <c r="E1409" s="2" t="s">
        <v>3270</v>
      </c>
      <c r="F1409" s="2" t="s">
        <v>87</v>
      </c>
      <c r="G1409" s="2" t="s">
        <v>252</v>
      </c>
      <c r="H1409" s="2"/>
      <c r="I1409" s="2"/>
      <c r="J1409" s="2"/>
      <c r="K1409" s="2"/>
      <c r="L1409" s="2"/>
      <c r="M1409" s="2"/>
      <c r="N1409" s="2"/>
      <c r="O1409" s="2"/>
      <c r="P1409" s="2"/>
      <c r="Q1409" s="2"/>
      <c r="R1409" s="2"/>
      <c r="S1409" s="2"/>
      <c r="T1409" s="2"/>
      <c r="U1409" s="2"/>
      <c r="V1409" s="2"/>
      <c r="W1409" s="2"/>
      <c r="X1409" s="2"/>
      <c r="Y1409" s="2"/>
    </row>
    <row r="1410" spans="1:25" x14ac:dyDescent="0.2">
      <c r="A1410">
        <v>1807</v>
      </c>
      <c r="B1410" t="s">
        <v>3268</v>
      </c>
      <c r="C1410" t="s">
        <v>18</v>
      </c>
      <c r="D1410" t="s">
        <v>3269</v>
      </c>
      <c r="E1410" t="s">
        <v>3270</v>
      </c>
      <c r="F1410" t="s">
        <v>87</v>
      </c>
      <c r="G1410" t="s">
        <v>252</v>
      </c>
      <c r="H1410" t="b">
        <v>1</v>
      </c>
      <c r="K1410" t="b">
        <v>1</v>
      </c>
      <c r="L1410" t="b">
        <v>1</v>
      </c>
      <c r="M1410" t="s">
        <v>3271</v>
      </c>
      <c r="N1410" t="s">
        <v>3272</v>
      </c>
      <c r="O1410" t="s">
        <v>3273</v>
      </c>
      <c r="P1410" t="s">
        <v>3274</v>
      </c>
    </row>
    <row r="1411" spans="1:25" x14ac:dyDescent="0.2">
      <c r="A1411">
        <v>1808</v>
      </c>
      <c r="B1411" t="s">
        <v>3268</v>
      </c>
      <c r="C1411" t="s">
        <v>18</v>
      </c>
      <c r="D1411" t="s">
        <v>3275</v>
      </c>
      <c r="E1411" t="s">
        <v>3276</v>
      </c>
      <c r="F1411" t="s">
        <v>78</v>
      </c>
      <c r="G1411" t="s">
        <v>88</v>
      </c>
      <c r="H1411" t="b">
        <v>0</v>
      </c>
      <c r="K1411" t="b">
        <v>0</v>
      </c>
      <c r="L1411" t="b">
        <v>0</v>
      </c>
    </row>
    <row r="1412" spans="1:25" x14ac:dyDescent="0.2">
      <c r="A1412">
        <v>1809</v>
      </c>
      <c r="B1412" t="s">
        <v>3268</v>
      </c>
      <c r="C1412" t="s">
        <v>18</v>
      </c>
      <c r="D1412" t="s">
        <v>3277</v>
      </c>
      <c r="E1412" t="s">
        <v>3278</v>
      </c>
      <c r="F1412" t="s">
        <v>78</v>
      </c>
      <c r="G1412" t="s">
        <v>130</v>
      </c>
      <c r="H1412" t="b">
        <v>0</v>
      </c>
      <c r="K1412" t="b">
        <v>0</v>
      </c>
      <c r="L1412" t="b">
        <v>0</v>
      </c>
      <c r="M1412" t="s">
        <v>3279</v>
      </c>
      <c r="N1412" t="s">
        <v>3280</v>
      </c>
      <c r="O1412" t="s">
        <v>3281</v>
      </c>
    </row>
    <row r="1413" spans="1:25" x14ac:dyDescent="0.2">
      <c r="A1413">
        <v>1810</v>
      </c>
      <c r="B1413" t="s">
        <v>3268</v>
      </c>
      <c r="C1413" t="s">
        <v>18</v>
      </c>
      <c r="D1413" t="s">
        <v>3282</v>
      </c>
      <c r="E1413" t="s">
        <v>3283</v>
      </c>
      <c r="F1413" t="s">
        <v>78</v>
      </c>
      <c r="G1413" t="s">
        <v>130</v>
      </c>
      <c r="H1413" t="b">
        <v>0</v>
      </c>
      <c r="K1413" t="b">
        <v>0</v>
      </c>
      <c r="L1413" t="b">
        <v>0</v>
      </c>
      <c r="M1413" t="s">
        <v>3284</v>
      </c>
      <c r="N1413" t="s">
        <v>3285</v>
      </c>
    </row>
    <row r="1414" spans="1:25" x14ac:dyDescent="0.2">
      <c r="A1414">
        <v>1811</v>
      </c>
      <c r="B1414" t="s">
        <v>3268</v>
      </c>
      <c r="C1414" t="s">
        <v>18</v>
      </c>
      <c r="D1414" t="s">
        <v>2866</v>
      </c>
      <c r="E1414" t="s">
        <v>2867</v>
      </c>
      <c r="F1414" t="s">
        <v>78</v>
      </c>
      <c r="G1414" t="s">
        <v>130</v>
      </c>
      <c r="H1414" t="b">
        <v>0</v>
      </c>
      <c r="K1414" t="b">
        <v>0</v>
      </c>
      <c r="L1414" t="b">
        <v>0</v>
      </c>
      <c r="M1414" t="s">
        <v>2868</v>
      </c>
      <c r="N1414" t="s">
        <v>2869</v>
      </c>
      <c r="O1414" t="s">
        <v>2870</v>
      </c>
      <c r="P1414" t="s">
        <v>2871</v>
      </c>
    </row>
    <row r="1416" spans="1:25" x14ac:dyDescent="0.2">
      <c r="A1416" s="2">
        <v>182</v>
      </c>
      <c r="B1416" s="2" t="s">
        <v>3286</v>
      </c>
      <c r="C1416" s="2" t="s">
        <v>13</v>
      </c>
      <c r="D1416" s="2" t="s">
        <v>3287</v>
      </c>
      <c r="E1416" s="2" t="s">
        <v>3288</v>
      </c>
      <c r="F1416" s="2" t="s">
        <v>82</v>
      </c>
      <c r="G1416" s="2" t="s">
        <v>265</v>
      </c>
      <c r="H1416" s="2"/>
      <c r="I1416" s="2"/>
      <c r="J1416" s="2"/>
      <c r="K1416" s="2"/>
      <c r="L1416" s="2"/>
      <c r="M1416" s="2"/>
      <c r="N1416" s="2"/>
      <c r="O1416" s="2"/>
      <c r="P1416" s="2"/>
      <c r="Q1416" s="2"/>
      <c r="R1416" s="2"/>
      <c r="S1416" s="2"/>
      <c r="T1416" s="2"/>
      <c r="U1416" s="2"/>
      <c r="V1416" s="2"/>
      <c r="W1416" s="2"/>
      <c r="X1416" s="2"/>
      <c r="Y1416" s="2"/>
    </row>
    <row r="1417" spans="1:25" x14ac:dyDescent="0.2">
      <c r="A1417">
        <v>183</v>
      </c>
      <c r="B1417" t="s">
        <v>3286</v>
      </c>
      <c r="C1417" t="s">
        <v>18</v>
      </c>
      <c r="D1417" t="s">
        <v>3287</v>
      </c>
      <c r="E1417" t="s">
        <v>3289</v>
      </c>
      <c r="F1417" t="s">
        <v>82</v>
      </c>
      <c r="G1417" t="s">
        <v>265</v>
      </c>
      <c r="H1417" t="b">
        <v>1</v>
      </c>
      <c r="K1417" t="b">
        <v>1</v>
      </c>
      <c r="L1417" t="b">
        <v>1</v>
      </c>
      <c r="M1417" t="s">
        <v>3290</v>
      </c>
      <c r="N1417" t="s">
        <v>745</v>
      </c>
    </row>
    <row r="1418" spans="1:25" x14ac:dyDescent="0.2">
      <c r="A1418">
        <v>184</v>
      </c>
      <c r="B1418" t="s">
        <v>3286</v>
      </c>
      <c r="C1418" t="s">
        <v>18</v>
      </c>
      <c r="D1418" t="s">
        <v>3291</v>
      </c>
      <c r="E1418" t="s">
        <v>3292</v>
      </c>
      <c r="F1418" t="s">
        <v>82</v>
      </c>
      <c r="G1418" t="s">
        <v>265</v>
      </c>
      <c r="H1418" t="b">
        <v>1</v>
      </c>
      <c r="K1418" t="b">
        <v>1</v>
      </c>
      <c r="L1418" t="b">
        <v>1</v>
      </c>
      <c r="M1418" t="s">
        <v>3293</v>
      </c>
    </row>
    <row r="1419" spans="1:25" x14ac:dyDescent="0.2">
      <c r="A1419">
        <v>185</v>
      </c>
      <c r="B1419" t="s">
        <v>3286</v>
      </c>
      <c r="C1419" t="s">
        <v>18</v>
      </c>
      <c r="D1419" t="s">
        <v>3294</v>
      </c>
      <c r="E1419" t="s">
        <v>356</v>
      </c>
      <c r="F1419" t="s">
        <v>82</v>
      </c>
      <c r="G1419" t="s">
        <v>265</v>
      </c>
      <c r="H1419" t="b">
        <v>0</v>
      </c>
      <c r="K1419" t="b">
        <v>0</v>
      </c>
      <c r="L1419" t="b">
        <v>0</v>
      </c>
      <c r="M1419" t="s">
        <v>3295</v>
      </c>
    </row>
    <row r="1420" spans="1:25" x14ac:dyDescent="0.2">
      <c r="A1420">
        <v>186</v>
      </c>
      <c r="B1420" t="s">
        <v>3286</v>
      </c>
      <c r="C1420" t="s">
        <v>18</v>
      </c>
      <c r="D1420" t="s">
        <v>3296</v>
      </c>
      <c r="E1420" t="s">
        <v>3297</v>
      </c>
      <c r="F1420" t="s">
        <v>82</v>
      </c>
      <c r="G1420" t="s">
        <v>265</v>
      </c>
      <c r="H1420" t="b">
        <v>0</v>
      </c>
      <c r="K1420" t="b">
        <v>0</v>
      </c>
      <c r="L1420" t="b">
        <v>0</v>
      </c>
      <c r="M1420" t="s">
        <v>3298</v>
      </c>
      <c r="N1420" t="s">
        <v>745</v>
      </c>
    </row>
    <row r="1421" spans="1:25" x14ac:dyDescent="0.2">
      <c r="A1421">
        <v>187</v>
      </c>
      <c r="B1421" t="s">
        <v>3286</v>
      </c>
      <c r="C1421" t="s">
        <v>18</v>
      </c>
      <c r="D1421" t="s">
        <v>3299</v>
      </c>
      <c r="E1421" t="s">
        <v>3300</v>
      </c>
      <c r="F1421" t="s">
        <v>82</v>
      </c>
      <c r="G1421" t="s">
        <v>265</v>
      </c>
      <c r="H1421" t="b">
        <v>0</v>
      </c>
      <c r="K1421" t="b">
        <v>0</v>
      </c>
      <c r="L1421" t="b">
        <v>0</v>
      </c>
    </row>
    <row r="1423" spans="1:25" x14ac:dyDescent="0.2">
      <c r="A1423" s="2">
        <v>1820</v>
      </c>
      <c r="B1423" s="2" t="s">
        <v>3301</v>
      </c>
      <c r="C1423" s="2" t="s">
        <v>13</v>
      </c>
      <c r="D1423" s="2" t="s">
        <v>3302</v>
      </c>
      <c r="E1423" s="2" t="s">
        <v>3303</v>
      </c>
      <c r="F1423" s="2" t="s">
        <v>168</v>
      </c>
      <c r="G1423" s="2" t="s">
        <v>1405</v>
      </c>
      <c r="H1423" s="2"/>
      <c r="I1423" s="2"/>
      <c r="J1423" s="2"/>
      <c r="K1423" s="2"/>
      <c r="L1423" s="2"/>
      <c r="M1423" s="2"/>
      <c r="N1423" s="2"/>
      <c r="O1423" s="2"/>
      <c r="P1423" s="2"/>
      <c r="Q1423" s="2"/>
      <c r="R1423" s="2"/>
      <c r="S1423" s="2"/>
      <c r="T1423" s="2"/>
      <c r="U1423" s="2"/>
      <c r="V1423" s="2"/>
      <c r="W1423" s="2"/>
      <c r="X1423" s="2"/>
      <c r="Y1423" s="2"/>
    </row>
    <row r="1424" spans="1:25" x14ac:dyDescent="0.2">
      <c r="A1424">
        <v>1821</v>
      </c>
      <c r="B1424" t="s">
        <v>3301</v>
      </c>
      <c r="C1424" t="s">
        <v>18</v>
      </c>
      <c r="D1424" t="s">
        <v>3302</v>
      </c>
      <c r="E1424" t="s">
        <v>3304</v>
      </c>
      <c r="F1424" t="s">
        <v>168</v>
      </c>
      <c r="G1424" t="s">
        <v>1406</v>
      </c>
      <c r="H1424" t="b">
        <v>1</v>
      </c>
      <c r="I1424" t="b">
        <v>1</v>
      </c>
      <c r="L1424" t="b">
        <v>1</v>
      </c>
      <c r="M1424" t="s">
        <v>3305</v>
      </c>
      <c r="N1424" t="s">
        <v>3306</v>
      </c>
    </row>
    <row r="1425" spans="1:25" x14ac:dyDescent="0.2">
      <c r="A1425">
        <v>1822</v>
      </c>
      <c r="B1425" t="s">
        <v>3301</v>
      </c>
      <c r="C1425" t="s">
        <v>18</v>
      </c>
      <c r="D1425" t="s">
        <v>3307</v>
      </c>
      <c r="E1425" t="s">
        <v>3308</v>
      </c>
      <c r="F1425" t="s">
        <v>168</v>
      </c>
      <c r="G1425" t="s">
        <v>32</v>
      </c>
      <c r="H1425" t="b">
        <v>1</v>
      </c>
      <c r="I1425" t="b">
        <v>0</v>
      </c>
      <c r="L1425" t="b">
        <v>0</v>
      </c>
    </row>
    <row r="1426" spans="1:25" x14ac:dyDescent="0.2">
      <c r="A1426">
        <v>1823</v>
      </c>
      <c r="B1426" t="s">
        <v>3301</v>
      </c>
      <c r="C1426" t="s">
        <v>18</v>
      </c>
      <c r="D1426" t="s">
        <v>3309</v>
      </c>
      <c r="E1426" t="s">
        <v>1214</v>
      </c>
      <c r="F1426" t="s">
        <v>654</v>
      </c>
      <c r="G1426" t="s">
        <v>1406</v>
      </c>
      <c r="H1426" t="b">
        <v>0</v>
      </c>
      <c r="I1426" t="b">
        <v>0</v>
      </c>
      <c r="L1426" t="b">
        <v>0</v>
      </c>
      <c r="M1426" t="s">
        <v>3310</v>
      </c>
    </row>
    <row r="1427" spans="1:25" x14ac:dyDescent="0.2">
      <c r="A1427">
        <v>1824</v>
      </c>
      <c r="B1427" t="s">
        <v>3301</v>
      </c>
      <c r="C1427" t="s">
        <v>18</v>
      </c>
      <c r="D1427" t="s">
        <v>3311</v>
      </c>
      <c r="E1427" t="s">
        <v>231</v>
      </c>
      <c r="F1427" t="s">
        <v>654</v>
      </c>
      <c r="G1427" t="s">
        <v>1406</v>
      </c>
      <c r="H1427" t="b">
        <v>0</v>
      </c>
      <c r="I1427" t="b">
        <v>0</v>
      </c>
      <c r="L1427" t="b">
        <v>0</v>
      </c>
      <c r="M1427" t="s">
        <v>3312</v>
      </c>
    </row>
    <row r="1428" spans="1:25" x14ac:dyDescent="0.2">
      <c r="A1428">
        <v>1825</v>
      </c>
      <c r="B1428" t="s">
        <v>3301</v>
      </c>
      <c r="C1428" t="s">
        <v>18</v>
      </c>
      <c r="D1428" t="s">
        <v>3313</v>
      </c>
      <c r="E1428" t="s">
        <v>3314</v>
      </c>
      <c r="F1428" t="s">
        <v>45</v>
      </c>
      <c r="G1428" t="s">
        <v>1406</v>
      </c>
      <c r="H1428" t="b">
        <v>0</v>
      </c>
      <c r="I1428" t="b">
        <v>0</v>
      </c>
      <c r="L1428" t="b">
        <v>0</v>
      </c>
      <c r="M1428" t="s">
        <v>3315</v>
      </c>
    </row>
    <row r="1430" spans="1:25" x14ac:dyDescent="0.2">
      <c r="A1430" s="2">
        <v>1848</v>
      </c>
      <c r="B1430" s="2" t="s">
        <v>3316</v>
      </c>
      <c r="C1430" s="2" t="s">
        <v>13</v>
      </c>
      <c r="D1430" s="2" t="s">
        <v>3317</v>
      </c>
      <c r="E1430" s="2" t="s">
        <v>3318</v>
      </c>
      <c r="F1430" s="2" t="s">
        <v>316</v>
      </c>
      <c r="G1430" s="2" t="s">
        <v>3319</v>
      </c>
      <c r="H1430" s="2"/>
      <c r="I1430" s="2"/>
      <c r="J1430" s="2"/>
      <c r="K1430" s="2"/>
      <c r="L1430" s="2"/>
      <c r="M1430" s="2"/>
      <c r="N1430" s="2"/>
      <c r="O1430" s="2"/>
      <c r="P1430" s="2"/>
      <c r="Q1430" s="2"/>
      <c r="R1430" s="2"/>
      <c r="S1430" s="2"/>
      <c r="T1430" s="2"/>
      <c r="U1430" s="2"/>
      <c r="V1430" s="2"/>
      <c r="W1430" s="2"/>
      <c r="X1430" s="2"/>
      <c r="Y1430" s="2"/>
    </row>
    <row r="1431" spans="1:25" x14ac:dyDescent="0.2">
      <c r="A1431">
        <v>1849</v>
      </c>
      <c r="B1431" t="s">
        <v>3316</v>
      </c>
      <c r="C1431" t="s">
        <v>18</v>
      </c>
      <c r="D1431" t="s">
        <v>3317</v>
      </c>
      <c r="E1431" t="s">
        <v>2842</v>
      </c>
      <c r="F1431" t="s">
        <v>316</v>
      </c>
      <c r="G1431" t="s">
        <v>3319</v>
      </c>
      <c r="H1431" t="b">
        <v>1</v>
      </c>
      <c r="I1431" t="b">
        <v>1</v>
      </c>
      <c r="L1431" t="b">
        <v>1</v>
      </c>
      <c r="M1431" t="s">
        <v>3320</v>
      </c>
      <c r="N1431" t="s">
        <v>3321</v>
      </c>
    </row>
    <row r="1432" spans="1:25" x14ac:dyDescent="0.2">
      <c r="A1432">
        <v>1850</v>
      </c>
      <c r="B1432" t="s">
        <v>3316</v>
      </c>
      <c r="C1432" t="s">
        <v>18</v>
      </c>
      <c r="D1432" t="s">
        <v>3322</v>
      </c>
      <c r="E1432" t="s">
        <v>3323</v>
      </c>
      <c r="F1432" t="s">
        <v>952</v>
      </c>
      <c r="G1432" t="s">
        <v>3324</v>
      </c>
      <c r="H1432" t="b">
        <v>0</v>
      </c>
      <c r="I1432" t="b">
        <v>0</v>
      </c>
      <c r="L1432" t="b">
        <v>0</v>
      </c>
      <c r="M1432" t="s">
        <v>3325</v>
      </c>
      <c r="N1432" t="s">
        <v>3326</v>
      </c>
      <c r="O1432" t="s">
        <v>3327</v>
      </c>
      <c r="P1432" t="s">
        <v>3328</v>
      </c>
    </row>
    <row r="1433" spans="1:25" x14ac:dyDescent="0.2">
      <c r="A1433">
        <v>1851</v>
      </c>
      <c r="B1433" t="s">
        <v>3316</v>
      </c>
      <c r="C1433" t="s">
        <v>18</v>
      </c>
      <c r="D1433" t="s">
        <v>3329</v>
      </c>
      <c r="E1433" t="s">
        <v>3330</v>
      </c>
      <c r="F1433" t="s">
        <v>78</v>
      </c>
      <c r="G1433" t="s">
        <v>280</v>
      </c>
      <c r="H1433" t="b">
        <v>0</v>
      </c>
      <c r="I1433" t="b">
        <v>0</v>
      </c>
      <c r="L1433" t="b">
        <v>0</v>
      </c>
      <c r="M1433" t="s">
        <v>3331</v>
      </c>
      <c r="N1433" t="s">
        <v>3332</v>
      </c>
      <c r="O1433" t="s">
        <v>3333</v>
      </c>
      <c r="P1433" t="s">
        <v>3334</v>
      </c>
    </row>
    <row r="1434" spans="1:25" x14ac:dyDescent="0.2">
      <c r="A1434">
        <v>1852</v>
      </c>
      <c r="B1434" t="s">
        <v>3316</v>
      </c>
      <c r="C1434" t="s">
        <v>18</v>
      </c>
      <c r="D1434" t="s">
        <v>2350</v>
      </c>
      <c r="E1434" t="s">
        <v>2351</v>
      </c>
      <c r="F1434" t="s">
        <v>31</v>
      </c>
      <c r="G1434" t="s">
        <v>17</v>
      </c>
      <c r="H1434" t="b">
        <v>0</v>
      </c>
      <c r="I1434" t="b">
        <v>0</v>
      </c>
      <c r="L1434" t="b">
        <v>0</v>
      </c>
      <c r="M1434" t="s">
        <v>2352</v>
      </c>
    </row>
    <row r="1435" spans="1:25" x14ac:dyDescent="0.2">
      <c r="A1435">
        <v>1853</v>
      </c>
      <c r="B1435" t="s">
        <v>3316</v>
      </c>
      <c r="C1435" t="s">
        <v>18</v>
      </c>
      <c r="D1435" t="s">
        <v>1618</v>
      </c>
      <c r="E1435" t="s">
        <v>1619</v>
      </c>
      <c r="F1435" t="s">
        <v>31</v>
      </c>
      <c r="G1435" t="s">
        <v>17</v>
      </c>
      <c r="H1435" t="b">
        <v>0</v>
      </c>
      <c r="I1435" t="b">
        <v>0</v>
      </c>
      <c r="L1435" t="b">
        <v>0</v>
      </c>
      <c r="M1435" t="s">
        <v>1620</v>
      </c>
      <c r="N1435" t="s">
        <v>1621</v>
      </c>
      <c r="O1435" t="s">
        <v>1622</v>
      </c>
    </row>
    <row r="1437" spans="1:25" x14ac:dyDescent="0.2">
      <c r="A1437" s="2">
        <v>1855</v>
      </c>
      <c r="B1437" s="2" t="s">
        <v>3335</v>
      </c>
      <c r="C1437" s="2" t="s">
        <v>13</v>
      </c>
      <c r="D1437" s="2" t="s">
        <v>3336</v>
      </c>
      <c r="E1437" s="2" t="s">
        <v>3337</v>
      </c>
      <c r="F1437" s="2" t="s">
        <v>159</v>
      </c>
      <c r="G1437" s="2" t="s">
        <v>279</v>
      </c>
      <c r="H1437" s="2"/>
      <c r="I1437" s="2"/>
      <c r="J1437" s="2"/>
      <c r="K1437" s="2"/>
      <c r="L1437" s="2"/>
      <c r="M1437" s="2"/>
      <c r="N1437" s="2"/>
      <c r="O1437" s="2"/>
      <c r="P1437" s="2"/>
      <c r="Q1437" s="2"/>
      <c r="R1437" s="2"/>
      <c r="S1437" s="2"/>
      <c r="T1437" s="2"/>
      <c r="U1437" s="2"/>
      <c r="V1437" s="2"/>
      <c r="W1437" s="2"/>
      <c r="X1437" s="2"/>
      <c r="Y1437" s="2"/>
    </row>
    <row r="1438" spans="1:25" x14ac:dyDescent="0.2">
      <c r="A1438">
        <v>1856</v>
      </c>
      <c r="B1438" t="s">
        <v>3335</v>
      </c>
      <c r="C1438" t="s">
        <v>18</v>
      </c>
      <c r="D1438" t="s">
        <v>3336</v>
      </c>
      <c r="E1438" t="s">
        <v>3337</v>
      </c>
      <c r="F1438" t="s">
        <v>82</v>
      </c>
      <c r="G1438" t="s">
        <v>3338</v>
      </c>
      <c r="H1438" t="b">
        <v>1</v>
      </c>
      <c r="K1438" t="b">
        <v>1</v>
      </c>
      <c r="L1438" t="b">
        <v>1</v>
      </c>
      <c r="M1438" t="s">
        <v>3339</v>
      </c>
      <c r="N1438" t="s">
        <v>3340</v>
      </c>
    </row>
    <row r="1439" spans="1:25" x14ac:dyDescent="0.2">
      <c r="A1439">
        <v>1857</v>
      </c>
      <c r="B1439" t="s">
        <v>3335</v>
      </c>
      <c r="C1439" t="s">
        <v>18</v>
      </c>
      <c r="D1439" t="s">
        <v>3341</v>
      </c>
      <c r="E1439" t="s">
        <v>3342</v>
      </c>
      <c r="F1439" t="s">
        <v>82</v>
      </c>
      <c r="G1439" t="s">
        <v>280</v>
      </c>
      <c r="H1439" t="b">
        <v>0</v>
      </c>
      <c r="K1439" t="b">
        <v>0</v>
      </c>
      <c r="L1439" t="b">
        <v>0</v>
      </c>
      <c r="M1439" t="s">
        <v>3343</v>
      </c>
      <c r="N1439" t="s">
        <v>3344</v>
      </c>
    </row>
    <row r="1440" spans="1:25" x14ac:dyDescent="0.2">
      <c r="A1440">
        <v>1858</v>
      </c>
      <c r="B1440" t="s">
        <v>3335</v>
      </c>
      <c r="C1440" t="s">
        <v>18</v>
      </c>
      <c r="D1440" t="s">
        <v>3345</v>
      </c>
      <c r="E1440" t="s">
        <v>3346</v>
      </c>
      <c r="F1440" t="s">
        <v>420</v>
      </c>
      <c r="G1440" t="s">
        <v>502</v>
      </c>
      <c r="H1440" t="b">
        <v>0</v>
      </c>
      <c r="K1440" t="b">
        <v>0</v>
      </c>
      <c r="L1440" t="b">
        <v>0</v>
      </c>
      <c r="M1440" t="s">
        <v>3347</v>
      </c>
      <c r="N1440" t="s">
        <v>3348</v>
      </c>
    </row>
    <row r="1441" spans="1:25" x14ac:dyDescent="0.2">
      <c r="A1441">
        <v>1859</v>
      </c>
      <c r="B1441" t="s">
        <v>3335</v>
      </c>
      <c r="C1441" t="s">
        <v>18</v>
      </c>
      <c r="D1441" t="s">
        <v>3349</v>
      </c>
      <c r="E1441" t="s">
        <v>3350</v>
      </c>
      <c r="F1441" t="s">
        <v>670</v>
      </c>
      <c r="G1441" t="s">
        <v>502</v>
      </c>
      <c r="H1441" t="b">
        <v>0</v>
      </c>
      <c r="K1441" t="b">
        <v>0</v>
      </c>
      <c r="L1441" t="b">
        <v>0</v>
      </c>
      <c r="M1441" t="s">
        <v>3351</v>
      </c>
      <c r="N1441" t="s">
        <v>3352</v>
      </c>
      <c r="O1441" t="s">
        <v>3353</v>
      </c>
      <c r="P1441" t="s">
        <v>3354</v>
      </c>
    </row>
    <row r="1442" spans="1:25" x14ac:dyDescent="0.2">
      <c r="A1442">
        <v>1860</v>
      </c>
      <c r="B1442" t="s">
        <v>3335</v>
      </c>
      <c r="C1442" t="s">
        <v>18</v>
      </c>
      <c r="D1442" t="s">
        <v>3355</v>
      </c>
      <c r="E1442" t="s">
        <v>3356</v>
      </c>
      <c r="F1442" t="s">
        <v>82</v>
      </c>
      <c r="G1442" t="s">
        <v>265</v>
      </c>
      <c r="H1442" t="b">
        <v>0</v>
      </c>
      <c r="K1442" t="b">
        <v>0</v>
      </c>
      <c r="L1442" t="b">
        <v>0</v>
      </c>
    </row>
    <row r="1444" spans="1:25" x14ac:dyDescent="0.2">
      <c r="A1444" s="2">
        <v>1890</v>
      </c>
      <c r="B1444" s="2" t="s">
        <v>3357</v>
      </c>
      <c r="C1444" s="2" t="s">
        <v>13</v>
      </c>
      <c r="D1444" s="2" t="s">
        <v>3358</v>
      </c>
      <c r="E1444" s="2" t="s">
        <v>3359</v>
      </c>
      <c r="F1444" s="2" t="s">
        <v>23</v>
      </c>
      <c r="G1444" s="2" t="s">
        <v>417</v>
      </c>
      <c r="H1444" s="2"/>
      <c r="I1444" s="2"/>
      <c r="J1444" s="2"/>
      <c r="K1444" s="2"/>
      <c r="L1444" s="2"/>
      <c r="M1444" s="2"/>
      <c r="N1444" s="2"/>
      <c r="O1444" s="2"/>
      <c r="P1444" s="2"/>
      <c r="Q1444" s="2"/>
      <c r="R1444" s="2"/>
      <c r="S1444" s="2"/>
      <c r="T1444" s="2"/>
      <c r="U1444" s="2"/>
      <c r="V1444" s="2"/>
      <c r="W1444" s="2"/>
      <c r="X1444" s="2"/>
      <c r="Y1444" s="2"/>
    </row>
    <row r="1445" spans="1:25" x14ac:dyDescent="0.2">
      <c r="A1445">
        <v>1891</v>
      </c>
      <c r="B1445" t="s">
        <v>3357</v>
      </c>
      <c r="C1445" t="s">
        <v>18</v>
      </c>
      <c r="D1445" t="s">
        <v>3358</v>
      </c>
      <c r="E1445" t="s">
        <v>3360</v>
      </c>
      <c r="F1445" t="s">
        <v>23</v>
      </c>
      <c r="G1445" t="s">
        <v>417</v>
      </c>
      <c r="H1445" t="b">
        <v>1</v>
      </c>
      <c r="K1445" t="b">
        <v>1</v>
      </c>
      <c r="L1445" t="b">
        <v>1</v>
      </c>
      <c r="M1445" t="s">
        <v>3361</v>
      </c>
      <c r="N1445" t="s">
        <v>3362</v>
      </c>
    </row>
    <row r="1446" spans="1:25" x14ac:dyDescent="0.2">
      <c r="A1446">
        <v>1892</v>
      </c>
      <c r="B1446" t="s">
        <v>3357</v>
      </c>
      <c r="C1446" t="s">
        <v>18</v>
      </c>
      <c r="D1446" t="s">
        <v>3363</v>
      </c>
      <c r="E1446" t="s">
        <v>1076</v>
      </c>
      <c r="F1446" t="s">
        <v>23</v>
      </c>
      <c r="G1446" t="s">
        <v>417</v>
      </c>
      <c r="H1446" t="b">
        <v>1</v>
      </c>
      <c r="K1446" t="b">
        <v>1</v>
      </c>
      <c r="L1446" t="b">
        <v>1</v>
      </c>
      <c r="M1446" t="s">
        <v>3364</v>
      </c>
    </row>
    <row r="1447" spans="1:25" x14ac:dyDescent="0.2">
      <c r="A1447">
        <v>1893</v>
      </c>
      <c r="B1447" t="s">
        <v>3357</v>
      </c>
      <c r="C1447" t="s">
        <v>18</v>
      </c>
      <c r="D1447" t="s">
        <v>3365</v>
      </c>
      <c r="E1447" t="s">
        <v>3366</v>
      </c>
      <c r="F1447" t="s">
        <v>23</v>
      </c>
      <c r="G1447" t="s">
        <v>417</v>
      </c>
      <c r="H1447" t="b">
        <v>0</v>
      </c>
      <c r="K1447" t="b">
        <v>0</v>
      </c>
      <c r="L1447" t="b">
        <v>0</v>
      </c>
      <c r="M1447" t="s">
        <v>3367</v>
      </c>
    </row>
    <row r="1448" spans="1:25" x14ac:dyDescent="0.2">
      <c r="A1448">
        <v>1894</v>
      </c>
      <c r="B1448" t="s">
        <v>3357</v>
      </c>
      <c r="C1448" t="s">
        <v>18</v>
      </c>
      <c r="D1448" t="s">
        <v>3368</v>
      </c>
      <c r="E1448" t="s">
        <v>3369</v>
      </c>
      <c r="F1448" t="s">
        <v>23</v>
      </c>
      <c r="G1448" t="s">
        <v>417</v>
      </c>
      <c r="H1448" t="b">
        <v>0</v>
      </c>
      <c r="K1448" t="b">
        <v>0</v>
      </c>
      <c r="L1448" t="b">
        <v>0</v>
      </c>
    </row>
    <row r="1449" spans="1:25" x14ac:dyDescent="0.2">
      <c r="A1449">
        <v>1895</v>
      </c>
      <c r="B1449" t="s">
        <v>3357</v>
      </c>
      <c r="C1449" t="s">
        <v>18</v>
      </c>
      <c r="D1449" t="s">
        <v>3370</v>
      </c>
      <c r="E1449" t="s">
        <v>3371</v>
      </c>
      <c r="F1449" t="s">
        <v>23</v>
      </c>
      <c r="G1449" t="s">
        <v>417</v>
      </c>
      <c r="H1449" t="b">
        <v>0</v>
      </c>
      <c r="K1449" t="b">
        <v>0</v>
      </c>
      <c r="L1449" t="b">
        <v>0</v>
      </c>
      <c r="M1449" t="s">
        <v>3372</v>
      </c>
      <c r="N1449" t="s">
        <v>745</v>
      </c>
    </row>
    <row r="1451" spans="1:25" x14ac:dyDescent="0.2">
      <c r="A1451" s="2">
        <v>1911</v>
      </c>
      <c r="B1451" s="2" t="s">
        <v>3373</v>
      </c>
      <c r="C1451" s="2" t="s">
        <v>13</v>
      </c>
      <c r="D1451" s="2" t="s">
        <v>3374</v>
      </c>
      <c r="E1451" s="2" t="s">
        <v>3375</v>
      </c>
      <c r="F1451" s="2" t="s">
        <v>2388</v>
      </c>
      <c r="G1451" s="2" t="s">
        <v>62</v>
      </c>
      <c r="H1451" s="2"/>
      <c r="I1451" s="2"/>
      <c r="J1451" s="2"/>
      <c r="K1451" s="2"/>
      <c r="L1451" s="2"/>
      <c r="M1451" s="2"/>
      <c r="N1451" s="2"/>
      <c r="O1451" s="2"/>
      <c r="P1451" s="2"/>
      <c r="Q1451" s="2"/>
      <c r="R1451" s="2"/>
      <c r="S1451" s="2"/>
      <c r="T1451" s="2"/>
      <c r="U1451" s="2"/>
      <c r="V1451" s="2"/>
      <c r="W1451" s="2"/>
      <c r="X1451" s="2"/>
      <c r="Y1451" s="2"/>
    </row>
    <row r="1452" spans="1:25" x14ac:dyDescent="0.2">
      <c r="A1452">
        <v>1912</v>
      </c>
      <c r="B1452" t="s">
        <v>3373</v>
      </c>
      <c r="C1452" t="s">
        <v>18</v>
      </c>
      <c r="D1452" t="s">
        <v>3376</v>
      </c>
      <c r="E1452" t="s">
        <v>3377</v>
      </c>
      <c r="F1452" t="s">
        <v>2388</v>
      </c>
      <c r="G1452" t="s">
        <v>62</v>
      </c>
      <c r="H1452" t="b">
        <v>1</v>
      </c>
      <c r="K1452" t="b">
        <v>1</v>
      </c>
      <c r="L1452" t="b">
        <v>1</v>
      </c>
      <c r="M1452" t="s">
        <v>3378</v>
      </c>
    </row>
    <row r="1453" spans="1:25" x14ac:dyDescent="0.2">
      <c r="A1453">
        <v>1913</v>
      </c>
      <c r="B1453" t="s">
        <v>3373</v>
      </c>
      <c r="C1453" t="s">
        <v>18</v>
      </c>
      <c r="D1453" t="s">
        <v>3379</v>
      </c>
      <c r="E1453" t="s">
        <v>3380</v>
      </c>
      <c r="F1453" t="s">
        <v>78</v>
      </c>
      <c r="G1453" t="s">
        <v>62</v>
      </c>
      <c r="H1453" t="b">
        <v>0</v>
      </c>
      <c r="K1453" t="b">
        <v>0</v>
      </c>
      <c r="L1453" t="b">
        <v>0</v>
      </c>
      <c r="M1453" t="s">
        <v>3381</v>
      </c>
      <c r="N1453" t="s">
        <v>3382</v>
      </c>
    </row>
    <row r="1454" spans="1:25" x14ac:dyDescent="0.2">
      <c r="A1454">
        <v>1914</v>
      </c>
      <c r="B1454" t="s">
        <v>3373</v>
      </c>
      <c r="C1454" t="s">
        <v>18</v>
      </c>
      <c r="D1454" t="s">
        <v>2905</v>
      </c>
      <c r="E1454" t="s">
        <v>2906</v>
      </c>
      <c r="F1454" t="s">
        <v>174</v>
      </c>
      <c r="G1454" t="s">
        <v>17</v>
      </c>
      <c r="H1454" t="b">
        <v>0</v>
      </c>
      <c r="K1454" t="b">
        <v>0</v>
      </c>
      <c r="L1454" t="b">
        <v>0</v>
      </c>
      <c r="M1454" t="s">
        <v>2907</v>
      </c>
      <c r="N1454" t="s">
        <v>2908</v>
      </c>
    </row>
    <row r="1455" spans="1:25" x14ac:dyDescent="0.2">
      <c r="A1455">
        <v>1915</v>
      </c>
      <c r="B1455" t="s">
        <v>3373</v>
      </c>
      <c r="C1455" t="s">
        <v>18</v>
      </c>
      <c r="D1455" t="s">
        <v>3383</v>
      </c>
      <c r="E1455" t="s">
        <v>3384</v>
      </c>
      <c r="F1455" t="s">
        <v>2388</v>
      </c>
      <c r="G1455" t="s">
        <v>62</v>
      </c>
      <c r="H1455" t="b">
        <v>0</v>
      </c>
      <c r="K1455" t="b">
        <v>0</v>
      </c>
      <c r="L1455" t="b">
        <v>0</v>
      </c>
    </row>
    <row r="1456" spans="1:25" x14ac:dyDescent="0.2">
      <c r="A1456">
        <v>1916</v>
      </c>
      <c r="B1456" t="s">
        <v>3373</v>
      </c>
      <c r="C1456" t="s">
        <v>18</v>
      </c>
      <c r="D1456" t="s">
        <v>3385</v>
      </c>
      <c r="E1456" t="s">
        <v>3386</v>
      </c>
      <c r="F1456" t="s">
        <v>2388</v>
      </c>
      <c r="G1456" t="s">
        <v>62</v>
      </c>
      <c r="H1456" t="b">
        <v>0</v>
      </c>
      <c r="K1456" t="b">
        <v>0</v>
      </c>
      <c r="L1456" t="b">
        <v>0</v>
      </c>
      <c r="M1456" t="s">
        <v>3387</v>
      </c>
    </row>
    <row r="1458" spans="1:25" x14ac:dyDescent="0.2">
      <c r="A1458" s="2">
        <v>1932</v>
      </c>
      <c r="B1458" s="2" t="s">
        <v>3388</v>
      </c>
      <c r="C1458" s="2" t="s">
        <v>13</v>
      </c>
      <c r="D1458" s="2" t="s">
        <v>3389</v>
      </c>
      <c r="E1458" s="2" t="s">
        <v>3390</v>
      </c>
      <c r="F1458" s="2" t="s">
        <v>174</v>
      </c>
      <c r="G1458" s="2" t="s">
        <v>17</v>
      </c>
      <c r="H1458" s="2"/>
      <c r="I1458" s="2"/>
      <c r="J1458" s="2"/>
      <c r="K1458" s="2"/>
      <c r="L1458" s="2"/>
      <c r="M1458" s="2"/>
      <c r="N1458" s="2"/>
      <c r="O1458" s="2"/>
      <c r="P1458" s="2"/>
      <c r="Q1458" s="2"/>
      <c r="R1458" s="2"/>
      <c r="S1458" s="2"/>
      <c r="T1458" s="2"/>
      <c r="U1458" s="2"/>
      <c r="V1458" s="2"/>
      <c r="W1458" s="2"/>
      <c r="X1458" s="2"/>
      <c r="Y1458" s="2"/>
    </row>
    <row r="1459" spans="1:25" x14ac:dyDescent="0.2">
      <c r="A1459">
        <v>1933</v>
      </c>
      <c r="B1459" t="s">
        <v>3388</v>
      </c>
      <c r="C1459" t="s">
        <v>18</v>
      </c>
      <c r="D1459" t="s">
        <v>3389</v>
      </c>
      <c r="E1459" t="s">
        <v>3391</v>
      </c>
      <c r="F1459" t="s">
        <v>174</v>
      </c>
      <c r="G1459" t="s">
        <v>17</v>
      </c>
      <c r="H1459" t="b">
        <v>1</v>
      </c>
      <c r="K1459" t="b">
        <v>1</v>
      </c>
      <c r="L1459" t="b">
        <v>1</v>
      </c>
      <c r="M1459" t="s">
        <v>3392</v>
      </c>
      <c r="N1459" t="s">
        <v>3393</v>
      </c>
    </row>
    <row r="1460" spans="1:25" x14ac:dyDescent="0.2">
      <c r="A1460">
        <v>1934</v>
      </c>
      <c r="B1460" t="s">
        <v>3388</v>
      </c>
      <c r="C1460" t="s">
        <v>18</v>
      </c>
      <c r="D1460" t="s">
        <v>3394</v>
      </c>
      <c r="E1460" t="s">
        <v>3395</v>
      </c>
      <c r="F1460" t="s">
        <v>174</v>
      </c>
      <c r="G1460" t="s">
        <v>17</v>
      </c>
      <c r="H1460" t="b">
        <v>1</v>
      </c>
      <c r="K1460" t="b">
        <v>1</v>
      </c>
      <c r="L1460" t="b">
        <v>1</v>
      </c>
      <c r="M1460" t="s">
        <v>3396</v>
      </c>
    </row>
    <row r="1461" spans="1:25" x14ac:dyDescent="0.2">
      <c r="A1461">
        <v>1935</v>
      </c>
      <c r="B1461" t="s">
        <v>3388</v>
      </c>
      <c r="C1461" t="s">
        <v>18</v>
      </c>
      <c r="D1461" t="s">
        <v>3397</v>
      </c>
      <c r="E1461" t="s">
        <v>2573</v>
      </c>
      <c r="F1461" t="s">
        <v>78</v>
      </c>
      <c r="G1461" t="s">
        <v>24</v>
      </c>
      <c r="H1461" t="b">
        <v>0</v>
      </c>
      <c r="K1461" t="b">
        <v>0</v>
      </c>
      <c r="L1461" t="b">
        <v>0</v>
      </c>
    </row>
    <row r="1462" spans="1:25" x14ac:dyDescent="0.2">
      <c r="A1462">
        <v>1936</v>
      </c>
      <c r="B1462" t="s">
        <v>3388</v>
      </c>
      <c r="C1462" t="s">
        <v>18</v>
      </c>
      <c r="D1462" t="s">
        <v>3398</v>
      </c>
      <c r="E1462" t="s">
        <v>3399</v>
      </c>
      <c r="F1462" t="s">
        <v>78</v>
      </c>
      <c r="G1462" t="s">
        <v>134</v>
      </c>
      <c r="H1462" t="b">
        <v>0</v>
      </c>
      <c r="K1462" t="b">
        <v>0</v>
      </c>
      <c r="L1462" t="b">
        <v>0</v>
      </c>
      <c r="M1462" t="s">
        <v>3400</v>
      </c>
      <c r="N1462" t="s">
        <v>3401</v>
      </c>
    </row>
    <row r="1463" spans="1:25" x14ac:dyDescent="0.2">
      <c r="A1463">
        <v>1937</v>
      </c>
      <c r="B1463" t="s">
        <v>3388</v>
      </c>
      <c r="C1463" t="s">
        <v>18</v>
      </c>
      <c r="D1463" t="s">
        <v>3402</v>
      </c>
      <c r="E1463" t="s">
        <v>3403</v>
      </c>
      <c r="F1463" t="s">
        <v>174</v>
      </c>
      <c r="G1463" t="s">
        <v>17</v>
      </c>
      <c r="H1463" t="b">
        <v>0</v>
      </c>
      <c r="K1463" t="b">
        <v>0</v>
      </c>
      <c r="L1463" t="b">
        <v>0</v>
      </c>
      <c r="M1463" t="s">
        <v>3404</v>
      </c>
    </row>
    <row r="1465" spans="1:25" x14ac:dyDescent="0.2">
      <c r="A1465" s="2">
        <v>1946</v>
      </c>
      <c r="B1465" s="2" t="s">
        <v>3405</v>
      </c>
      <c r="C1465" s="2" t="s">
        <v>13</v>
      </c>
      <c r="D1465" s="2" t="s">
        <v>3406</v>
      </c>
      <c r="E1465" s="2" t="s">
        <v>3407</v>
      </c>
      <c r="F1465" s="2" t="s">
        <v>159</v>
      </c>
      <c r="G1465" s="2" t="s">
        <v>265</v>
      </c>
      <c r="H1465" s="2"/>
      <c r="I1465" s="2"/>
      <c r="J1465" s="2"/>
      <c r="K1465" s="2"/>
      <c r="L1465" s="2"/>
      <c r="M1465" s="2"/>
      <c r="N1465" s="2"/>
      <c r="O1465" s="2"/>
      <c r="P1465" s="2"/>
      <c r="Q1465" s="2"/>
      <c r="R1465" s="2"/>
      <c r="S1465" s="2"/>
      <c r="T1465" s="2"/>
      <c r="U1465" s="2"/>
      <c r="V1465" s="2"/>
      <c r="W1465" s="2"/>
      <c r="X1465" s="2"/>
      <c r="Y1465" s="2"/>
    </row>
    <row r="1466" spans="1:25" x14ac:dyDescent="0.2">
      <c r="A1466">
        <v>1947</v>
      </c>
      <c r="B1466" t="s">
        <v>3405</v>
      </c>
      <c r="C1466" t="s">
        <v>18</v>
      </c>
      <c r="D1466" t="s">
        <v>3406</v>
      </c>
      <c r="E1466" t="s">
        <v>3408</v>
      </c>
      <c r="F1466" t="s">
        <v>159</v>
      </c>
      <c r="G1466" t="s">
        <v>265</v>
      </c>
      <c r="H1466" t="b">
        <v>1</v>
      </c>
      <c r="K1466" t="b">
        <v>1</v>
      </c>
      <c r="L1466" t="b">
        <v>1</v>
      </c>
      <c r="M1466" t="s">
        <v>3409</v>
      </c>
    </row>
    <row r="1467" spans="1:25" x14ac:dyDescent="0.2">
      <c r="A1467">
        <v>1948</v>
      </c>
      <c r="B1467" t="s">
        <v>3405</v>
      </c>
      <c r="C1467" t="s">
        <v>18</v>
      </c>
      <c r="D1467" t="s">
        <v>3410</v>
      </c>
      <c r="E1467" t="s">
        <v>3411</v>
      </c>
      <c r="F1467" t="s">
        <v>82</v>
      </c>
      <c r="G1467" t="s">
        <v>265</v>
      </c>
      <c r="H1467" t="b">
        <v>1</v>
      </c>
      <c r="K1467" t="b">
        <v>0</v>
      </c>
      <c r="L1467" t="b">
        <v>1</v>
      </c>
      <c r="M1467" t="s">
        <v>3412</v>
      </c>
    </row>
    <row r="1468" spans="1:25" x14ac:dyDescent="0.2">
      <c r="A1468">
        <v>1949</v>
      </c>
      <c r="B1468" t="s">
        <v>3405</v>
      </c>
      <c r="C1468" t="s">
        <v>18</v>
      </c>
      <c r="D1468" t="s">
        <v>3413</v>
      </c>
      <c r="E1468" t="s">
        <v>3414</v>
      </c>
      <c r="F1468" t="s">
        <v>159</v>
      </c>
      <c r="G1468" t="s">
        <v>265</v>
      </c>
      <c r="H1468" t="b">
        <v>0</v>
      </c>
      <c r="K1468" t="b">
        <v>0</v>
      </c>
      <c r="L1468" t="b">
        <v>0</v>
      </c>
    </row>
    <row r="1469" spans="1:25" x14ac:dyDescent="0.2">
      <c r="A1469">
        <v>1950</v>
      </c>
      <c r="B1469" t="s">
        <v>3405</v>
      </c>
      <c r="C1469" t="s">
        <v>18</v>
      </c>
      <c r="D1469" t="s">
        <v>3415</v>
      </c>
      <c r="E1469" t="s">
        <v>3416</v>
      </c>
      <c r="F1469" t="s">
        <v>82</v>
      </c>
      <c r="G1469" t="s">
        <v>265</v>
      </c>
      <c r="H1469" t="b">
        <v>0</v>
      </c>
      <c r="K1469" t="b">
        <v>0</v>
      </c>
      <c r="L1469" t="b">
        <v>0</v>
      </c>
      <c r="M1469" t="s">
        <v>3417</v>
      </c>
      <c r="N1469" t="s">
        <v>3418</v>
      </c>
    </row>
    <row r="1470" spans="1:25" x14ac:dyDescent="0.2">
      <c r="A1470">
        <v>1951</v>
      </c>
      <c r="B1470" t="s">
        <v>3405</v>
      </c>
      <c r="C1470" t="s">
        <v>18</v>
      </c>
      <c r="D1470" t="s">
        <v>3419</v>
      </c>
      <c r="E1470" t="s">
        <v>3420</v>
      </c>
      <c r="F1470" t="s">
        <v>82</v>
      </c>
      <c r="G1470" t="s">
        <v>265</v>
      </c>
      <c r="H1470" t="b">
        <v>0</v>
      </c>
      <c r="K1470" t="b">
        <v>0</v>
      </c>
      <c r="L1470" t="b">
        <v>0</v>
      </c>
    </row>
    <row r="1472" spans="1:25" x14ac:dyDescent="0.2">
      <c r="A1472" s="2">
        <v>196</v>
      </c>
      <c r="B1472" s="2" t="s">
        <v>3421</v>
      </c>
      <c r="C1472" s="2" t="s">
        <v>13</v>
      </c>
      <c r="D1472" s="2" t="s">
        <v>3422</v>
      </c>
      <c r="E1472" s="2" t="s">
        <v>3423</v>
      </c>
      <c r="F1472" s="2" t="s">
        <v>82</v>
      </c>
      <c r="G1472" s="2" t="s">
        <v>265</v>
      </c>
      <c r="H1472" s="2"/>
      <c r="I1472" s="2"/>
      <c r="J1472" s="2"/>
      <c r="K1472" s="2"/>
      <c r="L1472" s="2"/>
      <c r="M1472" s="2"/>
      <c r="N1472" s="2"/>
      <c r="O1472" s="2"/>
      <c r="P1472" s="2"/>
      <c r="Q1472" s="2"/>
      <c r="R1472" s="2"/>
      <c r="S1472" s="2"/>
      <c r="T1472" s="2"/>
      <c r="U1472" s="2"/>
      <c r="V1472" s="2"/>
      <c r="W1472" s="2"/>
      <c r="X1472" s="2"/>
      <c r="Y1472" s="2"/>
    </row>
    <row r="1473" spans="1:25" x14ac:dyDescent="0.2">
      <c r="A1473">
        <v>197</v>
      </c>
      <c r="B1473" t="s">
        <v>3421</v>
      </c>
      <c r="C1473" t="s">
        <v>18</v>
      </c>
      <c r="D1473" t="s">
        <v>3422</v>
      </c>
      <c r="E1473" t="s">
        <v>3423</v>
      </c>
      <c r="F1473" t="s">
        <v>82</v>
      </c>
      <c r="G1473" t="s">
        <v>265</v>
      </c>
      <c r="H1473" t="b">
        <v>1</v>
      </c>
      <c r="I1473" t="b">
        <v>1</v>
      </c>
      <c r="L1473" t="b">
        <v>1</v>
      </c>
      <c r="M1473" t="s">
        <v>3424</v>
      </c>
      <c r="N1473" t="s">
        <v>3425</v>
      </c>
    </row>
    <row r="1474" spans="1:25" x14ac:dyDescent="0.2">
      <c r="A1474">
        <v>198</v>
      </c>
      <c r="B1474" t="s">
        <v>3421</v>
      </c>
      <c r="C1474" t="s">
        <v>18</v>
      </c>
      <c r="D1474" t="s">
        <v>3426</v>
      </c>
      <c r="E1474" t="s">
        <v>3427</v>
      </c>
      <c r="F1474" t="s">
        <v>82</v>
      </c>
      <c r="G1474" t="s">
        <v>265</v>
      </c>
      <c r="H1474" t="b">
        <v>0</v>
      </c>
      <c r="I1474" t="b">
        <v>0</v>
      </c>
      <c r="L1474" t="b">
        <v>0</v>
      </c>
      <c r="M1474" t="s">
        <v>3428</v>
      </c>
    </row>
    <row r="1475" spans="1:25" x14ac:dyDescent="0.2">
      <c r="A1475">
        <v>199</v>
      </c>
      <c r="B1475" t="s">
        <v>3421</v>
      </c>
      <c r="C1475" t="s">
        <v>18</v>
      </c>
      <c r="D1475" t="s">
        <v>3429</v>
      </c>
      <c r="E1475" t="s">
        <v>3430</v>
      </c>
      <c r="F1475" t="s">
        <v>159</v>
      </c>
      <c r="G1475" t="s">
        <v>265</v>
      </c>
      <c r="H1475" t="b">
        <v>0</v>
      </c>
      <c r="I1475" t="b">
        <v>0</v>
      </c>
      <c r="L1475" t="b">
        <v>0</v>
      </c>
      <c r="M1475" t="s">
        <v>3431</v>
      </c>
      <c r="N1475" t="s">
        <v>3432</v>
      </c>
    </row>
    <row r="1476" spans="1:25" x14ac:dyDescent="0.2">
      <c r="A1476">
        <v>200</v>
      </c>
      <c r="B1476" t="s">
        <v>3421</v>
      </c>
      <c r="C1476" t="s">
        <v>18</v>
      </c>
      <c r="D1476" t="s">
        <v>3433</v>
      </c>
      <c r="E1476" t="s">
        <v>3434</v>
      </c>
      <c r="F1476" t="s">
        <v>82</v>
      </c>
      <c r="G1476" t="s">
        <v>265</v>
      </c>
      <c r="H1476" t="b">
        <v>0</v>
      </c>
      <c r="I1476" t="b">
        <v>0</v>
      </c>
      <c r="L1476" t="b">
        <v>0</v>
      </c>
    </row>
    <row r="1477" spans="1:25" x14ac:dyDescent="0.2">
      <c r="A1477">
        <v>201</v>
      </c>
      <c r="B1477" t="s">
        <v>3421</v>
      </c>
      <c r="C1477" t="s">
        <v>18</v>
      </c>
      <c r="D1477" t="s">
        <v>3435</v>
      </c>
      <c r="E1477" t="s">
        <v>3436</v>
      </c>
      <c r="F1477" t="s">
        <v>82</v>
      </c>
      <c r="G1477" t="s">
        <v>265</v>
      </c>
      <c r="H1477" t="b">
        <v>0</v>
      </c>
      <c r="I1477" t="b">
        <v>0</v>
      </c>
      <c r="L1477" t="b">
        <v>0</v>
      </c>
      <c r="M1477" t="s">
        <v>3437</v>
      </c>
    </row>
    <row r="1479" spans="1:25" x14ac:dyDescent="0.2">
      <c r="A1479" s="2">
        <v>1967</v>
      </c>
      <c r="B1479" s="2" t="s">
        <v>3438</v>
      </c>
      <c r="C1479" s="2" t="s">
        <v>13</v>
      </c>
      <c r="D1479" s="2" t="s">
        <v>3439</v>
      </c>
      <c r="E1479" s="2" t="s">
        <v>3440</v>
      </c>
      <c r="F1479" s="2" t="s">
        <v>151</v>
      </c>
      <c r="G1479" s="2" t="s">
        <v>17</v>
      </c>
      <c r="H1479" s="2"/>
      <c r="I1479" s="2"/>
      <c r="J1479" s="2"/>
      <c r="K1479" s="2"/>
      <c r="L1479" s="2"/>
      <c r="M1479" s="2"/>
      <c r="N1479" s="2"/>
      <c r="O1479" s="2"/>
      <c r="P1479" s="2"/>
      <c r="Q1479" s="2"/>
      <c r="R1479" s="2"/>
      <c r="S1479" s="2"/>
      <c r="T1479" s="2"/>
      <c r="U1479" s="2"/>
      <c r="V1479" s="2"/>
      <c r="W1479" s="2"/>
      <c r="X1479" s="2"/>
      <c r="Y1479" s="2"/>
    </row>
    <row r="1480" spans="1:25" x14ac:dyDescent="0.2">
      <c r="A1480">
        <v>1968</v>
      </c>
      <c r="B1480" t="s">
        <v>3438</v>
      </c>
      <c r="C1480" t="s">
        <v>18</v>
      </c>
      <c r="D1480" t="s">
        <v>3439</v>
      </c>
      <c r="E1480" t="s">
        <v>3441</v>
      </c>
      <c r="F1480" t="s">
        <v>151</v>
      </c>
      <c r="G1480" t="s">
        <v>17</v>
      </c>
      <c r="H1480" t="b">
        <v>1</v>
      </c>
      <c r="K1480" t="b">
        <v>1</v>
      </c>
      <c r="L1480" t="b">
        <v>1</v>
      </c>
      <c r="M1480" t="s">
        <v>3442</v>
      </c>
    </row>
    <row r="1481" spans="1:25" x14ac:dyDescent="0.2">
      <c r="A1481">
        <v>1969</v>
      </c>
      <c r="B1481" t="s">
        <v>3438</v>
      </c>
      <c r="C1481" t="s">
        <v>18</v>
      </c>
      <c r="D1481" t="s">
        <v>3443</v>
      </c>
      <c r="E1481" t="s">
        <v>1533</v>
      </c>
      <c r="F1481" t="s">
        <v>151</v>
      </c>
      <c r="G1481" t="s">
        <v>17</v>
      </c>
      <c r="H1481" t="b">
        <v>1</v>
      </c>
      <c r="K1481" t="b">
        <v>1</v>
      </c>
      <c r="L1481" t="b">
        <v>1</v>
      </c>
      <c r="M1481" t="s">
        <v>3444</v>
      </c>
    </row>
    <row r="1482" spans="1:25" x14ac:dyDescent="0.2">
      <c r="A1482">
        <v>1970</v>
      </c>
      <c r="B1482" t="s">
        <v>3438</v>
      </c>
      <c r="C1482" t="s">
        <v>18</v>
      </c>
      <c r="D1482" t="s">
        <v>3445</v>
      </c>
      <c r="E1482" t="s">
        <v>3446</v>
      </c>
      <c r="F1482" t="s">
        <v>151</v>
      </c>
      <c r="G1482" t="s">
        <v>17</v>
      </c>
      <c r="H1482" t="b">
        <v>1</v>
      </c>
      <c r="K1482" t="b">
        <v>0</v>
      </c>
      <c r="L1482" t="b">
        <v>0</v>
      </c>
      <c r="M1482" t="s">
        <v>3447</v>
      </c>
      <c r="N1482" t="s">
        <v>3448</v>
      </c>
    </row>
    <row r="1483" spans="1:25" x14ac:dyDescent="0.2">
      <c r="A1483">
        <v>1971</v>
      </c>
      <c r="B1483" t="s">
        <v>3438</v>
      </c>
      <c r="C1483" t="s">
        <v>18</v>
      </c>
      <c r="D1483" t="s">
        <v>3449</v>
      </c>
      <c r="E1483" t="s">
        <v>3450</v>
      </c>
      <c r="F1483" t="s">
        <v>151</v>
      </c>
      <c r="G1483" t="s">
        <v>17</v>
      </c>
      <c r="H1483" t="b">
        <v>0</v>
      </c>
      <c r="K1483" t="b">
        <v>0</v>
      </c>
      <c r="L1483" t="b">
        <v>0</v>
      </c>
      <c r="M1483" t="s">
        <v>3451</v>
      </c>
      <c r="N1483" t="s">
        <v>3452</v>
      </c>
    </row>
    <row r="1484" spans="1:25" x14ac:dyDescent="0.2">
      <c r="A1484">
        <v>1972</v>
      </c>
      <c r="B1484" t="s">
        <v>3438</v>
      </c>
      <c r="C1484" t="s">
        <v>18</v>
      </c>
      <c r="D1484" t="s">
        <v>3453</v>
      </c>
      <c r="E1484" t="s">
        <v>3454</v>
      </c>
      <c r="F1484" t="s">
        <v>151</v>
      </c>
      <c r="G1484" t="s">
        <v>24</v>
      </c>
      <c r="H1484" t="b">
        <v>0</v>
      </c>
      <c r="K1484" t="b">
        <v>0</v>
      </c>
      <c r="L1484" t="b">
        <v>0</v>
      </c>
      <c r="M1484" t="s">
        <v>3455</v>
      </c>
      <c r="N1484" t="s">
        <v>3456</v>
      </c>
    </row>
    <row r="1486" spans="1:25" x14ac:dyDescent="0.2">
      <c r="A1486" s="2">
        <v>2023</v>
      </c>
      <c r="B1486" s="2" t="s">
        <v>3457</v>
      </c>
      <c r="C1486" s="2" t="s">
        <v>13</v>
      </c>
      <c r="D1486" s="2" t="s">
        <v>3458</v>
      </c>
      <c r="E1486" s="2" t="s">
        <v>3459</v>
      </c>
      <c r="F1486" s="2" t="s">
        <v>1077</v>
      </c>
      <c r="G1486" s="2" t="s">
        <v>1867</v>
      </c>
      <c r="H1486" s="2"/>
      <c r="I1486" s="2"/>
      <c r="J1486" s="2"/>
      <c r="K1486" s="2"/>
      <c r="L1486" s="2"/>
      <c r="M1486" s="2"/>
      <c r="N1486" s="2"/>
      <c r="O1486" s="2"/>
      <c r="P1486" s="2"/>
      <c r="Q1486" s="2"/>
      <c r="R1486" s="2"/>
      <c r="S1486" s="2"/>
      <c r="T1486" s="2"/>
      <c r="U1486" s="2"/>
      <c r="V1486" s="2"/>
      <c r="W1486" s="2"/>
      <c r="X1486" s="2"/>
      <c r="Y1486" s="2"/>
    </row>
    <row r="1487" spans="1:25" x14ac:dyDescent="0.2">
      <c r="A1487">
        <v>2024</v>
      </c>
      <c r="B1487" t="s">
        <v>3457</v>
      </c>
      <c r="C1487" t="s">
        <v>18</v>
      </c>
      <c r="D1487" t="s">
        <v>3460</v>
      </c>
      <c r="E1487" t="s">
        <v>3461</v>
      </c>
      <c r="F1487" t="s">
        <v>1077</v>
      </c>
      <c r="G1487" t="s">
        <v>1867</v>
      </c>
      <c r="H1487" t="b">
        <v>0</v>
      </c>
      <c r="I1487" t="b">
        <v>0</v>
      </c>
      <c r="L1487" t="b">
        <v>0</v>
      </c>
    </row>
    <row r="1488" spans="1:25" x14ac:dyDescent="0.2">
      <c r="A1488">
        <v>2025</v>
      </c>
      <c r="B1488" t="s">
        <v>3457</v>
      </c>
      <c r="C1488" t="s">
        <v>18</v>
      </c>
      <c r="D1488" t="s">
        <v>3462</v>
      </c>
      <c r="E1488" t="s">
        <v>284</v>
      </c>
      <c r="F1488" t="s">
        <v>1077</v>
      </c>
      <c r="G1488" t="s">
        <v>1867</v>
      </c>
      <c r="H1488" t="b">
        <v>1</v>
      </c>
      <c r="I1488" t="b">
        <v>1</v>
      </c>
      <c r="L1488" t="b">
        <v>1</v>
      </c>
      <c r="M1488" t="s">
        <v>3463</v>
      </c>
    </row>
    <row r="1489" spans="1:25" x14ac:dyDescent="0.2">
      <c r="A1489">
        <v>2026</v>
      </c>
      <c r="B1489" t="s">
        <v>3457</v>
      </c>
      <c r="C1489" t="s">
        <v>18</v>
      </c>
      <c r="D1489" t="s">
        <v>3464</v>
      </c>
      <c r="E1489" t="s">
        <v>3465</v>
      </c>
      <c r="F1489" t="s">
        <v>1077</v>
      </c>
      <c r="G1489" t="s">
        <v>1867</v>
      </c>
      <c r="H1489" t="b">
        <v>1</v>
      </c>
      <c r="I1489" t="b">
        <v>1</v>
      </c>
      <c r="L1489" t="b">
        <v>1</v>
      </c>
      <c r="M1489" t="s">
        <v>3466</v>
      </c>
    </row>
    <row r="1490" spans="1:25" x14ac:dyDescent="0.2">
      <c r="A1490">
        <v>2027</v>
      </c>
      <c r="B1490" t="s">
        <v>3457</v>
      </c>
      <c r="C1490" t="s">
        <v>18</v>
      </c>
      <c r="D1490" t="s">
        <v>2018</v>
      </c>
      <c r="E1490" t="s">
        <v>2019</v>
      </c>
      <c r="F1490" t="s">
        <v>78</v>
      </c>
      <c r="G1490" t="s">
        <v>74</v>
      </c>
      <c r="H1490" t="b">
        <v>0</v>
      </c>
      <c r="I1490" t="b">
        <v>0</v>
      </c>
      <c r="L1490" t="b">
        <v>0</v>
      </c>
      <c r="M1490" t="s">
        <v>2020</v>
      </c>
      <c r="N1490" t="s">
        <v>2021</v>
      </c>
    </row>
    <row r="1491" spans="1:25" x14ac:dyDescent="0.2">
      <c r="A1491">
        <v>2028</v>
      </c>
      <c r="B1491" t="s">
        <v>3457</v>
      </c>
      <c r="C1491" t="s">
        <v>18</v>
      </c>
      <c r="D1491" t="s">
        <v>3467</v>
      </c>
      <c r="E1491" t="s">
        <v>3468</v>
      </c>
      <c r="F1491" t="s">
        <v>420</v>
      </c>
      <c r="G1491" t="s">
        <v>1867</v>
      </c>
      <c r="H1491" t="b">
        <v>0</v>
      </c>
      <c r="I1491" t="b">
        <v>0</v>
      </c>
      <c r="L1491" t="b">
        <v>0</v>
      </c>
      <c r="M1491" t="s">
        <v>3469</v>
      </c>
      <c r="N1491" t="s">
        <v>3470</v>
      </c>
      <c r="O1491" t="s">
        <v>3471</v>
      </c>
      <c r="P1491" t="s">
        <v>3472</v>
      </c>
    </row>
    <row r="1493" spans="1:25" x14ac:dyDescent="0.2">
      <c r="A1493" s="2">
        <v>203</v>
      </c>
      <c r="B1493" s="2" t="s">
        <v>3473</v>
      </c>
      <c r="C1493" s="2" t="s">
        <v>13</v>
      </c>
      <c r="D1493" s="2" t="s">
        <v>3474</v>
      </c>
      <c r="E1493" s="2" t="s">
        <v>3475</v>
      </c>
      <c r="F1493" s="2" t="s">
        <v>159</v>
      </c>
      <c r="G1493" s="2" t="s">
        <v>265</v>
      </c>
      <c r="H1493" s="2"/>
      <c r="I1493" s="2"/>
      <c r="J1493" s="2"/>
      <c r="K1493" s="2"/>
      <c r="L1493" s="2"/>
      <c r="M1493" s="2"/>
      <c r="N1493" s="2"/>
      <c r="O1493" s="2"/>
      <c r="P1493" s="2"/>
      <c r="Q1493" s="2"/>
      <c r="R1493" s="2"/>
      <c r="S1493" s="2"/>
      <c r="T1493" s="2"/>
      <c r="U1493" s="2"/>
      <c r="V1493" s="2"/>
      <c r="W1493" s="2"/>
      <c r="X1493" s="2"/>
      <c r="Y1493" s="2"/>
    </row>
    <row r="1494" spans="1:25" x14ac:dyDescent="0.2">
      <c r="A1494">
        <v>204</v>
      </c>
      <c r="B1494" t="s">
        <v>3473</v>
      </c>
      <c r="C1494" t="s">
        <v>18</v>
      </c>
      <c r="D1494" t="s">
        <v>3474</v>
      </c>
      <c r="E1494" t="s">
        <v>3475</v>
      </c>
      <c r="F1494" t="s">
        <v>3476</v>
      </c>
      <c r="G1494" t="s">
        <v>265</v>
      </c>
      <c r="H1494" t="b">
        <v>1</v>
      </c>
      <c r="K1494" t="b">
        <v>1</v>
      </c>
      <c r="L1494" t="b">
        <v>1</v>
      </c>
      <c r="M1494" t="s">
        <v>3477</v>
      </c>
      <c r="N1494" t="s">
        <v>3478</v>
      </c>
      <c r="O1494" t="s">
        <v>3479</v>
      </c>
      <c r="P1494" t="s">
        <v>3480</v>
      </c>
    </row>
    <row r="1495" spans="1:25" x14ac:dyDescent="0.2">
      <c r="A1495">
        <v>205</v>
      </c>
      <c r="B1495" t="s">
        <v>3473</v>
      </c>
      <c r="C1495" t="s">
        <v>18</v>
      </c>
      <c r="D1495" t="s">
        <v>3481</v>
      </c>
      <c r="E1495" t="s">
        <v>3482</v>
      </c>
      <c r="F1495" t="s">
        <v>159</v>
      </c>
      <c r="G1495" t="s">
        <v>265</v>
      </c>
      <c r="H1495" t="b">
        <v>0</v>
      </c>
      <c r="K1495" t="b">
        <v>0</v>
      </c>
      <c r="L1495" t="b">
        <v>0</v>
      </c>
      <c r="M1495" t="s">
        <v>3483</v>
      </c>
      <c r="N1495" t="s">
        <v>3484</v>
      </c>
    </row>
    <row r="1496" spans="1:25" x14ac:dyDescent="0.2">
      <c r="A1496">
        <v>206</v>
      </c>
      <c r="B1496" t="s">
        <v>3473</v>
      </c>
      <c r="C1496" t="s">
        <v>18</v>
      </c>
      <c r="D1496" t="s">
        <v>3485</v>
      </c>
      <c r="E1496" t="s">
        <v>3486</v>
      </c>
      <c r="F1496" t="s">
        <v>82</v>
      </c>
      <c r="G1496" t="s">
        <v>265</v>
      </c>
      <c r="H1496" t="b">
        <v>0</v>
      </c>
      <c r="K1496" t="b">
        <v>0</v>
      </c>
      <c r="L1496" t="b">
        <v>0</v>
      </c>
    </row>
    <row r="1497" spans="1:25" x14ac:dyDescent="0.2">
      <c r="A1497">
        <v>207</v>
      </c>
      <c r="B1497" t="s">
        <v>3473</v>
      </c>
      <c r="C1497" t="s">
        <v>18</v>
      </c>
      <c r="D1497" t="s">
        <v>3487</v>
      </c>
      <c r="E1497" t="s">
        <v>3488</v>
      </c>
      <c r="F1497" t="s">
        <v>82</v>
      </c>
      <c r="G1497" t="s">
        <v>265</v>
      </c>
      <c r="H1497" t="b">
        <v>0</v>
      </c>
      <c r="K1497" t="b">
        <v>0</v>
      </c>
      <c r="L1497" t="b">
        <v>0</v>
      </c>
    </row>
    <row r="1498" spans="1:25" x14ac:dyDescent="0.2">
      <c r="A1498">
        <v>208</v>
      </c>
      <c r="B1498" t="s">
        <v>3473</v>
      </c>
      <c r="C1498" t="s">
        <v>18</v>
      </c>
      <c r="D1498" t="s">
        <v>3489</v>
      </c>
      <c r="E1498" t="s">
        <v>3490</v>
      </c>
      <c r="F1498" t="s">
        <v>82</v>
      </c>
      <c r="G1498" t="s">
        <v>265</v>
      </c>
      <c r="H1498" t="b">
        <v>0</v>
      </c>
      <c r="K1498" t="b">
        <v>0</v>
      </c>
      <c r="L1498" t="b">
        <v>0</v>
      </c>
    </row>
    <row r="1500" spans="1:25" x14ac:dyDescent="0.2">
      <c r="A1500" s="2">
        <v>2037</v>
      </c>
      <c r="B1500" s="2" t="s">
        <v>3491</v>
      </c>
      <c r="C1500" s="2" t="s">
        <v>13</v>
      </c>
      <c r="D1500" s="2" t="s">
        <v>3492</v>
      </c>
      <c r="E1500" s="2" t="s">
        <v>3493</v>
      </c>
      <c r="F1500" s="2" t="s">
        <v>420</v>
      </c>
      <c r="G1500" s="2" t="s">
        <v>252</v>
      </c>
      <c r="H1500" s="2"/>
      <c r="I1500" s="2"/>
      <c r="J1500" s="2"/>
      <c r="K1500" s="2"/>
      <c r="L1500" s="2"/>
      <c r="M1500" s="2"/>
      <c r="N1500" s="2"/>
      <c r="O1500" s="2"/>
      <c r="P1500" s="2"/>
      <c r="Q1500" s="2"/>
      <c r="R1500" s="2"/>
      <c r="S1500" s="2"/>
      <c r="T1500" s="2"/>
      <c r="U1500" s="2"/>
      <c r="V1500" s="2"/>
      <c r="W1500" s="2"/>
      <c r="X1500" s="2"/>
      <c r="Y1500" s="2"/>
    </row>
    <row r="1501" spans="1:25" x14ac:dyDescent="0.2">
      <c r="A1501">
        <v>2038</v>
      </c>
      <c r="B1501" t="s">
        <v>3491</v>
      </c>
      <c r="C1501" t="s">
        <v>18</v>
      </c>
      <c r="D1501" t="s">
        <v>3494</v>
      </c>
      <c r="E1501" t="s">
        <v>209</v>
      </c>
      <c r="F1501" t="s">
        <v>420</v>
      </c>
      <c r="G1501" t="s">
        <v>252</v>
      </c>
      <c r="H1501" t="b">
        <v>1</v>
      </c>
      <c r="I1501" t="b">
        <v>1</v>
      </c>
      <c r="L1501" t="b">
        <v>1</v>
      </c>
      <c r="M1501" t="s">
        <v>3495</v>
      </c>
      <c r="N1501" t="s">
        <v>3496</v>
      </c>
    </row>
    <row r="1502" spans="1:25" x14ac:dyDescent="0.2">
      <c r="A1502">
        <v>2039</v>
      </c>
      <c r="B1502" t="s">
        <v>3491</v>
      </c>
      <c r="C1502" t="s">
        <v>18</v>
      </c>
      <c r="D1502" t="s">
        <v>3497</v>
      </c>
      <c r="E1502" t="s">
        <v>1472</v>
      </c>
      <c r="F1502" t="s">
        <v>78</v>
      </c>
      <c r="G1502" t="s">
        <v>252</v>
      </c>
      <c r="H1502" t="b">
        <v>0</v>
      </c>
      <c r="I1502" t="b">
        <v>0</v>
      </c>
      <c r="L1502" t="b">
        <v>0</v>
      </c>
      <c r="M1502" t="s">
        <v>3498</v>
      </c>
      <c r="N1502" t="s">
        <v>3499</v>
      </c>
    </row>
    <row r="1503" spans="1:25" x14ac:dyDescent="0.2">
      <c r="A1503">
        <v>2040</v>
      </c>
      <c r="B1503" t="s">
        <v>3491</v>
      </c>
      <c r="C1503" t="s">
        <v>18</v>
      </c>
      <c r="D1503" t="s">
        <v>3500</v>
      </c>
      <c r="E1503" t="s">
        <v>3501</v>
      </c>
      <c r="F1503" t="s">
        <v>78</v>
      </c>
      <c r="G1503" t="s">
        <v>252</v>
      </c>
      <c r="H1503" t="b">
        <v>0</v>
      </c>
      <c r="I1503" t="b">
        <v>0</v>
      </c>
      <c r="L1503" t="b">
        <v>0</v>
      </c>
      <c r="M1503" t="s">
        <v>3502</v>
      </c>
      <c r="N1503" t="s">
        <v>3503</v>
      </c>
    </row>
    <row r="1504" spans="1:25" x14ac:dyDescent="0.2">
      <c r="A1504">
        <v>2041</v>
      </c>
      <c r="B1504" t="s">
        <v>3491</v>
      </c>
      <c r="C1504" t="s">
        <v>18</v>
      </c>
      <c r="D1504" t="s">
        <v>3504</v>
      </c>
      <c r="E1504" t="s">
        <v>3505</v>
      </c>
      <c r="F1504" t="s">
        <v>451</v>
      </c>
      <c r="G1504" t="s">
        <v>252</v>
      </c>
      <c r="H1504" t="b">
        <v>0</v>
      </c>
      <c r="I1504" t="b">
        <v>0</v>
      </c>
      <c r="L1504" t="b">
        <v>0</v>
      </c>
      <c r="M1504" t="s">
        <v>3506</v>
      </c>
      <c r="N1504" t="s">
        <v>3507</v>
      </c>
    </row>
    <row r="1505" spans="1:25" x14ac:dyDescent="0.2">
      <c r="A1505">
        <v>2042</v>
      </c>
      <c r="B1505" t="s">
        <v>3491</v>
      </c>
      <c r="C1505" t="s">
        <v>18</v>
      </c>
      <c r="D1505" t="s">
        <v>3508</v>
      </c>
      <c r="E1505" t="s">
        <v>2087</v>
      </c>
      <c r="F1505" t="s">
        <v>420</v>
      </c>
      <c r="G1505" t="s">
        <v>252</v>
      </c>
      <c r="H1505" t="b">
        <v>0</v>
      </c>
      <c r="I1505" t="b">
        <v>0</v>
      </c>
      <c r="L1505" t="b">
        <v>0</v>
      </c>
      <c r="M1505" t="s">
        <v>3509</v>
      </c>
      <c r="N1505" t="s">
        <v>3510</v>
      </c>
    </row>
    <row r="1507" spans="1:25" x14ac:dyDescent="0.2">
      <c r="A1507" s="2">
        <v>2044</v>
      </c>
      <c r="B1507" s="2" t="s">
        <v>3511</v>
      </c>
      <c r="C1507" s="2" t="s">
        <v>13</v>
      </c>
      <c r="D1507" s="2" t="s">
        <v>3512</v>
      </c>
      <c r="E1507" s="2" t="s">
        <v>3513</v>
      </c>
      <c r="F1507" s="2" t="s">
        <v>420</v>
      </c>
      <c r="G1507" s="2" t="s">
        <v>252</v>
      </c>
      <c r="H1507" s="2"/>
      <c r="I1507" s="2"/>
      <c r="J1507" s="2"/>
      <c r="K1507" s="2"/>
      <c r="L1507" s="2"/>
      <c r="M1507" s="2"/>
      <c r="N1507" s="2"/>
      <c r="O1507" s="2"/>
      <c r="P1507" s="2"/>
      <c r="Q1507" s="2"/>
      <c r="R1507" s="2"/>
      <c r="S1507" s="2"/>
      <c r="T1507" s="2"/>
      <c r="U1507" s="2"/>
      <c r="V1507" s="2"/>
      <c r="W1507" s="2"/>
      <c r="X1507" s="2"/>
      <c r="Y1507" s="2"/>
    </row>
    <row r="1508" spans="1:25" x14ac:dyDescent="0.2">
      <c r="A1508">
        <v>2045</v>
      </c>
      <c r="B1508" t="s">
        <v>3511</v>
      </c>
      <c r="C1508" t="s">
        <v>18</v>
      </c>
      <c r="D1508" t="s">
        <v>3512</v>
      </c>
      <c r="E1508" t="s">
        <v>3513</v>
      </c>
      <c r="F1508" t="s">
        <v>420</v>
      </c>
      <c r="G1508" t="s">
        <v>252</v>
      </c>
      <c r="H1508" t="b">
        <v>1</v>
      </c>
      <c r="K1508" t="b">
        <v>1</v>
      </c>
      <c r="L1508" t="b">
        <v>1</v>
      </c>
      <c r="M1508" t="s">
        <v>3514</v>
      </c>
      <c r="N1508" t="s">
        <v>3515</v>
      </c>
    </row>
    <row r="1509" spans="1:25" x14ac:dyDescent="0.2">
      <c r="A1509">
        <v>2046</v>
      </c>
      <c r="B1509" t="s">
        <v>3511</v>
      </c>
      <c r="C1509" t="s">
        <v>18</v>
      </c>
      <c r="D1509" t="s">
        <v>418</v>
      </c>
      <c r="E1509" t="s">
        <v>419</v>
      </c>
      <c r="F1509" t="s">
        <v>420</v>
      </c>
      <c r="G1509" t="s">
        <v>88</v>
      </c>
      <c r="H1509" t="b">
        <v>0</v>
      </c>
      <c r="K1509" t="b">
        <v>0</v>
      </c>
      <c r="L1509" t="b">
        <v>0</v>
      </c>
      <c r="M1509" t="s">
        <v>3516</v>
      </c>
    </row>
    <row r="1510" spans="1:25" x14ac:dyDescent="0.2">
      <c r="A1510">
        <v>2047</v>
      </c>
      <c r="B1510" t="s">
        <v>3511</v>
      </c>
      <c r="C1510" t="s">
        <v>18</v>
      </c>
      <c r="D1510" t="s">
        <v>421</v>
      </c>
      <c r="E1510" t="s">
        <v>422</v>
      </c>
      <c r="F1510" t="s">
        <v>420</v>
      </c>
      <c r="G1510" t="s">
        <v>88</v>
      </c>
      <c r="H1510" t="b">
        <v>0</v>
      </c>
      <c r="K1510" t="b">
        <v>0</v>
      </c>
      <c r="L1510" t="b">
        <v>0</v>
      </c>
      <c r="M1510" t="s">
        <v>3517</v>
      </c>
    </row>
    <row r="1511" spans="1:25" x14ac:dyDescent="0.2">
      <c r="A1511">
        <v>2048</v>
      </c>
      <c r="B1511" t="s">
        <v>3511</v>
      </c>
      <c r="C1511" t="s">
        <v>18</v>
      </c>
      <c r="D1511" t="s">
        <v>3518</v>
      </c>
      <c r="E1511" t="s">
        <v>3519</v>
      </c>
      <c r="F1511" t="s">
        <v>420</v>
      </c>
      <c r="G1511" t="s">
        <v>88</v>
      </c>
      <c r="H1511" t="b">
        <v>0</v>
      </c>
      <c r="K1511" t="b">
        <v>0</v>
      </c>
      <c r="L1511" t="b">
        <v>0</v>
      </c>
      <c r="M1511" t="s">
        <v>3520</v>
      </c>
      <c r="N1511" t="s">
        <v>3521</v>
      </c>
    </row>
    <row r="1512" spans="1:25" x14ac:dyDescent="0.2">
      <c r="A1512">
        <v>2049</v>
      </c>
      <c r="B1512" t="s">
        <v>3511</v>
      </c>
      <c r="C1512" t="s">
        <v>18</v>
      </c>
      <c r="D1512" t="s">
        <v>3522</v>
      </c>
      <c r="E1512" t="s">
        <v>3523</v>
      </c>
      <c r="F1512" t="s">
        <v>420</v>
      </c>
      <c r="G1512" t="s">
        <v>88</v>
      </c>
      <c r="H1512" t="b">
        <v>0</v>
      </c>
      <c r="K1512" t="b">
        <v>0</v>
      </c>
      <c r="L1512" t="b">
        <v>0</v>
      </c>
      <c r="M1512" t="s">
        <v>3524</v>
      </c>
    </row>
    <row r="1514" spans="1:25" x14ac:dyDescent="0.2">
      <c r="A1514" s="2">
        <v>2051</v>
      </c>
      <c r="B1514" s="2" t="s">
        <v>3525</v>
      </c>
      <c r="C1514" s="2" t="s">
        <v>13</v>
      </c>
      <c r="D1514" s="2" t="s">
        <v>3526</v>
      </c>
      <c r="E1514" s="2" t="s">
        <v>3527</v>
      </c>
      <c r="F1514" s="2" t="s">
        <v>420</v>
      </c>
      <c r="G1514" s="2" t="s">
        <v>88</v>
      </c>
      <c r="H1514" s="2"/>
      <c r="I1514" s="2"/>
      <c r="J1514" s="2"/>
      <c r="K1514" s="2"/>
      <c r="L1514" s="2"/>
      <c r="M1514" s="2"/>
      <c r="N1514" s="2"/>
      <c r="O1514" s="2"/>
      <c r="P1514" s="2"/>
      <c r="Q1514" s="2"/>
      <c r="R1514" s="2"/>
      <c r="S1514" s="2"/>
      <c r="T1514" s="2"/>
      <c r="U1514" s="2"/>
      <c r="V1514" s="2"/>
      <c r="W1514" s="2"/>
      <c r="X1514" s="2"/>
      <c r="Y1514" s="2"/>
    </row>
    <row r="1515" spans="1:25" x14ac:dyDescent="0.2">
      <c r="A1515">
        <v>2052</v>
      </c>
      <c r="B1515" t="s">
        <v>3525</v>
      </c>
      <c r="C1515" t="s">
        <v>18</v>
      </c>
      <c r="D1515" t="s">
        <v>3526</v>
      </c>
      <c r="E1515" t="s">
        <v>3528</v>
      </c>
      <c r="F1515" t="s">
        <v>420</v>
      </c>
      <c r="G1515" t="s">
        <v>88</v>
      </c>
      <c r="H1515" t="b">
        <v>1</v>
      </c>
      <c r="K1515" t="b">
        <v>1</v>
      </c>
      <c r="L1515" t="b">
        <v>1</v>
      </c>
      <c r="M1515" t="s">
        <v>3529</v>
      </c>
    </row>
    <row r="1516" spans="1:25" x14ac:dyDescent="0.2">
      <c r="A1516">
        <v>2053</v>
      </c>
      <c r="B1516" t="s">
        <v>3525</v>
      </c>
      <c r="C1516" t="s">
        <v>18</v>
      </c>
      <c r="D1516" t="s">
        <v>3530</v>
      </c>
      <c r="E1516" t="s">
        <v>3531</v>
      </c>
      <c r="F1516" t="s">
        <v>420</v>
      </c>
      <c r="G1516" t="s">
        <v>88</v>
      </c>
      <c r="H1516" t="b">
        <v>1</v>
      </c>
      <c r="K1516" t="b">
        <v>1</v>
      </c>
      <c r="L1516" t="b">
        <v>1</v>
      </c>
      <c r="M1516" t="s">
        <v>3532</v>
      </c>
    </row>
    <row r="1517" spans="1:25" x14ac:dyDescent="0.2">
      <c r="A1517">
        <v>2054</v>
      </c>
      <c r="B1517" t="s">
        <v>3525</v>
      </c>
      <c r="C1517" t="s">
        <v>18</v>
      </c>
      <c r="D1517" t="s">
        <v>2237</v>
      </c>
      <c r="E1517" t="s">
        <v>2238</v>
      </c>
      <c r="F1517" t="s">
        <v>420</v>
      </c>
      <c r="G1517" t="s">
        <v>88</v>
      </c>
      <c r="H1517" t="b">
        <v>0</v>
      </c>
      <c r="K1517" t="b">
        <v>0</v>
      </c>
      <c r="L1517" t="b">
        <v>0</v>
      </c>
    </row>
    <row r="1518" spans="1:25" x14ac:dyDescent="0.2">
      <c r="A1518">
        <v>2055</v>
      </c>
      <c r="B1518" t="s">
        <v>3525</v>
      </c>
      <c r="C1518" t="s">
        <v>18</v>
      </c>
      <c r="D1518" t="s">
        <v>3518</v>
      </c>
      <c r="E1518" t="s">
        <v>3519</v>
      </c>
      <c r="F1518" t="s">
        <v>420</v>
      </c>
      <c r="G1518" t="s">
        <v>88</v>
      </c>
      <c r="H1518" t="b">
        <v>0</v>
      </c>
      <c r="K1518" t="b">
        <v>0</v>
      </c>
      <c r="L1518" t="b">
        <v>0</v>
      </c>
      <c r="M1518" t="s">
        <v>3520</v>
      </c>
      <c r="N1518" t="s">
        <v>3521</v>
      </c>
    </row>
    <row r="1519" spans="1:25" x14ac:dyDescent="0.2">
      <c r="A1519">
        <v>2056</v>
      </c>
      <c r="B1519" t="s">
        <v>3525</v>
      </c>
      <c r="C1519" t="s">
        <v>18</v>
      </c>
      <c r="D1519" t="s">
        <v>3533</v>
      </c>
      <c r="E1519" t="s">
        <v>3534</v>
      </c>
      <c r="F1519" t="s">
        <v>420</v>
      </c>
      <c r="G1519" t="s">
        <v>88</v>
      </c>
      <c r="H1519" t="b">
        <v>0</v>
      </c>
      <c r="K1519" t="b">
        <v>0</v>
      </c>
      <c r="L1519" t="b">
        <v>0</v>
      </c>
      <c r="M1519" t="s">
        <v>3535</v>
      </c>
      <c r="N1519" t="s">
        <v>3536</v>
      </c>
    </row>
    <row r="1521" spans="1:25" x14ac:dyDescent="0.2">
      <c r="A1521" s="2">
        <v>2093</v>
      </c>
      <c r="B1521" s="2" t="s">
        <v>3537</v>
      </c>
      <c r="C1521" s="2" t="s">
        <v>13</v>
      </c>
      <c r="D1521" s="2" t="s">
        <v>3538</v>
      </c>
      <c r="E1521" s="2" t="s">
        <v>3539</v>
      </c>
      <c r="F1521" s="2" t="s">
        <v>151</v>
      </c>
      <c r="G1521" s="2" t="s">
        <v>1867</v>
      </c>
      <c r="H1521" s="2"/>
      <c r="I1521" s="2"/>
      <c r="J1521" s="2"/>
      <c r="K1521" s="2"/>
      <c r="L1521" s="2"/>
      <c r="M1521" s="2"/>
      <c r="N1521" s="2"/>
      <c r="O1521" s="2"/>
      <c r="P1521" s="2"/>
      <c r="Q1521" s="2"/>
      <c r="R1521" s="2"/>
      <c r="S1521" s="2"/>
      <c r="T1521" s="2"/>
      <c r="U1521" s="2"/>
      <c r="V1521" s="2"/>
      <c r="W1521" s="2"/>
      <c r="X1521" s="2"/>
      <c r="Y1521" s="2"/>
    </row>
    <row r="1522" spans="1:25" x14ac:dyDescent="0.2">
      <c r="A1522">
        <v>2094</v>
      </c>
      <c r="B1522" t="s">
        <v>3537</v>
      </c>
      <c r="C1522" t="s">
        <v>18</v>
      </c>
      <c r="D1522" t="s">
        <v>3540</v>
      </c>
      <c r="E1522" t="s">
        <v>3541</v>
      </c>
      <c r="F1522" t="s">
        <v>151</v>
      </c>
      <c r="G1522" t="s">
        <v>1867</v>
      </c>
      <c r="H1522" t="b">
        <v>0</v>
      </c>
      <c r="I1522" t="b">
        <v>0</v>
      </c>
      <c r="L1522" t="b">
        <v>0</v>
      </c>
    </row>
    <row r="1523" spans="1:25" x14ac:dyDescent="0.2">
      <c r="A1523">
        <v>2095</v>
      </c>
      <c r="B1523" t="s">
        <v>3537</v>
      </c>
      <c r="C1523" t="s">
        <v>18</v>
      </c>
      <c r="D1523" t="s">
        <v>3542</v>
      </c>
      <c r="E1523" t="s">
        <v>3539</v>
      </c>
      <c r="F1523" t="s">
        <v>151</v>
      </c>
      <c r="G1523" t="s">
        <v>1867</v>
      </c>
      <c r="H1523" t="b">
        <v>1</v>
      </c>
      <c r="I1523" t="b">
        <v>1</v>
      </c>
      <c r="L1523" t="b">
        <v>1</v>
      </c>
      <c r="M1523" t="s">
        <v>3543</v>
      </c>
      <c r="N1523" t="s">
        <v>3544</v>
      </c>
    </row>
    <row r="1524" spans="1:25" x14ac:dyDescent="0.2">
      <c r="A1524">
        <v>2096</v>
      </c>
      <c r="B1524" t="s">
        <v>3537</v>
      </c>
      <c r="C1524" t="s">
        <v>18</v>
      </c>
      <c r="D1524" t="s">
        <v>3545</v>
      </c>
      <c r="E1524" t="s">
        <v>3546</v>
      </c>
      <c r="F1524" t="s">
        <v>151</v>
      </c>
      <c r="G1524" t="s">
        <v>1867</v>
      </c>
      <c r="H1524" t="b">
        <v>0</v>
      </c>
      <c r="I1524" t="b">
        <v>0</v>
      </c>
      <c r="L1524" t="b">
        <v>0</v>
      </c>
      <c r="M1524" t="s">
        <v>3547</v>
      </c>
    </row>
    <row r="1525" spans="1:25" x14ac:dyDescent="0.2">
      <c r="A1525">
        <v>2097</v>
      </c>
      <c r="B1525" t="s">
        <v>3537</v>
      </c>
      <c r="C1525" t="s">
        <v>18</v>
      </c>
      <c r="D1525" t="s">
        <v>3467</v>
      </c>
      <c r="E1525" t="s">
        <v>3468</v>
      </c>
      <c r="F1525" t="s">
        <v>420</v>
      </c>
      <c r="G1525" t="s">
        <v>1867</v>
      </c>
      <c r="H1525" t="b">
        <v>0</v>
      </c>
      <c r="I1525" t="b">
        <v>0</v>
      </c>
      <c r="L1525" t="b">
        <v>0</v>
      </c>
      <c r="M1525" t="s">
        <v>3469</v>
      </c>
      <c r="N1525" t="s">
        <v>3470</v>
      </c>
      <c r="O1525" t="s">
        <v>3471</v>
      </c>
      <c r="P1525" t="s">
        <v>3472</v>
      </c>
    </row>
    <row r="1526" spans="1:25" x14ac:dyDescent="0.2">
      <c r="A1526">
        <v>2098</v>
      </c>
      <c r="B1526" t="s">
        <v>3537</v>
      </c>
      <c r="C1526" t="s">
        <v>18</v>
      </c>
      <c r="D1526" t="s">
        <v>3548</v>
      </c>
      <c r="E1526" t="s">
        <v>3549</v>
      </c>
      <c r="F1526" t="s">
        <v>248</v>
      </c>
      <c r="G1526" t="s">
        <v>1867</v>
      </c>
      <c r="H1526" t="b">
        <v>0</v>
      </c>
      <c r="I1526" t="b">
        <v>0</v>
      </c>
      <c r="L1526" t="b">
        <v>0</v>
      </c>
      <c r="M1526" t="s">
        <v>3550</v>
      </c>
      <c r="N1526" t="s">
        <v>3551</v>
      </c>
    </row>
    <row r="1528" spans="1:25" x14ac:dyDescent="0.2">
      <c r="A1528" s="2">
        <v>21</v>
      </c>
      <c r="B1528" s="2" t="s">
        <v>3552</v>
      </c>
      <c r="C1528" s="2" t="s">
        <v>13</v>
      </c>
      <c r="D1528" s="2" t="s">
        <v>3553</v>
      </c>
      <c r="E1528" s="2" t="s">
        <v>3554</v>
      </c>
      <c r="F1528" s="2" t="s">
        <v>316</v>
      </c>
      <c r="G1528" s="2" t="s">
        <v>3555</v>
      </c>
      <c r="H1528" s="2"/>
      <c r="I1528" s="2"/>
      <c r="J1528" s="2"/>
      <c r="K1528" s="2"/>
      <c r="L1528" s="2"/>
      <c r="M1528" s="2"/>
      <c r="N1528" s="2"/>
      <c r="O1528" s="2"/>
      <c r="P1528" s="2"/>
      <c r="Q1528" s="2"/>
      <c r="R1528" s="2"/>
      <c r="S1528" s="2"/>
      <c r="T1528" s="2"/>
      <c r="U1528" s="2"/>
      <c r="V1528" s="2"/>
      <c r="W1528" s="2"/>
      <c r="X1528" s="2"/>
      <c r="Y1528" s="2"/>
    </row>
    <row r="1529" spans="1:25" x14ac:dyDescent="0.2">
      <c r="A1529">
        <v>22</v>
      </c>
      <c r="B1529" t="s">
        <v>3552</v>
      </c>
      <c r="C1529" t="s">
        <v>18</v>
      </c>
      <c r="D1529" t="s">
        <v>3556</v>
      </c>
      <c r="E1529" t="s">
        <v>3557</v>
      </c>
      <c r="F1529" t="s">
        <v>316</v>
      </c>
      <c r="G1529" t="s">
        <v>3558</v>
      </c>
      <c r="H1529" t="b">
        <v>1</v>
      </c>
      <c r="I1529" t="b">
        <v>1</v>
      </c>
      <c r="L1529" t="b">
        <v>1</v>
      </c>
      <c r="M1529" t="s">
        <v>3559</v>
      </c>
      <c r="N1529" t="s">
        <v>3560</v>
      </c>
    </row>
    <row r="1530" spans="1:25" x14ac:dyDescent="0.2">
      <c r="A1530">
        <v>23</v>
      </c>
      <c r="B1530" t="s">
        <v>3552</v>
      </c>
      <c r="C1530" t="s">
        <v>18</v>
      </c>
      <c r="D1530" t="s">
        <v>3561</v>
      </c>
      <c r="E1530" t="s">
        <v>3562</v>
      </c>
      <c r="F1530" t="s">
        <v>316</v>
      </c>
      <c r="G1530" t="s">
        <v>3558</v>
      </c>
      <c r="H1530" t="b">
        <v>0</v>
      </c>
      <c r="I1530" t="b">
        <v>0</v>
      </c>
      <c r="L1530" t="b">
        <v>0</v>
      </c>
      <c r="M1530" t="s">
        <v>3563</v>
      </c>
    </row>
    <row r="1531" spans="1:25" x14ac:dyDescent="0.2">
      <c r="A1531">
        <v>24</v>
      </c>
      <c r="B1531" t="s">
        <v>3552</v>
      </c>
      <c r="C1531" t="s">
        <v>18</v>
      </c>
      <c r="D1531" t="s">
        <v>3564</v>
      </c>
      <c r="E1531" t="s">
        <v>3565</v>
      </c>
      <c r="F1531" t="s">
        <v>316</v>
      </c>
      <c r="G1531" t="s">
        <v>3558</v>
      </c>
      <c r="H1531" t="b">
        <v>0</v>
      </c>
      <c r="I1531" t="b">
        <v>0</v>
      </c>
      <c r="L1531" t="b">
        <v>0</v>
      </c>
      <c r="M1531" t="s">
        <v>3566</v>
      </c>
    </row>
    <row r="1532" spans="1:25" x14ac:dyDescent="0.2">
      <c r="A1532">
        <v>25</v>
      </c>
      <c r="B1532" t="s">
        <v>3552</v>
      </c>
      <c r="C1532" t="s">
        <v>18</v>
      </c>
      <c r="D1532" t="s">
        <v>3567</v>
      </c>
      <c r="E1532" t="s">
        <v>3568</v>
      </c>
      <c r="F1532" t="s">
        <v>316</v>
      </c>
      <c r="G1532" t="s">
        <v>3558</v>
      </c>
      <c r="H1532" t="b">
        <v>0</v>
      </c>
      <c r="I1532" t="b">
        <v>0</v>
      </c>
      <c r="L1532" t="b">
        <v>0</v>
      </c>
    </row>
    <row r="1533" spans="1:25" x14ac:dyDescent="0.2">
      <c r="A1533">
        <v>26</v>
      </c>
      <c r="B1533" t="s">
        <v>3552</v>
      </c>
      <c r="C1533" t="s">
        <v>18</v>
      </c>
      <c r="D1533" t="s">
        <v>3569</v>
      </c>
      <c r="E1533" t="s">
        <v>3570</v>
      </c>
      <c r="F1533" t="s">
        <v>316</v>
      </c>
      <c r="G1533" t="s">
        <v>3558</v>
      </c>
      <c r="H1533" t="b">
        <v>0</v>
      </c>
      <c r="I1533" t="b">
        <v>0</v>
      </c>
      <c r="L1533" t="b">
        <v>0</v>
      </c>
    </row>
    <row r="1535" spans="1:25" x14ac:dyDescent="0.2">
      <c r="A1535" s="2">
        <v>2100</v>
      </c>
      <c r="B1535" s="2" t="s">
        <v>3571</v>
      </c>
      <c r="C1535" s="2" t="s">
        <v>13</v>
      </c>
      <c r="D1535" s="2" t="s">
        <v>3572</v>
      </c>
      <c r="E1535" s="2" t="s">
        <v>3573</v>
      </c>
      <c r="F1535" s="2" t="s">
        <v>159</v>
      </c>
      <c r="G1535" s="2" t="s">
        <v>1867</v>
      </c>
      <c r="H1535" s="2"/>
      <c r="I1535" s="2"/>
      <c r="J1535" s="2"/>
      <c r="K1535" s="2"/>
      <c r="L1535" s="2"/>
      <c r="M1535" s="2"/>
      <c r="N1535" s="2"/>
      <c r="O1535" s="2"/>
      <c r="P1535" s="2"/>
      <c r="Q1535" s="2"/>
      <c r="R1535" s="2"/>
      <c r="S1535" s="2"/>
      <c r="T1535" s="2"/>
      <c r="U1535" s="2"/>
      <c r="V1535" s="2"/>
      <c r="W1535" s="2"/>
      <c r="X1535" s="2"/>
      <c r="Y1535" s="2"/>
    </row>
    <row r="1536" spans="1:25" x14ac:dyDescent="0.2">
      <c r="A1536">
        <v>2101</v>
      </c>
      <c r="B1536" t="s">
        <v>3571</v>
      </c>
      <c r="C1536" t="s">
        <v>18</v>
      </c>
      <c r="D1536" t="s">
        <v>3574</v>
      </c>
      <c r="E1536" t="s">
        <v>3575</v>
      </c>
      <c r="F1536" t="s">
        <v>248</v>
      </c>
      <c r="G1536" t="s">
        <v>1867</v>
      </c>
      <c r="H1536" t="b">
        <v>0</v>
      </c>
      <c r="K1536" t="b">
        <v>0</v>
      </c>
      <c r="L1536" t="b">
        <v>0</v>
      </c>
      <c r="M1536" t="s">
        <v>3576</v>
      </c>
      <c r="N1536" t="s">
        <v>3577</v>
      </c>
    </row>
    <row r="1537" spans="1:25" x14ac:dyDescent="0.2">
      <c r="A1537">
        <v>2102</v>
      </c>
      <c r="B1537" t="s">
        <v>3571</v>
      </c>
      <c r="C1537" t="s">
        <v>18</v>
      </c>
      <c r="D1537" t="s">
        <v>3578</v>
      </c>
      <c r="E1537" t="s">
        <v>3579</v>
      </c>
      <c r="F1537" t="s">
        <v>159</v>
      </c>
      <c r="G1537" t="s">
        <v>1867</v>
      </c>
      <c r="H1537" t="b">
        <v>0</v>
      </c>
      <c r="K1537" t="b">
        <v>0</v>
      </c>
      <c r="L1537" t="b">
        <v>0</v>
      </c>
      <c r="M1537" t="s">
        <v>3580</v>
      </c>
      <c r="N1537" t="s">
        <v>3581</v>
      </c>
    </row>
    <row r="1538" spans="1:25" x14ac:dyDescent="0.2">
      <c r="A1538">
        <v>2103</v>
      </c>
      <c r="B1538" t="s">
        <v>3571</v>
      </c>
      <c r="C1538" t="s">
        <v>18</v>
      </c>
      <c r="D1538" t="s">
        <v>1879</v>
      </c>
      <c r="E1538" t="s">
        <v>244</v>
      </c>
      <c r="F1538" t="s">
        <v>82</v>
      </c>
      <c r="G1538" t="s">
        <v>1867</v>
      </c>
      <c r="H1538" t="b">
        <v>1</v>
      </c>
      <c r="K1538" t="b">
        <v>0</v>
      </c>
      <c r="L1538" t="b">
        <v>1</v>
      </c>
      <c r="M1538" t="s">
        <v>1880</v>
      </c>
    </row>
    <row r="1539" spans="1:25" x14ac:dyDescent="0.2">
      <c r="A1539">
        <v>2104</v>
      </c>
      <c r="B1539" t="s">
        <v>3571</v>
      </c>
      <c r="C1539" t="s">
        <v>18</v>
      </c>
      <c r="D1539" t="s">
        <v>3582</v>
      </c>
      <c r="E1539" t="s">
        <v>1259</v>
      </c>
      <c r="F1539" t="s">
        <v>82</v>
      </c>
      <c r="G1539" t="s">
        <v>1867</v>
      </c>
      <c r="H1539" t="b">
        <v>1</v>
      </c>
      <c r="K1539" t="b">
        <v>0</v>
      </c>
      <c r="L1539" t="b">
        <v>1</v>
      </c>
      <c r="M1539" t="s">
        <v>3583</v>
      </c>
    </row>
    <row r="1540" spans="1:25" x14ac:dyDescent="0.2">
      <c r="A1540">
        <v>2105</v>
      </c>
      <c r="B1540" t="s">
        <v>3571</v>
      </c>
      <c r="C1540" t="s">
        <v>18</v>
      </c>
      <c r="D1540" t="s">
        <v>3548</v>
      </c>
      <c r="E1540" t="s">
        <v>3549</v>
      </c>
      <c r="F1540" t="s">
        <v>248</v>
      </c>
      <c r="G1540" t="s">
        <v>1867</v>
      </c>
      <c r="H1540" t="b">
        <v>0</v>
      </c>
      <c r="K1540" t="b">
        <v>0</v>
      </c>
      <c r="L1540" t="b">
        <v>0</v>
      </c>
      <c r="M1540" t="s">
        <v>3550</v>
      </c>
      <c r="N1540" t="s">
        <v>3551</v>
      </c>
    </row>
    <row r="1542" spans="1:25" x14ac:dyDescent="0.2">
      <c r="A1542" s="2">
        <v>2114</v>
      </c>
      <c r="B1542" s="2" t="s">
        <v>3584</v>
      </c>
      <c r="C1542" s="2" t="s">
        <v>13</v>
      </c>
      <c r="D1542" s="2" t="s">
        <v>3585</v>
      </c>
      <c r="E1542" s="2" t="s">
        <v>3586</v>
      </c>
      <c r="F1542" s="2" t="s">
        <v>196</v>
      </c>
      <c r="G1542" s="2" t="s">
        <v>88</v>
      </c>
      <c r="H1542" s="2"/>
      <c r="I1542" s="2"/>
      <c r="J1542" s="2"/>
      <c r="K1542" s="2"/>
      <c r="L1542" s="2"/>
      <c r="M1542" s="2"/>
      <c r="N1542" s="2"/>
      <c r="O1542" s="2"/>
      <c r="P1542" s="2"/>
      <c r="Q1542" s="2"/>
      <c r="R1542" s="2"/>
      <c r="S1542" s="2"/>
      <c r="T1542" s="2"/>
      <c r="U1542" s="2"/>
      <c r="V1542" s="2"/>
      <c r="W1542" s="2"/>
      <c r="X1542" s="2"/>
      <c r="Y1542" s="2"/>
    </row>
    <row r="1543" spans="1:25" x14ac:dyDescent="0.2">
      <c r="A1543">
        <v>2115</v>
      </c>
      <c r="B1543" t="s">
        <v>3584</v>
      </c>
      <c r="C1543" t="s">
        <v>18</v>
      </c>
      <c r="D1543" t="s">
        <v>3587</v>
      </c>
      <c r="E1543" t="s">
        <v>3588</v>
      </c>
      <c r="F1543" t="s">
        <v>2874</v>
      </c>
      <c r="G1543" t="s">
        <v>88</v>
      </c>
      <c r="H1543" t="b">
        <v>1</v>
      </c>
      <c r="K1543" t="b">
        <v>1</v>
      </c>
      <c r="L1543" t="b">
        <v>1</v>
      </c>
      <c r="M1543" t="s">
        <v>3589</v>
      </c>
      <c r="N1543" t="s">
        <v>745</v>
      </c>
    </row>
    <row r="1544" spans="1:25" x14ac:dyDescent="0.2">
      <c r="A1544">
        <v>2116</v>
      </c>
      <c r="B1544" t="s">
        <v>3584</v>
      </c>
      <c r="C1544" t="s">
        <v>18</v>
      </c>
      <c r="D1544" t="s">
        <v>3590</v>
      </c>
      <c r="E1544" t="s">
        <v>3591</v>
      </c>
      <c r="F1544" t="s">
        <v>196</v>
      </c>
      <c r="G1544" t="s">
        <v>88</v>
      </c>
      <c r="H1544" t="b">
        <v>1</v>
      </c>
      <c r="K1544" t="b">
        <v>1</v>
      </c>
      <c r="L1544" t="b">
        <v>1</v>
      </c>
      <c r="M1544" t="s">
        <v>3592</v>
      </c>
    </row>
    <row r="1545" spans="1:25" x14ac:dyDescent="0.2">
      <c r="A1545">
        <v>2117</v>
      </c>
      <c r="B1545" t="s">
        <v>3584</v>
      </c>
      <c r="C1545" t="s">
        <v>18</v>
      </c>
      <c r="D1545" t="s">
        <v>1875</v>
      </c>
      <c r="E1545" t="s">
        <v>1876</v>
      </c>
      <c r="F1545" t="s">
        <v>82</v>
      </c>
      <c r="G1545" t="s">
        <v>88</v>
      </c>
      <c r="H1545" t="b">
        <v>0</v>
      </c>
      <c r="K1545" t="b">
        <v>0</v>
      </c>
      <c r="L1545" t="b">
        <v>0</v>
      </c>
    </row>
    <row r="1546" spans="1:25" x14ac:dyDescent="0.2">
      <c r="A1546">
        <v>2118</v>
      </c>
      <c r="B1546" t="s">
        <v>3584</v>
      </c>
      <c r="C1546" t="s">
        <v>18</v>
      </c>
      <c r="D1546" t="s">
        <v>3593</v>
      </c>
      <c r="E1546" t="s">
        <v>1442</v>
      </c>
      <c r="F1546" t="s">
        <v>78</v>
      </c>
      <c r="G1546" t="s">
        <v>88</v>
      </c>
      <c r="H1546" t="b">
        <v>0</v>
      </c>
      <c r="K1546" t="b">
        <v>0</v>
      </c>
      <c r="L1546" t="b">
        <v>0</v>
      </c>
      <c r="M1546" t="s">
        <v>3594</v>
      </c>
      <c r="N1546" t="s">
        <v>3595</v>
      </c>
    </row>
    <row r="1547" spans="1:25" x14ac:dyDescent="0.2">
      <c r="A1547">
        <v>2119</v>
      </c>
      <c r="B1547" t="s">
        <v>3584</v>
      </c>
      <c r="C1547" t="s">
        <v>18</v>
      </c>
      <c r="D1547" t="s">
        <v>3596</v>
      </c>
      <c r="E1547" t="s">
        <v>3597</v>
      </c>
      <c r="F1547" t="s">
        <v>148</v>
      </c>
      <c r="G1547" t="s">
        <v>88</v>
      </c>
      <c r="H1547" t="b">
        <v>0</v>
      </c>
      <c r="K1547" t="b">
        <v>0</v>
      </c>
      <c r="L1547" t="b">
        <v>0</v>
      </c>
      <c r="M1547" t="s">
        <v>3598</v>
      </c>
    </row>
    <row r="1549" spans="1:25" x14ac:dyDescent="0.2">
      <c r="A1549" s="2">
        <v>2135</v>
      </c>
      <c r="B1549" s="2" t="s">
        <v>3599</v>
      </c>
      <c r="C1549" s="2" t="s">
        <v>13</v>
      </c>
      <c r="D1549" s="2" t="s">
        <v>3600</v>
      </c>
      <c r="E1549" s="2" t="s">
        <v>3601</v>
      </c>
      <c r="F1549" s="2" t="s">
        <v>27</v>
      </c>
      <c r="G1549" s="2" t="s">
        <v>17</v>
      </c>
      <c r="H1549" s="2"/>
      <c r="I1549" s="2"/>
      <c r="J1549" s="2"/>
      <c r="K1549" s="2"/>
      <c r="L1549" s="2"/>
      <c r="M1549" s="2"/>
      <c r="N1549" s="2"/>
      <c r="O1549" s="2"/>
      <c r="P1549" s="2"/>
      <c r="Q1549" s="2"/>
      <c r="R1549" s="2"/>
      <c r="S1549" s="2"/>
      <c r="T1549" s="2"/>
      <c r="U1549" s="2"/>
      <c r="V1549" s="2"/>
      <c r="W1549" s="2"/>
      <c r="X1549" s="2"/>
      <c r="Y1549" s="2"/>
    </row>
    <row r="1550" spans="1:25" x14ac:dyDescent="0.2">
      <c r="A1550">
        <v>2136</v>
      </c>
      <c r="B1550" t="s">
        <v>3599</v>
      </c>
      <c r="C1550" t="s">
        <v>18</v>
      </c>
      <c r="D1550" t="s">
        <v>3600</v>
      </c>
      <c r="E1550" t="s">
        <v>3602</v>
      </c>
      <c r="F1550" t="s">
        <v>27</v>
      </c>
      <c r="G1550" t="s">
        <v>17</v>
      </c>
      <c r="H1550" t="b">
        <v>1</v>
      </c>
      <c r="I1550" t="b">
        <v>1</v>
      </c>
      <c r="L1550" t="b">
        <v>1</v>
      </c>
      <c r="M1550" t="s">
        <v>3603</v>
      </c>
    </row>
    <row r="1551" spans="1:25" x14ac:dyDescent="0.2">
      <c r="A1551">
        <v>2137</v>
      </c>
      <c r="B1551" t="s">
        <v>3599</v>
      </c>
      <c r="C1551" t="s">
        <v>18</v>
      </c>
      <c r="D1551" t="s">
        <v>3604</v>
      </c>
      <c r="E1551" t="s">
        <v>3605</v>
      </c>
      <c r="F1551" t="s">
        <v>27</v>
      </c>
      <c r="G1551" t="s">
        <v>17</v>
      </c>
      <c r="H1551" t="b">
        <v>1</v>
      </c>
      <c r="I1551" t="b">
        <v>1</v>
      </c>
      <c r="L1551" t="b">
        <v>1</v>
      </c>
      <c r="M1551" t="s">
        <v>3606</v>
      </c>
    </row>
    <row r="1552" spans="1:25" x14ac:dyDescent="0.2">
      <c r="A1552">
        <v>2138</v>
      </c>
      <c r="B1552" t="s">
        <v>3599</v>
      </c>
      <c r="C1552" t="s">
        <v>18</v>
      </c>
      <c r="D1552" t="s">
        <v>3607</v>
      </c>
      <c r="E1552" t="s">
        <v>3602</v>
      </c>
      <c r="F1552" t="s">
        <v>27</v>
      </c>
      <c r="G1552" t="s">
        <v>24</v>
      </c>
      <c r="H1552" t="b">
        <v>1</v>
      </c>
      <c r="I1552" t="b">
        <v>1</v>
      </c>
      <c r="L1552" t="b">
        <v>1</v>
      </c>
      <c r="M1552" t="s">
        <v>3608</v>
      </c>
    </row>
    <row r="1553" spans="1:25" x14ac:dyDescent="0.2">
      <c r="A1553">
        <v>2139</v>
      </c>
      <c r="B1553" t="s">
        <v>3599</v>
      </c>
      <c r="C1553" t="s">
        <v>18</v>
      </c>
      <c r="D1553" t="s">
        <v>3609</v>
      </c>
      <c r="E1553" t="s">
        <v>3610</v>
      </c>
      <c r="F1553" t="s">
        <v>27</v>
      </c>
      <c r="G1553" t="s">
        <v>265</v>
      </c>
      <c r="H1553" t="b">
        <v>0</v>
      </c>
      <c r="I1553" t="b">
        <v>0</v>
      </c>
      <c r="L1553" t="b">
        <v>0</v>
      </c>
      <c r="M1553" t="s">
        <v>3611</v>
      </c>
    </row>
    <row r="1554" spans="1:25" x14ac:dyDescent="0.2">
      <c r="A1554">
        <v>2140</v>
      </c>
      <c r="B1554" t="s">
        <v>3599</v>
      </c>
      <c r="C1554" t="s">
        <v>18</v>
      </c>
      <c r="D1554" t="s">
        <v>3612</v>
      </c>
      <c r="E1554" t="s">
        <v>3613</v>
      </c>
      <c r="F1554" t="s">
        <v>27</v>
      </c>
      <c r="G1554" t="s">
        <v>17</v>
      </c>
      <c r="H1554" t="b">
        <v>0</v>
      </c>
      <c r="I1554" t="b">
        <v>0</v>
      </c>
      <c r="L1554" t="b">
        <v>0</v>
      </c>
      <c r="M1554" t="s">
        <v>3614</v>
      </c>
    </row>
    <row r="1556" spans="1:25" x14ac:dyDescent="0.2">
      <c r="A1556" s="2">
        <v>2142</v>
      </c>
      <c r="B1556" s="2" t="s">
        <v>3615</v>
      </c>
      <c r="C1556" s="2" t="s">
        <v>13</v>
      </c>
      <c r="D1556" s="2" t="s">
        <v>3616</v>
      </c>
      <c r="E1556" s="2" t="s">
        <v>3617</v>
      </c>
      <c r="F1556" s="2" t="s">
        <v>23</v>
      </c>
      <c r="G1556" s="2" t="s">
        <v>417</v>
      </c>
      <c r="H1556" s="2"/>
      <c r="I1556" s="2"/>
      <c r="J1556" s="2"/>
      <c r="K1556" s="2"/>
      <c r="L1556" s="2"/>
      <c r="M1556" s="2"/>
      <c r="N1556" s="2"/>
      <c r="O1556" s="2"/>
      <c r="P1556" s="2"/>
      <c r="Q1556" s="2"/>
      <c r="R1556" s="2"/>
      <c r="S1556" s="2"/>
      <c r="T1556" s="2"/>
      <c r="U1556" s="2"/>
      <c r="V1556" s="2"/>
      <c r="W1556" s="2"/>
      <c r="X1556" s="2"/>
      <c r="Y1556" s="2"/>
    </row>
    <row r="1557" spans="1:25" x14ac:dyDescent="0.2">
      <c r="A1557">
        <v>2143</v>
      </c>
      <c r="B1557" t="s">
        <v>3615</v>
      </c>
      <c r="C1557" t="s">
        <v>18</v>
      </c>
      <c r="D1557" t="s">
        <v>3616</v>
      </c>
      <c r="E1557" t="s">
        <v>3618</v>
      </c>
      <c r="F1557" t="s">
        <v>23</v>
      </c>
      <c r="G1557" t="s">
        <v>417</v>
      </c>
      <c r="H1557" t="b">
        <v>1</v>
      </c>
      <c r="I1557" t="b">
        <v>1</v>
      </c>
      <c r="L1557" t="b">
        <v>1</v>
      </c>
      <c r="M1557" t="s">
        <v>3619</v>
      </c>
      <c r="N1557" t="s">
        <v>3620</v>
      </c>
    </row>
    <row r="1558" spans="1:25" x14ac:dyDescent="0.2">
      <c r="A1558">
        <v>2144</v>
      </c>
      <c r="B1558" t="s">
        <v>3615</v>
      </c>
      <c r="C1558" t="s">
        <v>18</v>
      </c>
      <c r="D1558" t="s">
        <v>3621</v>
      </c>
      <c r="E1558" t="s">
        <v>3622</v>
      </c>
      <c r="F1558" t="s">
        <v>23</v>
      </c>
      <c r="G1558" t="s">
        <v>417</v>
      </c>
      <c r="H1558" t="b">
        <v>0</v>
      </c>
      <c r="I1558" t="b">
        <v>0</v>
      </c>
      <c r="L1558" t="b">
        <v>0</v>
      </c>
      <c r="M1558" t="s">
        <v>3623</v>
      </c>
      <c r="N1558" t="s">
        <v>3624</v>
      </c>
      <c r="O1558" t="s">
        <v>3625</v>
      </c>
      <c r="P1558" t="s">
        <v>3626</v>
      </c>
    </row>
    <row r="1559" spans="1:25" x14ac:dyDescent="0.2">
      <c r="A1559">
        <v>2145</v>
      </c>
      <c r="B1559" t="s">
        <v>3615</v>
      </c>
      <c r="C1559" t="s">
        <v>18</v>
      </c>
      <c r="D1559" t="s">
        <v>3365</v>
      </c>
      <c r="E1559" t="s">
        <v>3366</v>
      </c>
      <c r="F1559" t="s">
        <v>23</v>
      </c>
      <c r="G1559" t="s">
        <v>417</v>
      </c>
      <c r="H1559" t="b">
        <v>0</v>
      </c>
      <c r="I1559" t="b">
        <v>0</v>
      </c>
      <c r="L1559" t="b">
        <v>0</v>
      </c>
      <c r="M1559" t="s">
        <v>3367</v>
      </c>
    </row>
    <row r="1560" spans="1:25" x14ac:dyDescent="0.2">
      <c r="A1560">
        <v>2146</v>
      </c>
      <c r="B1560" t="s">
        <v>3615</v>
      </c>
      <c r="C1560" t="s">
        <v>18</v>
      </c>
      <c r="D1560" t="s">
        <v>434</v>
      </c>
      <c r="E1560" t="s">
        <v>435</v>
      </c>
      <c r="F1560" t="s">
        <v>23</v>
      </c>
      <c r="G1560" t="s">
        <v>417</v>
      </c>
      <c r="H1560" t="b">
        <v>0</v>
      </c>
      <c r="I1560" t="b">
        <v>0</v>
      </c>
      <c r="L1560" t="b">
        <v>0</v>
      </c>
      <c r="M1560" t="s">
        <v>3260</v>
      </c>
      <c r="N1560" t="s">
        <v>3261</v>
      </c>
    </row>
    <row r="1561" spans="1:25" x14ac:dyDescent="0.2">
      <c r="A1561">
        <v>2147</v>
      </c>
      <c r="B1561" t="s">
        <v>3615</v>
      </c>
      <c r="C1561" t="s">
        <v>18</v>
      </c>
      <c r="D1561" t="s">
        <v>3370</v>
      </c>
      <c r="E1561" t="s">
        <v>3371</v>
      </c>
      <c r="F1561" t="s">
        <v>23</v>
      </c>
      <c r="G1561" t="s">
        <v>417</v>
      </c>
      <c r="H1561" t="b">
        <v>0</v>
      </c>
      <c r="I1561" t="b">
        <v>0</v>
      </c>
      <c r="L1561" t="b">
        <v>0</v>
      </c>
      <c r="M1561" t="s">
        <v>3372</v>
      </c>
      <c r="N1561" t="s">
        <v>745</v>
      </c>
    </row>
    <row r="1563" spans="1:25" x14ac:dyDescent="0.2">
      <c r="A1563" s="2">
        <v>2156</v>
      </c>
      <c r="B1563" s="2" t="s">
        <v>3627</v>
      </c>
      <c r="C1563" s="2" t="s">
        <v>13</v>
      </c>
      <c r="D1563" s="2" t="s">
        <v>3628</v>
      </c>
      <c r="E1563" s="2" t="s">
        <v>3629</v>
      </c>
      <c r="F1563" s="2" t="s">
        <v>78</v>
      </c>
      <c r="G1563" s="2" t="s">
        <v>62</v>
      </c>
      <c r="H1563" s="2"/>
      <c r="I1563" s="2"/>
      <c r="J1563" s="2"/>
      <c r="K1563" s="2"/>
      <c r="L1563" s="2"/>
      <c r="M1563" s="2"/>
      <c r="N1563" s="2"/>
      <c r="O1563" s="2"/>
      <c r="P1563" s="2"/>
      <c r="Q1563" s="2"/>
      <c r="R1563" s="2"/>
      <c r="S1563" s="2"/>
      <c r="T1563" s="2"/>
      <c r="U1563" s="2"/>
      <c r="V1563" s="2"/>
      <c r="W1563" s="2"/>
      <c r="X1563" s="2"/>
      <c r="Y1563" s="2"/>
    </row>
    <row r="1564" spans="1:25" x14ac:dyDescent="0.2">
      <c r="A1564">
        <v>2157</v>
      </c>
      <c r="B1564" t="s">
        <v>3627</v>
      </c>
      <c r="C1564" t="s">
        <v>18</v>
      </c>
      <c r="D1564" t="s">
        <v>3628</v>
      </c>
      <c r="E1564" t="s">
        <v>3630</v>
      </c>
      <c r="F1564" t="s">
        <v>78</v>
      </c>
      <c r="G1564" t="s">
        <v>3631</v>
      </c>
      <c r="H1564" t="b">
        <v>1</v>
      </c>
      <c r="K1564" t="b">
        <v>1</v>
      </c>
      <c r="L1564" t="b">
        <v>1</v>
      </c>
      <c r="M1564" t="s">
        <v>3632</v>
      </c>
      <c r="N1564" t="s">
        <v>3633</v>
      </c>
      <c r="O1564" t="s">
        <v>3634</v>
      </c>
    </row>
    <row r="1565" spans="1:25" x14ac:dyDescent="0.2">
      <c r="A1565">
        <v>2158</v>
      </c>
      <c r="B1565" t="s">
        <v>3627</v>
      </c>
      <c r="C1565" t="s">
        <v>18</v>
      </c>
      <c r="D1565" t="s">
        <v>3635</v>
      </c>
      <c r="E1565" t="s">
        <v>3636</v>
      </c>
      <c r="F1565" t="s">
        <v>78</v>
      </c>
      <c r="G1565" t="s">
        <v>62</v>
      </c>
      <c r="H1565" t="b">
        <v>1</v>
      </c>
      <c r="K1565" t="b">
        <v>1</v>
      </c>
      <c r="L1565" t="b">
        <v>1</v>
      </c>
      <c r="M1565" t="s">
        <v>3637</v>
      </c>
    </row>
    <row r="1566" spans="1:25" x14ac:dyDescent="0.2">
      <c r="A1566">
        <v>2159</v>
      </c>
      <c r="B1566" t="s">
        <v>3627</v>
      </c>
      <c r="C1566" t="s">
        <v>18</v>
      </c>
      <c r="D1566" t="s">
        <v>3638</v>
      </c>
      <c r="E1566" t="s">
        <v>573</v>
      </c>
      <c r="F1566" t="s">
        <v>78</v>
      </c>
      <c r="G1566" t="s">
        <v>62</v>
      </c>
      <c r="H1566" t="b">
        <v>0</v>
      </c>
      <c r="K1566" t="b">
        <v>0</v>
      </c>
      <c r="L1566" t="b">
        <v>0</v>
      </c>
    </row>
    <row r="1567" spans="1:25" x14ac:dyDescent="0.2">
      <c r="A1567">
        <v>2160</v>
      </c>
      <c r="B1567" t="s">
        <v>3627</v>
      </c>
      <c r="C1567" t="s">
        <v>18</v>
      </c>
      <c r="D1567" t="s">
        <v>3639</v>
      </c>
      <c r="E1567" t="s">
        <v>3640</v>
      </c>
      <c r="F1567" t="s">
        <v>78</v>
      </c>
      <c r="G1567" t="s">
        <v>2278</v>
      </c>
      <c r="H1567" t="b">
        <v>0</v>
      </c>
      <c r="K1567" t="b">
        <v>0</v>
      </c>
      <c r="L1567" t="b">
        <v>0</v>
      </c>
    </row>
    <row r="1568" spans="1:25" x14ac:dyDescent="0.2">
      <c r="A1568">
        <v>2161</v>
      </c>
      <c r="B1568" t="s">
        <v>3627</v>
      </c>
      <c r="C1568" t="s">
        <v>18</v>
      </c>
      <c r="D1568" t="s">
        <v>3641</v>
      </c>
      <c r="E1568" t="s">
        <v>3642</v>
      </c>
      <c r="F1568" t="s">
        <v>78</v>
      </c>
      <c r="G1568" t="s">
        <v>62</v>
      </c>
      <c r="H1568" t="b">
        <v>0</v>
      </c>
      <c r="K1568" t="b">
        <v>0</v>
      </c>
      <c r="L1568" t="b">
        <v>0</v>
      </c>
    </row>
    <row r="1570" spans="1:25" x14ac:dyDescent="0.2">
      <c r="A1570" s="2">
        <v>2177</v>
      </c>
      <c r="B1570" s="2" t="s">
        <v>3643</v>
      </c>
      <c r="C1570" s="2" t="s">
        <v>13</v>
      </c>
      <c r="D1570" s="2" t="s">
        <v>3052</v>
      </c>
      <c r="E1570" s="2" t="s">
        <v>3644</v>
      </c>
      <c r="F1570" s="2" t="s">
        <v>144</v>
      </c>
      <c r="G1570" s="2" t="s">
        <v>252</v>
      </c>
      <c r="H1570" s="2"/>
      <c r="I1570" s="2"/>
      <c r="J1570" s="2"/>
      <c r="K1570" s="2"/>
      <c r="L1570" s="2"/>
      <c r="M1570" s="2"/>
      <c r="N1570" s="2"/>
      <c r="O1570" s="2"/>
      <c r="P1570" s="2"/>
      <c r="Q1570" s="2"/>
      <c r="R1570" s="2"/>
      <c r="S1570" s="2"/>
      <c r="T1570" s="2"/>
      <c r="U1570" s="2"/>
      <c r="V1570" s="2"/>
      <c r="W1570" s="2"/>
      <c r="X1570" s="2"/>
      <c r="Y1570" s="2"/>
    </row>
    <row r="1571" spans="1:25" x14ac:dyDescent="0.2">
      <c r="A1571">
        <v>2178</v>
      </c>
      <c r="B1571" t="s">
        <v>3643</v>
      </c>
      <c r="C1571" t="s">
        <v>18</v>
      </c>
      <c r="D1571" t="s">
        <v>3052</v>
      </c>
      <c r="E1571" t="s">
        <v>3053</v>
      </c>
      <c r="F1571" t="s">
        <v>144</v>
      </c>
      <c r="G1571" t="s">
        <v>252</v>
      </c>
      <c r="H1571" t="b">
        <v>1</v>
      </c>
      <c r="K1571" t="b">
        <v>1</v>
      </c>
      <c r="L1571" t="b">
        <v>1</v>
      </c>
      <c r="M1571" t="s">
        <v>3054</v>
      </c>
    </row>
    <row r="1572" spans="1:25" x14ac:dyDescent="0.2">
      <c r="A1572">
        <v>2179</v>
      </c>
      <c r="B1572" t="s">
        <v>3643</v>
      </c>
      <c r="C1572" t="s">
        <v>18</v>
      </c>
      <c r="D1572" t="s">
        <v>3048</v>
      </c>
      <c r="E1572" t="s">
        <v>3049</v>
      </c>
      <c r="F1572" t="s">
        <v>144</v>
      </c>
      <c r="G1572" t="s">
        <v>252</v>
      </c>
      <c r="H1572" t="b">
        <v>1</v>
      </c>
      <c r="K1572" t="b">
        <v>1</v>
      </c>
      <c r="L1572" t="b">
        <v>1</v>
      </c>
      <c r="M1572" t="s">
        <v>3050</v>
      </c>
      <c r="N1572" t="s">
        <v>3051</v>
      </c>
    </row>
    <row r="1573" spans="1:25" x14ac:dyDescent="0.2">
      <c r="A1573">
        <v>2180</v>
      </c>
      <c r="B1573" t="s">
        <v>3643</v>
      </c>
      <c r="C1573" t="s">
        <v>18</v>
      </c>
      <c r="D1573" t="s">
        <v>3645</v>
      </c>
      <c r="E1573" t="s">
        <v>3646</v>
      </c>
      <c r="F1573" t="s">
        <v>144</v>
      </c>
      <c r="G1573" t="s">
        <v>252</v>
      </c>
      <c r="H1573" t="b">
        <v>0</v>
      </c>
      <c r="K1573" t="b">
        <v>0</v>
      </c>
      <c r="L1573" t="b">
        <v>0</v>
      </c>
      <c r="M1573" t="s">
        <v>3647</v>
      </c>
      <c r="N1573" t="s">
        <v>3648</v>
      </c>
      <c r="O1573" t="s">
        <v>3649</v>
      </c>
      <c r="P1573" t="s">
        <v>3650</v>
      </c>
    </row>
    <row r="1574" spans="1:25" x14ac:dyDescent="0.2">
      <c r="A1574">
        <v>2181</v>
      </c>
      <c r="B1574" t="s">
        <v>3643</v>
      </c>
      <c r="C1574" t="s">
        <v>18</v>
      </c>
      <c r="D1574" t="s">
        <v>1674</v>
      </c>
      <c r="E1574" t="s">
        <v>323</v>
      </c>
      <c r="F1574" t="s">
        <v>1077</v>
      </c>
      <c r="G1574" t="s">
        <v>252</v>
      </c>
      <c r="H1574" t="b">
        <v>0</v>
      </c>
      <c r="K1574" t="b">
        <v>0</v>
      </c>
      <c r="L1574" t="b">
        <v>0</v>
      </c>
      <c r="M1574" t="s">
        <v>1675</v>
      </c>
    </row>
    <row r="1575" spans="1:25" x14ac:dyDescent="0.2">
      <c r="A1575">
        <v>2182</v>
      </c>
      <c r="B1575" t="s">
        <v>3643</v>
      </c>
      <c r="C1575" t="s">
        <v>18</v>
      </c>
      <c r="D1575" t="s">
        <v>320</v>
      </c>
      <c r="E1575" t="s">
        <v>321</v>
      </c>
      <c r="F1575" t="s">
        <v>316</v>
      </c>
      <c r="G1575" t="s">
        <v>252</v>
      </c>
      <c r="H1575" t="b">
        <v>0</v>
      </c>
      <c r="K1575" t="b">
        <v>0</v>
      </c>
      <c r="L1575" t="b">
        <v>0</v>
      </c>
      <c r="M1575" t="s">
        <v>3651</v>
      </c>
      <c r="N1575" t="s">
        <v>3652</v>
      </c>
    </row>
    <row r="1577" spans="1:25" x14ac:dyDescent="0.2">
      <c r="A1577" s="2">
        <v>2205</v>
      </c>
      <c r="B1577" s="2" t="s">
        <v>3653</v>
      </c>
      <c r="C1577" s="2" t="s">
        <v>13</v>
      </c>
      <c r="D1577" s="2" t="s">
        <v>3654</v>
      </c>
      <c r="E1577" s="2" t="s">
        <v>3655</v>
      </c>
      <c r="F1577" s="2" t="s">
        <v>122</v>
      </c>
      <c r="G1577" s="2" t="s">
        <v>17</v>
      </c>
      <c r="H1577" s="2"/>
      <c r="I1577" s="2"/>
      <c r="J1577" s="2"/>
      <c r="K1577" s="2"/>
      <c r="L1577" s="2"/>
      <c r="M1577" s="2"/>
      <c r="N1577" s="2"/>
      <c r="O1577" s="2"/>
      <c r="P1577" s="2"/>
      <c r="Q1577" s="2"/>
      <c r="R1577" s="2"/>
      <c r="S1577" s="2"/>
      <c r="T1577" s="2"/>
      <c r="U1577" s="2"/>
      <c r="V1577" s="2"/>
      <c r="W1577" s="2"/>
      <c r="X1577" s="2"/>
      <c r="Y1577" s="2"/>
    </row>
    <row r="1578" spans="1:25" x14ac:dyDescent="0.2">
      <c r="A1578">
        <v>2206</v>
      </c>
      <c r="B1578" t="s">
        <v>3653</v>
      </c>
      <c r="C1578" t="s">
        <v>18</v>
      </c>
      <c r="D1578" t="s">
        <v>3654</v>
      </c>
      <c r="E1578" t="s">
        <v>3656</v>
      </c>
      <c r="F1578" t="s">
        <v>122</v>
      </c>
      <c r="G1578" t="s">
        <v>17</v>
      </c>
      <c r="H1578" t="b">
        <v>1</v>
      </c>
      <c r="I1578" t="b">
        <v>1</v>
      </c>
      <c r="L1578" t="b">
        <v>1</v>
      </c>
      <c r="M1578" t="s">
        <v>3657</v>
      </c>
      <c r="N1578" t="s">
        <v>3658</v>
      </c>
    </row>
    <row r="1579" spans="1:25" x14ac:dyDescent="0.2">
      <c r="A1579">
        <v>2207</v>
      </c>
      <c r="B1579" t="s">
        <v>3653</v>
      </c>
      <c r="C1579" t="s">
        <v>18</v>
      </c>
      <c r="D1579" t="s">
        <v>3659</v>
      </c>
      <c r="E1579" t="s">
        <v>2886</v>
      </c>
      <c r="F1579" t="s">
        <v>369</v>
      </c>
      <c r="G1579" t="s">
        <v>17</v>
      </c>
      <c r="H1579" t="b">
        <v>0</v>
      </c>
      <c r="I1579" t="b">
        <v>0</v>
      </c>
      <c r="L1579" t="b">
        <v>0</v>
      </c>
      <c r="M1579" t="s">
        <v>3660</v>
      </c>
      <c r="N1579" t="s">
        <v>3661</v>
      </c>
    </row>
    <row r="1580" spans="1:25" x14ac:dyDescent="0.2">
      <c r="A1580">
        <v>2208</v>
      </c>
      <c r="B1580" t="s">
        <v>3653</v>
      </c>
      <c r="C1580" t="s">
        <v>18</v>
      </c>
      <c r="D1580" t="s">
        <v>3662</v>
      </c>
      <c r="E1580" t="s">
        <v>3663</v>
      </c>
      <c r="F1580" t="s">
        <v>369</v>
      </c>
      <c r="G1580" t="s">
        <v>17</v>
      </c>
      <c r="H1580" t="b">
        <v>0</v>
      </c>
      <c r="I1580" t="b">
        <v>0</v>
      </c>
      <c r="L1580" t="b">
        <v>0</v>
      </c>
      <c r="M1580" t="s">
        <v>3664</v>
      </c>
      <c r="N1580" t="s">
        <v>3665</v>
      </c>
      <c r="O1580" t="s">
        <v>3666</v>
      </c>
      <c r="P1580" t="s">
        <v>3667</v>
      </c>
    </row>
    <row r="1581" spans="1:25" x14ac:dyDescent="0.2">
      <c r="A1581">
        <v>2209</v>
      </c>
      <c r="B1581" t="s">
        <v>3653</v>
      </c>
      <c r="C1581" t="s">
        <v>18</v>
      </c>
      <c r="D1581" t="s">
        <v>3668</v>
      </c>
      <c r="E1581" t="s">
        <v>3669</v>
      </c>
      <c r="F1581" t="s">
        <v>31</v>
      </c>
      <c r="G1581" t="s">
        <v>17</v>
      </c>
      <c r="H1581" t="b">
        <v>0</v>
      </c>
      <c r="I1581" t="b">
        <v>0</v>
      </c>
      <c r="L1581" t="b">
        <v>0</v>
      </c>
      <c r="M1581" t="s">
        <v>3670</v>
      </c>
    </row>
    <row r="1582" spans="1:25" x14ac:dyDescent="0.2">
      <c r="A1582">
        <v>2210</v>
      </c>
      <c r="B1582" t="s">
        <v>3653</v>
      </c>
      <c r="C1582" t="s">
        <v>18</v>
      </c>
      <c r="D1582" t="s">
        <v>3671</v>
      </c>
      <c r="E1582" t="s">
        <v>3672</v>
      </c>
      <c r="F1582" t="s">
        <v>122</v>
      </c>
      <c r="G1582" t="s">
        <v>17</v>
      </c>
      <c r="H1582" t="b">
        <v>1</v>
      </c>
      <c r="I1582" t="b">
        <v>1</v>
      </c>
      <c r="L1582" t="b">
        <v>1</v>
      </c>
      <c r="M1582" t="s">
        <v>3673</v>
      </c>
    </row>
    <row r="1584" spans="1:25" x14ac:dyDescent="0.2">
      <c r="A1584" s="2">
        <v>2212</v>
      </c>
      <c r="B1584" s="2" t="s">
        <v>3674</v>
      </c>
      <c r="C1584" s="2" t="s">
        <v>13</v>
      </c>
      <c r="D1584" s="2" t="s">
        <v>3675</v>
      </c>
      <c r="E1584" s="2" t="s">
        <v>3676</v>
      </c>
      <c r="F1584" s="2" t="s">
        <v>670</v>
      </c>
      <c r="G1584" s="2" t="s">
        <v>17</v>
      </c>
      <c r="H1584" s="2"/>
      <c r="I1584" s="2"/>
      <c r="J1584" s="2"/>
      <c r="K1584" s="2"/>
      <c r="L1584" s="2"/>
      <c r="M1584" s="2"/>
      <c r="N1584" s="2"/>
      <c r="O1584" s="2"/>
      <c r="P1584" s="2"/>
      <c r="Q1584" s="2"/>
      <c r="R1584" s="2"/>
      <c r="S1584" s="2"/>
      <c r="T1584" s="2"/>
      <c r="U1584" s="2"/>
      <c r="V1584" s="2"/>
      <c r="W1584" s="2"/>
      <c r="X1584" s="2"/>
      <c r="Y1584" s="2"/>
    </row>
    <row r="1585" spans="1:25" x14ac:dyDescent="0.2">
      <c r="A1585">
        <v>2213</v>
      </c>
      <c r="B1585" t="s">
        <v>3674</v>
      </c>
      <c r="C1585" t="s">
        <v>18</v>
      </c>
      <c r="D1585" t="s">
        <v>3675</v>
      </c>
      <c r="E1585" t="s">
        <v>3676</v>
      </c>
      <c r="F1585" t="s">
        <v>670</v>
      </c>
      <c r="G1585" t="s">
        <v>17</v>
      </c>
      <c r="H1585" t="b">
        <v>1</v>
      </c>
      <c r="K1585" t="b">
        <v>1</v>
      </c>
      <c r="L1585" t="b">
        <v>1</v>
      </c>
      <c r="M1585" t="s">
        <v>3677</v>
      </c>
      <c r="N1585" t="s">
        <v>3678</v>
      </c>
      <c r="O1585" t="s">
        <v>3679</v>
      </c>
      <c r="P1585" t="s">
        <v>3680</v>
      </c>
    </row>
    <row r="1586" spans="1:25" x14ac:dyDescent="0.2">
      <c r="A1586">
        <v>2214</v>
      </c>
      <c r="B1586" t="s">
        <v>3674</v>
      </c>
      <c r="C1586" t="s">
        <v>18</v>
      </c>
      <c r="D1586" t="s">
        <v>3681</v>
      </c>
      <c r="E1586" t="s">
        <v>3682</v>
      </c>
      <c r="F1586" t="s">
        <v>670</v>
      </c>
      <c r="G1586" t="s">
        <v>88</v>
      </c>
      <c r="H1586" t="b">
        <v>0</v>
      </c>
      <c r="K1586" t="b">
        <v>0</v>
      </c>
      <c r="L1586" t="b">
        <v>0</v>
      </c>
    </row>
    <row r="1587" spans="1:25" x14ac:dyDescent="0.2">
      <c r="A1587">
        <v>2215</v>
      </c>
      <c r="B1587" t="s">
        <v>3674</v>
      </c>
      <c r="C1587" t="s">
        <v>18</v>
      </c>
      <c r="D1587" t="s">
        <v>3683</v>
      </c>
      <c r="E1587" t="s">
        <v>1857</v>
      </c>
      <c r="F1587" t="s">
        <v>670</v>
      </c>
      <c r="G1587" t="s">
        <v>88</v>
      </c>
      <c r="H1587" t="b">
        <v>0</v>
      </c>
      <c r="K1587" t="b">
        <v>0</v>
      </c>
      <c r="L1587" t="b">
        <v>0</v>
      </c>
    </row>
    <row r="1588" spans="1:25" x14ac:dyDescent="0.2">
      <c r="A1588">
        <v>2216</v>
      </c>
      <c r="B1588" t="s">
        <v>3674</v>
      </c>
      <c r="C1588" t="s">
        <v>18</v>
      </c>
      <c r="D1588" t="s">
        <v>3684</v>
      </c>
      <c r="E1588" t="s">
        <v>3685</v>
      </c>
      <c r="F1588" t="s">
        <v>670</v>
      </c>
      <c r="G1588" t="s">
        <v>252</v>
      </c>
      <c r="H1588" t="b">
        <v>0</v>
      </c>
      <c r="K1588" t="b">
        <v>0</v>
      </c>
      <c r="L1588" t="b">
        <v>0</v>
      </c>
    </row>
    <row r="1589" spans="1:25" x14ac:dyDescent="0.2">
      <c r="A1589">
        <v>2217</v>
      </c>
      <c r="B1589" t="s">
        <v>3674</v>
      </c>
      <c r="C1589" t="s">
        <v>18</v>
      </c>
      <c r="D1589" t="s">
        <v>3686</v>
      </c>
      <c r="E1589" t="s">
        <v>3687</v>
      </c>
      <c r="F1589" t="s">
        <v>260</v>
      </c>
      <c r="G1589" t="s">
        <v>3688</v>
      </c>
      <c r="H1589" t="b">
        <v>0</v>
      </c>
      <c r="K1589" t="b">
        <v>0</v>
      </c>
      <c r="L1589" t="b">
        <v>0</v>
      </c>
    </row>
    <row r="1591" spans="1:25" x14ac:dyDescent="0.2">
      <c r="A1591" s="2">
        <v>2233</v>
      </c>
      <c r="B1591" s="2" t="s">
        <v>3689</v>
      </c>
      <c r="C1591" s="2" t="s">
        <v>13</v>
      </c>
      <c r="D1591" s="2" t="s">
        <v>3690</v>
      </c>
      <c r="E1591" s="2" t="s">
        <v>3691</v>
      </c>
      <c r="F1591" s="2" t="s">
        <v>78</v>
      </c>
      <c r="G1591" s="2" t="s">
        <v>130</v>
      </c>
      <c r="H1591" s="2"/>
      <c r="I1591" s="2"/>
      <c r="J1591" s="2"/>
      <c r="K1591" s="2"/>
      <c r="L1591" s="2"/>
      <c r="M1591" s="2"/>
      <c r="N1591" s="2"/>
      <c r="O1591" s="2"/>
      <c r="P1591" s="2"/>
      <c r="Q1591" s="2"/>
      <c r="R1591" s="2"/>
      <c r="S1591" s="2"/>
      <c r="T1591" s="2"/>
      <c r="U1591" s="2"/>
      <c r="V1591" s="2"/>
      <c r="W1591" s="2"/>
      <c r="X1591" s="2"/>
      <c r="Y1591" s="2"/>
    </row>
    <row r="1592" spans="1:25" x14ac:dyDescent="0.2">
      <c r="A1592">
        <v>2234</v>
      </c>
      <c r="B1592" t="s">
        <v>3689</v>
      </c>
      <c r="C1592" t="s">
        <v>18</v>
      </c>
      <c r="D1592" t="s">
        <v>3690</v>
      </c>
      <c r="E1592" t="s">
        <v>3691</v>
      </c>
      <c r="F1592" t="s">
        <v>78</v>
      </c>
      <c r="G1592" t="s">
        <v>130</v>
      </c>
      <c r="H1592" t="b">
        <v>1</v>
      </c>
      <c r="K1592" t="b">
        <v>1</v>
      </c>
      <c r="L1592" t="b">
        <v>1</v>
      </c>
      <c r="M1592" t="s">
        <v>3692</v>
      </c>
      <c r="N1592" t="s">
        <v>3693</v>
      </c>
    </row>
    <row r="1593" spans="1:25" x14ac:dyDescent="0.2">
      <c r="A1593">
        <v>2235</v>
      </c>
      <c r="B1593" t="s">
        <v>3689</v>
      </c>
      <c r="C1593" t="s">
        <v>18</v>
      </c>
      <c r="D1593" t="s">
        <v>3694</v>
      </c>
      <c r="E1593" t="s">
        <v>3695</v>
      </c>
      <c r="F1593" t="s">
        <v>78</v>
      </c>
      <c r="G1593" t="s">
        <v>130</v>
      </c>
      <c r="H1593" t="b">
        <v>0</v>
      </c>
      <c r="K1593" t="b">
        <v>0</v>
      </c>
      <c r="L1593" t="b">
        <v>0</v>
      </c>
      <c r="M1593" t="s">
        <v>3696</v>
      </c>
      <c r="N1593" t="s">
        <v>3697</v>
      </c>
    </row>
    <row r="1594" spans="1:25" x14ac:dyDescent="0.2">
      <c r="A1594">
        <v>2236</v>
      </c>
      <c r="B1594" t="s">
        <v>3689</v>
      </c>
      <c r="C1594" t="s">
        <v>18</v>
      </c>
      <c r="D1594" t="s">
        <v>3698</v>
      </c>
      <c r="E1594" t="s">
        <v>3699</v>
      </c>
      <c r="F1594" t="s">
        <v>23</v>
      </c>
      <c r="G1594" t="s">
        <v>252</v>
      </c>
      <c r="H1594" t="b">
        <v>0</v>
      </c>
      <c r="K1594" t="b">
        <v>0</v>
      </c>
      <c r="L1594" t="b">
        <v>0</v>
      </c>
    </row>
    <row r="1595" spans="1:25" x14ac:dyDescent="0.2">
      <c r="A1595">
        <v>2237</v>
      </c>
      <c r="B1595" t="s">
        <v>3689</v>
      </c>
      <c r="C1595" t="s">
        <v>18</v>
      </c>
      <c r="D1595" t="s">
        <v>3700</v>
      </c>
      <c r="E1595" t="s">
        <v>3701</v>
      </c>
      <c r="F1595" t="s">
        <v>78</v>
      </c>
      <c r="G1595" t="s">
        <v>130</v>
      </c>
      <c r="H1595" t="b">
        <v>0</v>
      </c>
      <c r="K1595" t="b">
        <v>0</v>
      </c>
      <c r="L1595" t="b">
        <v>0</v>
      </c>
      <c r="M1595" t="s">
        <v>3702</v>
      </c>
    </row>
    <row r="1596" spans="1:25" x14ac:dyDescent="0.2">
      <c r="A1596">
        <v>2238</v>
      </c>
      <c r="B1596" t="s">
        <v>3689</v>
      </c>
      <c r="C1596" t="s">
        <v>18</v>
      </c>
      <c r="D1596" t="s">
        <v>3703</v>
      </c>
      <c r="E1596" t="s">
        <v>3704</v>
      </c>
      <c r="F1596" t="s">
        <v>148</v>
      </c>
      <c r="G1596" t="s">
        <v>252</v>
      </c>
      <c r="H1596" t="b">
        <v>0</v>
      </c>
      <c r="K1596" t="b">
        <v>0</v>
      </c>
      <c r="L1596" t="b">
        <v>0</v>
      </c>
      <c r="M1596" t="s">
        <v>3705</v>
      </c>
      <c r="N1596" t="s">
        <v>3706</v>
      </c>
    </row>
    <row r="1598" spans="1:25" x14ac:dyDescent="0.2">
      <c r="A1598" s="2">
        <v>2240</v>
      </c>
      <c r="B1598" s="2" t="s">
        <v>3707</v>
      </c>
      <c r="C1598" s="2" t="s">
        <v>13</v>
      </c>
      <c r="D1598" s="2" t="s">
        <v>3708</v>
      </c>
      <c r="E1598" s="2" t="s">
        <v>3709</v>
      </c>
      <c r="F1598" s="2" t="s">
        <v>78</v>
      </c>
      <c r="G1598" s="2" t="s">
        <v>88</v>
      </c>
      <c r="H1598" s="2"/>
      <c r="I1598" s="2"/>
      <c r="J1598" s="2"/>
      <c r="K1598" s="2"/>
      <c r="L1598" s="2"/>
      <c r="M1598" s="2"/>
      <c r="N1598" s="2"/>
      <c r="O1598" s="2"/>
      <c r="P1598" s="2"/>
      <c r="Q1598" s="2"/>
      <c r="R1598" s="2"/>
      <c r="S1598" s="2"/>
      <c r="T1598" s="2"/>
      <c r="U1598" s="2"/>
      <c r="V1598" s="2"/>
      <c r="W1598" s="2"/>
      <c r="X1598" s="2"/>
      <c r="Y1598" s="2"/>
    </row>
    <row r="1599" spans="1:25" x14ac:dyDescent="0.2">
      <c r="A1599">
        <v>2241</v>
      </c>
      <c r="B1599" t="s">
        <v>3707</v>
      </c>
      <c r="C1599" t="s">
        <v>18</v>
      </c>
      <c r="D1599" t="s">
        <v>3708</v>
      </c>
      <c r="E1599" t="s">
        <v>3710</v>
      </c>
      <c r="F1599" t="s">
        <v>78</v>
      </c>
      <c r="G1599" t="s">
        <v>88</v>
      </c>
      <c r="H1599" t="b">
        <v>1</v>
      </c>
      <c r="I1599" t="b">
        <v>1</v>
      </c>
      <c r="L1599" t="b">
        <v>1</v>
      </c>
      <c r="M1599" t="s">
        <v>3711</v>
      </c>
    </row>
    <row r="1600" spans="1:25" x14ac:dyDescent="0.2">
      <c r="A1600">
        <v>2242</v>
      </c>
      <c r="B1600" t="s">
        <v>3707</v>
      </c>
      <c r="C1600" t="s">
        <v>18</v>
      </c>
      <c r="D1600" t="s">
        <v>3712</v>
      </c>
      <c r="E1600" t="s">
        <v>3713</v>
      </c>
      <c r="F1600" t="s">
        <v>78</v>
      </c>
      <c r="G1600" t="s">
        <v>88</v>
      </c>
      <c r="H1600" t="b">
        <v>1</v>
      </c>
      <c r="I1600" t="b">
        <v>1</v>
      </c>
      <c r="L1600" t="b">
        <v>1</v>
      </c>
      <c r="M1600" t="s">
        <v>3714</v>
      </c>
    </row>
    <row r="1601" spans="1:25" x14ac:dyDescent="0.2">
      <c r="A1601">
        <v>2243</v>
      </c>
      <c r="B1601" t="s">
        <v>3707</v>
      </c>
      <c r="C1601" t="s">
        <v>18</v>
      </c>
      <c r="D1601" t="s">
        <v>3715</v>
      </c>
      <c r="E1601" t="s">
        <v>3716</v>
      </c>
      <c r="F1601" t="s">
        <v>78</v>
      </c>
      <c r="G1601" t="s">
        <v>417</v>
      </c>
      <c r="H1601" t="b">
        <v>0</v>
      </c>
      <c r="I1601" t="b">
        <v>0</v>
      </c>
      <c r="L1601" t="b">
        <v>0</v>
      </c>
    </row>
    <row r="1602" spans="1:25" x14ac:dyDescent="0.2">
      <c r="A1602">
        <v>2244</v>
      </c>
      <c r="B1602" t="s">
        <v>3707</v>
      </c>
      <c r="C1602" t="s">
        <v>18</v>
      </c>
      <c r="D1602" t="s">
        <v>3717</v>
      </c>
      <c r="E1602" t="s">
        <v>3718</v>
      </c>
      <c r="F1602" t="s">
        <v>78</v>
      </c>
      <c r="G1602" t="s">
        <v>417</v>
      </c>
      <c r="H1602" t="b">
        <v>0</v>
      </c>
      <c r="I1602" t="b">
        <v>0</v>
      </c>
      <c r="L1602" t="b">
        <v>0</v>
      </c>
    </row>
    <row r="1603" spans="1:25" x14ac:dyDescent="0.2">
      <c r="A1603">
        <v>2245</v>
      </c>
      <c r="B1603" t="s">
        <v>3707</v>
      </c>
      <c r="C1603" t="s">
        <v>18</v>
      </c>
      <c r="D1603" t="s">
        <v>3719</v>
      </c>
      <c r="E1603" t="s">
        <v>3062</v>
      </c>
      <c r="F1603" t="s">
        <v>78</v>
      </c>
      <c r="G1603" t="s">
        <v>88</v>
      </c>
      <c r="H1603" t="b">
        <v>0</v>
      </c>
      <c r="I1603" t="b">
        <v>0</v>
      </c>
      <c r="L1603" t="b">
        <v>0</v>
      </c>
      <c r="M1603" t="s">
        <v>3720</v>
      </c>
    </row>
    <row r="1605" spans="1:25" x14ac:dyDescent="0.2">
      <c r="A1605" s="2">
        <v>2261</v>
      </c>
      <c r="B1605" s="2" t="s">
        <v>3721</v>
      </c>
      <c r="C1605" s="2" t="s">
        <v>13</v>
      </c>
      <c r="D1605" s="2" t="s">
        <v>3722</v>
      </c>
      <c r="E1605" s="2" t="s">
        <v>3723</v>
      </c>
      <c r="F1605" s="2" t="s">
        <v>45</v>
      </c>
      <c r="G1605" s="2" t="s">
        <v>638</v>
      </c>
      <c r="H1605" s="2"/>
      <c r="I1605" s="2"/>
      <c r="J1605" s="2"/>
      <c r="K1605" s="2"/>
      <c r="L1605" s="2"/>
      <c r="M1605" s="2"/>
      <c r="N1605" s="2"/>
      <c r="O1605" s="2"/>
      <c r="P1605" s="2"/>
      <c r="Q1605" s="2"/>
      <c r="R1605" s="2"/>
      <c r="S1605" s="2"/>
      <c r="T1605" s="2"/>
      <c r="U1605" s="2"/>
      <c r="V1605" s="2"/>
      <c r="W1605" s="2"/>
      <c r="X1605" s="2"/>
      <c r="Y1605" s="2"/>
    </row>
    <row r="1606" spans="1:25" x14ac:dyDescent="0.2">
      <c r="A1606">
        <v>2262</v>
      </c>
      <c r="B1606" t="s">
        <v>3721</v>
      </c>
      <c r="C1606" t="s">
        <v>18</v>
      </c>
      <c r="D1606" t="s">
        <v>3722</v>
      </c>
      <c r="E1606" t="s">
        <v>3723</v>
      </c>
      <c r="F1606" t="s">
        <v>3724</v>
      </c>
      <c r="G1606" t="s">
        <v>638</v>
      </c>
      <c r="H1606" t="b">
        <v>1</v>
      </c>
      <c r="K1606" t="b">
        <v>1</v>
      </c>
      <c r="L1606" t="b">
        <v>1</v>
      </c>
      <c r="M1606" t="s">
        <v>3725</v>
      </c>
      <c r="N1606" t="s">
        <v>745</v>
      </c>
    </row>
    <row r="1607" spans="1:25" x14ac:dyDescent="0.2">
      <c r="A1607">
        <v>2263</v>
      </c>
      <c r="B1607" t="s">
        <v>3721</v>
      </c>
      <c r="C1607" t="s">
        <v>18</v>
      </c>
      <c r="D1607" t="s">
        <v>3726</v>
      </c>
      <c r="E1607" t="s">
        <v>3727</v>
      </c>
      <c r="F1607" t="s">
        <v>3728</v>
      </c>
      <c r="G1607" t="s">
        <v>88</v>
      </c>
      <c r="H1607" t="b">
        <v>0</v>
      </c>
      <c r="K1607" t="b">
        <v>0</v>
      </c>
      <c r="L1607" t="b">
        <v>0</v>
      </c>
      <c r="M1607" t="s">
        <v>3729</v>
      </c>
      <c r="N1607" t="s">
        <v>3730</v>
      </c>
    </row>
    <row r="1608" spans="1:25" x14ac:dyDescent="0.2">
      <c r="A1608">
        <v>2264</v>
      </c>
      <c r="B1608" t="s">
        <v>3721</v>
      </c>
      <c r="C1608" t="s">
        <v>18</v>
      </c>
      <c r="D1608" t="s">
        <v>3731</v>
      </c>
      <c r="E1608" t="s">
        <v>3732</v>
      </c>
      <c r="F1608" t="s">
        <v>82</v>
      </c>
      <c r="G1608" t="s">
        <v>88</v>
      </c>
      <c r="H1608" t="b">
        <v>0</v>
      </c>
      <c r="K1608" t="b">
        <v>0</v>
      </c>
      <c r="L1608" t="b">
        <v>0</v>
      </c>
    </row>
    <row r="1609" spans="1:25" x14ac:dyDescent="0.2">
      <c r="A1609">
        <v>2265</v>
      </c>
      <c r="B1609" t="s">
        <v>3721</v>
      </c>
      <c r="C1609" t="s">
        <v>18</v>
      </c>
      <c r="D1609" t="s">
        <v>3733</v>
      </c>
      <c r="E1609" t="s">
        <v>3734</v>
      </c>
      <c r="F1609" t="s">
        <v>45</v>
      </c>
      <c r="G1609" t="s">
        <v>88</v>
      </c>
      <c r="H1609" t="b">
        <v>0</v>
      </c>
      <c r="K1609" t="b">
        <v>0</v>
      </c>
      <c r="L1609" t="b">
        <v>0</v>
      </c>
    </row>
    <row r="1610" spans="1:25" x14ac:dyDescent="0.2">
      <c r="A1610">
        <v>2266</v>
      </c>
      <c r="B1610" t="s">
        <v>3721</v>
      </c>
      <c r="C1610" t="s">
        <v>18</v>
      </c>
      <c r="D1610" t="s">
        <v>3735</v>
      </c>
      <c r="E1610" t="s">
        <v>3736</v>
      </c>
      <c r="F1610" t="s">
        <v>82</v>
      </c>
      <c r="G1610" t="s">
        <v>88</v>
      </c>
      <c r="H1610" t="b">
        <v>0</v>
      </c>
      <c r="K1610" t="b">
        <v>0</v>
      </c>
      <c r="L1610" t="b">
        <v>0</v>
      </c>
    </row>
    <row r="1612" spans="1:25" x14ac:dyDescent="0.2">
      <c r="A1612" s="2">
        <v>2268</v>
      </c>
      <c r="B1612" s="2" t="s">
        <v>3737</v>
      </c>
      <c r="C1612" s="2" t="s">
        <v>13</v>
      </c>
      <c r="D1612" s="2" t="s">
        <v>3738</v>
      </c>
      <c r="E1612" s="2" t="s">
        <v>3739</v>
      </c>
      <c r="F1612" s="2" t="s">
        <v>316</v>
      </c>
      <c r="G1612" s="2" t="s">
        <v>3319</v>
      </c>
      <c r="H1612" s="2"/>
      <c r="I1612" s="2"/>
      <c r="J1612" s="2"/>
      <c r="K1612" s="2"/>
      <c r="L1612" s="2"/>
      <c r="M1612" s="2"/>
      <c r="N1612" s="2"/>
      <c r="O1612" s="2"/>
      <c r="P1612" s="2"/>
      <c r="Q1612" s="2"/>
      <c r="R1612" s="2"/>
      <c r="S1612" s="2"/>
      <c r="T1612" s="2"/>
      <c r="U1612" s="2"/>
      <c r="V1612" s="2"/>
      <c r="W1612" s="2"/>
      <c r="X1612" s="2"/>
      <c r="Y1612" s="2"/>
    </row>
    <row r="1613" spans="1:25" x14ac:dyDescent="0.2">
      <c r="A1613">
        <v>2269</v>
      </c>
      <c r="B1613" t="s">
        <v>3737</v>
      </c>
      <c r="C1613" t="s">
        <v>18</v>
      </c>
      <c r="D1613" t="s">
        <v>3738</v>
      </c>
      <c r="E1613" t="s">
        <v>3739</v>
      </c>
      <c r="F1613" t="s">
        <v>316</v>
      </c>
      <c r="G1613" t="s">
        <v>3319</v>
      </c>
      <c r="H1613" t="b">
        <v>1</v>
      </c>
      <c r="I1613" t="b">
        <v>1</v>
      </c>
      <c r="L1613" t="b">
        <v>1</v>
      </c>
      <c r="M1613" t="s">
        <v>3740</v>
      </c>
      <c r="N1613" t="s">
        <v>3741</v>
      </c>
    </row>
    <row r="1614" spans="1:25" x14ac:dyDescent="0.2">
      <c r="A1614">
        <v>2270</v>
      </c>
      <c r="B1614" t="s">
        <v>3737</v>
      </c>
      <c r="C1614" t="s">
        <v>18</v>
      </c>
      <c r="D1614" t="s">
        <v>3742</v>
      </c>
      <c r="E1614" t="s">
        <v>3743</v>
      </c>
      <c r="F1614" t="s">
        <v>316</v>
      </c>
      <c r="G1614" t="s">
        <v>3319</v>
      </c>
      <c r="H1614" t="b">
        <v>0</v>
      </c>
      <c r="I1614" t="b">
        <v>0</v>
      </c>
      <c r="L1614" t="b">
        <v>0</v>
      </c>
      <c r="M1614" t="s">
        <v>3744</v>
      </c>
      <c r="N1614" t="s">
        <v>3745</v>
      </c>
    </row>
    <row r="1615" spans="1:25" x14ac:dyDescent="0.2">
      <c r="A1615">
        <v>2271</v>
      </c>
      <c r="B1615" t="s">
        <v>3737</v>
      </c>
      <c r="C1615" t="s">
        <v>18</v>
      </c>
      <c r="D1615" t="s">
        <v>3746</v>
      </c>
      <c r="E1615" t="s">
        <v>3747</v>
      </c>
      <c r="F1615" t="s">
        <v>316</v>
      </c>
      <c r="G1615" t="s">
        <v>638</v>
      </c>
      <c r="H1615" t="b">
        <v>0</v>
      </c>
      <c r="I1615" t="b">
        <v>0</v>
      </c>
      <c r="L1615" t="b">
        <v>0</v>
      </c>
      <c r="M1615" t="s">
        <v>3748</v>
      </c>
    </row>
    <row r="1616" spans="1:25" x14ac:dyDescent="0.2">
      <c r="A1616">
        <v>2272</v>
      </c>
      <c r="B1616" t="s">
        <v>3737</v>
      </c>
      <c r="C1616" t="s">
        <v>18</v>
      </c>
      <c r="D1616" t="s">
        <v>3749</v>
      </c>
      <c r="E1616" t="s">
        <v>3750</v>
      </c>
      <c r="F1616" t="s">
        <v>316</v>
      </c>
      <c r="G1616" t="s">
        <v>638</v>
      </c>
      <c r="H1616" t="b">
        <v>0</v>
      </c>
      <c r="I1616" t="b">
        <v>0</v>
      </c>
      <c r="L1616" t="b">
        <v>0</v>
      </c>
    </row>
    <row r="1617" spans="1:25" x14ac:dyDescent="0.2">
      <c r="A1617">
        <v>2273</v>
      </c>
      <c r="B1617" t="s">
        <v>3737</v>
      </c>
      <c r="C1617" t="s">
        <v>18</v>
      </c>
      <c r="D1617" t="s">
        <v>3751</v>
      </c>
      <c r="E1617" t="s">
        <v>3752</v>
      </c>
      <c r="F1617" t="s">
        <v>316</v>
      </c>
      <c r="G1617" t="s">
        <v>74</v>
      </c>
      <c r="H1617" t="b">
        <v>0</v>
      </c>
      <c r="I1617" t="b">
        <v>0</v>
      </c>
      <c r="L1617" t="b">
        <v>0</v>
      </c>
    </row>
    <row r="1619" spans="1:25" x14ac:dyDescent="0.2">
      <c r="A1619" s="2">
        <v>2296</v>
      </c>
      <c r="B1619" s="2" t="s">
        <v>3753</v>
      </c>
      <c r="C1619" s="2" t="s">
        <v>13</v>
      </c>
      <c r="D1619" s="2" t="s">
        <v>3754</v>
      </c>
      <c r="E1619" s="2" t="s">
        <v>3755</v>
      </c>
      <c r="F1619" s="2" t="s">
        <v>87</v>
      </c>
      <c r="G1619" s="2" t="s">
        <v>638</v>
      </c>
      <c r="H1619" s="2"/>
      <c r="I1619" s="2"/>
      <c r="J1619" s="2"/>
      <c r="K1619" s="2"/>
      <c r="L1619" s="2"/>
      <c r="M1619" s="2"/>
      <c r="N1619" s="2"/>
      <c r="O1619" s="2"/>
      <c r="P1619" s="2"/>
      <c r="Q1619" s="2"/>
      <c r="R1619" s="2"/>
      <c r="S1619" s="2"/>
      <c r="T1619" s="2"/>
      <c r="U1619" s="2"/>
      <c r="V1619" s="2"/>
      <c r="W1619" s="2"/>
      <c r="X1619" s="2"/>
      <c r="Y1619" s="2"/>
    </row>
    <row r="1620" spans="1:25" x14ac:dyDescent="0.2">
      <c r="A1620">
        <v>2297</v>
      </c>
      <c r="B1620" t="s">
        <v>3753</v>
      </c>
      <c r="C1620" t="s">
        <v>18</v>
      </c>
      <c r="D1620" t="s">
        <v>3754</v>
      </c>
      <c r="E1620" t="s">
        <v>3755</v>
      </c>
      <c r="F1620" t="s">
        <v>87</v>
      </c>
      <c r="G1620" t="s">
        <v>638</v>
      </c>
      <c r="H1620" t="b">
        <v>1</v>
      </c>
      <c r="I1620" t="b">
        <v>1</v>
      </c>
      <c r="L1620" t="b">
        <v>1</v>
      </c>
      <c r="M1620" t="s">
        <v>3756</v>
      </c>
      <c r="N1620" t="s">
        <v>3757</v>
      </c>
    </row>
    <row r="1621" spans="1:25" x14ac:dyDescent="0.2">
      <c r="A1621">
        <v>2298</v>
      </c>
      <c r="B1621" t="s">
        <v>3753</v>
      </c>
      <c r="C1621" t="s">
        <v>18</v>
      </c>
      <c r="D1621" t="s">
        <v>3758</v>
      </c>
      <c r="E1621" t="s">
        <v>3759</v>
      </c>
      <c r="F1621" t="s">
        <v>87</v>
      </c>
      <c r="G1621" t="s">
        <v>638</v>
      </c>
      <c r="H1621" t="b">
        <v>0</v>
      </c>
      <c r="I1621" t="b">
        <v>0</v>
      </c>
      <c r="L1621" t="b">
        <v>0</v>
      </c>
      <c r="M1621" t="s">
        <v>3760</v>
      </c>
      <c r="N1621" t="s">
        <v>3761</v>
      </c>
    </row>
    <row r="1622" spans="1:25" x14ac:dyDescent="0.2">
      <c r="A1622">
        <v>2299</v>
      </c>
      <c r="B1622" t="s">
        <v>3753</v>
      </c>
      <c r="C1622" t="s">
        <v>18</v>
      </c>
      <c r="D1622" t="s">
        <v>3762</v>
      </c>
      <c r="E1622" t="s">
        <v>3763</v>
      </c>
      <c r="F1622" t="s">
        <v>451</v>
      </c>
      <c r="G1622" t="s">
        <v>638</v>
      </c>
      <c r="H1622" t="b">
        <v>0</v>
      </c>
      <c r="I1622" t="b">
        <v>0</v>
      </c>
      <c r="L1622" t="b">
        <v>0</v>
      </c>
      <c r="M1622" t="s">
        <v>3764</v>
      </c>
      <c r="N1622" t="s">
        <v>745</v>
      </c>
      <c r="O1622" t="s">
        <v>3765</v>
      </c>
    </row>
    <row r="1623" spans="1:25" x14ac:dyDescent="0.2">
      <c r="A1623">
        <v>2300</v>
      </c>
      <c r="B1623" t="s">
        <v>3753</v>
      </c>
      <c r="C1623" t="s">
        <v>18</v>
      </c>
      <c r="D1623" t="s">
        <v>3766</v>
      </c>
      <c r="E1623" t="s">
        <v>2210</v>
      </c>
      <c r="F1623" t="s">
        <v>680</v>
      </c>
      <c r="G1623" t="s">
        <v>280</v>
      </c>
      <c r="H1623" t="b">
        <v>0</v>
      </c>
      <c r="I1623" t="b">
        <v>0</v>
      </c>
      <c r="L1623" t="b">
        <v>0</v>
      </c>
      <c r="M1623" t="s">
        <v>3767</v>
      </c>
      <c r="N1623" t="s">
        <v>3768</v>
      </c>
    </row>
    <row r="1624" spans="1:25" x14ac:dyDescent="0.2">
      <c r="A1624">
        <v>2301</v>
      </c>
      <c r="B1624" t="s">
        <v>3753</v>
      </c>
      <c r="C1624" t="s">
        <v>18</v>
      </c>
      <c r="D1624" t="s">
        <v>3769</v>
      </c>
      <c r="E1624" t="s">
        <v>3770</v>
      </c>
      <c r="F1624" t="s">
        <v>420</v>
      </c>
      <c r="G1624" t="s">
        <v>1867</v>
      </c>
      <c r="H1624" t="b">
        <v>0</v>
      </c>
      <c r="I1624" t="b">
        <v>0</v>
      </c>
      <c r="L1624" t="b">
        <v>0</v>
      </c>
      <c r="M1624" t="s">
        <v>3771</v>
      </c>
      <c r="N1624" t="s">
        <v>3772</v>
      </c>
    </row>
    <row r="1626" spans="1:25" x14ac:dyDescent="0.2">
      <c r="A1626" s="2">
        <v>231</v>
      </c>
      <c r="B1626" s="2" t="s">
        <v>3773</v>
      </c>
      <c r="C1626" s="2" t="s">
        <v>13</v>
      </c>
      <c r="D1626" s="2" t="s">
        <v>3774</v>
      </c>
      <c r="E1626" s="2" t="s">
        <v>3775</v>
      </c>
      <c r="F1626" s="2" t="s">
        <v>82</v>
      </c>
      <c r="G1626" s="2" t="s">
        <v>265</v>
      </c>
      <c r="H1626" s="2"/>
      <c r="I1626" s="2"/>
      <c r="J1626" s="2"/>
      <c r="K1626" s="2"/>
      <c r="L1626" s="2"/>
      <c r="M1626" s="2"/>
      <c r="N1626" s="2"/>
      <c r="O1626" s="2"/>
      <c r="P1626" s="2"/>
      <c r="Q1626" s="2"/>
      <c r="R1626" s="2"/>
      <c r="S1626" s="2"/>
      <c r="T1626" s="2"/>
      <c r="U1626" s="2"/>
      <c r="V1626" s="2"/>
      <c r="W1626" s="2"/>
      <c r="X1626" s="2"/>
      <c r="Y1626" s="2"/>
    </row>
    <row r="1627" spans="1:25" x14ac:dyDescent="0.2">
      <c r="A1627">
        <v>232</v>
      </c>
      <c r="B1627" t="s">
        <v>3773</v>
      </c>
      <c r="C1627" t="s">
        <v>18</v>
      </c>
      <c r="D1627" t="s">
        <v>3774</v>
      </c>
      <c r="E1627" t="s">
        <v>3775</v>
      </c>
      <c r="F1627" t="s">
        <v>82</v>
      </c>
      <c r="G1627" t="s">
        <v>265</v>
      </c>
      <c r="H1627" t="b">
        <v>1</v>
      </c>
      <c r="K1627" t="b">
        <v>1</v>
      </c>
      <c r="L1627" t="b">
        <v>1</v>
      </c>
      <c r="M1627" t="s">
        <v>3776</v>
      </c>
      <c r="N1627" t="s">
        <v>3777</v>
      </c>
    </row>
    <row r="1628" spans="1:25" x14ac:dyDescent="0.2">
      <c r="A1628">
        <v>233</v>
      </c>
      <c r="B1628" t="s">
        <v>3773</v>
      </c>
      <c r="C1628" t="s">
        <v>18</v>
      </c>
      <c r="D1628" t="s">
        <v>3778</v>
      </c>
      <c r="E1628" t="s">
        <v>3779</v>
      </c>
      <c r="F1628" t="s">
        <v>82</v>
      </c>
      <c r="G1628" t="s">
        <v>265</v>
      </c>
      <c r="H1628" t="b">
        <v>0</v>
      </c>
      <c r="K1628" t="b">
        <v>0</v>
      </c>
      <c r="L1628" t="b">
        <v>0</v>
      </c>
      <c r="M1628" t="s">
        <v>3780</v>
      </c>
      <c r="N1628" t="s">
        <v>3781</v>
      </c>
    </row>
    <row r="1629" spans="1:25" x14ac:dyDescent="0.2">
      <c r="A1629">
        <v>234</v>
      </c>
      <c r="B1629" t="s">
        <v>3773</v>
      </c>
      <c r="C1629" t="s">
        <v>18</v>
      </c>
      <c r="D1629" t="s">
        <v>3782</v>
      </c>
      <c r="E1629" t="s">
        <v>3783</v>
      </c>
      <c r="F1629" t="s">
        <v>82</v>
      </c>
      <c r="G1629" t="s">
        <v>265</v>
      </c>
      <c r="H1629" t="b">
        <v>0</v>
      </c>
      <c r="K1629" t="b">
        <v>0</v>
      </c>
      <c r="L1629" t="b">
        <v>0</v>
      </c>
      <c r="M1629" t="s">
        <v>3784</v>
      </c>
      <c r="N1629" t="s">
        <v>3785</v>
      </c>
    </row>
    <row r="1630" spans="1:25" x14ac:dyDescent="0.2">
      <c r="A1630">
        <v>235</v>
      </c>
      <c r="B1630" t="s">
        <v>3773</v>
      </c>
      <c r="C1630" t="s">
        <v>18</v>
      </c>
      <c r="D1630" t="s">
        <v>3786</v>
      </c>
      <c r="E1630" t="s">
        <v>3787</v>
      </c>
      <c r="F1630" t="s">
        <v>159</v>
      </c>
      <c r="G1630" t="s">
        <v>265</v>
      </c>
      <c r="H1630" t="b">
        <v>0</v>
      </c>
      <c r="K1630" t="b">
        <v>0</v>
      </c>
      <c r="L1630" t="b">
        <v>0</v>
      </c>
      <c r="M1630" t="s">
        <v>3788</v>
      </c>
      <c r="N1630" t="s">
        <v>3789</v>
      </c>
    </row>
    <row r="1631" spans="1:25" x14ac:dyDescent="0.2">
      <c r="A1631">
        <v>236</v>
      </c>
      <c r="B1631" t="s">
        <v>3773</v>
      </c>
      <c r="C1631" t="s">
        <v>18</v>
      </c>
      <c r="D1631" t="s">
        <v>3790</v>
      </c>
      <c r="E1631" t="s">
        <v>3791</v>
      </c>
      <c r="F1631" t="s">
        <v>159</v>
      </c>
      <c r="G1631" t="s">
        <v>265</v>
      </c>
      <c r="H1631" t="b">
        <v>0</v>
      </c>
      <c r="K1631" t="b">
        <v>0</v>
      </c>
      <c r="L1631" t="b">
        <v>0</v>
      </c>
      <c r="M1631" t="s">
        <v>3792</v>
      </c>
      <c r="N1631" t="s">
        <v>3793</v>
      </c>
    </row>
    <row r="1633" spans="1:25" x14ac:dyDescent="0.2">
      <c r="A1633" s="2">
        <v>2310</v>
      </c>
      <c r="B1633" s="2" t="s">
        <v>3794</v>
      </c>
      <c r="C1633" s="2" t="s">
        <v>13</v>
      </c>
      <c r="D1633" s="2" t="s">
        <v>3795</v>
      </c>
      <c r="E1633" s="2" t="s">
        <v>3796</v>
      </c>
      <c r="F1633" s="2" t="s">
        <v>654</v>
      </c>
      <c r="G1633" s="2" t="s">
        <v>252</v>
      </c>
      <c r="H1633" s="2"/>
      <c r="I1633" s="2"/>
      <c r="J1633" s="2"/>
      <c r="K1633" s="2"/>
      <c r="L1633" s="2"/>
      <c r="M1633" s="2"/>
      <c r="N1633" s="2"/>
      <c r="O1633" s="2"/>
      <c r="P1633" s="2"/>
      <c r="Q1633" s="2"/>
      <c r="R1633" s="2"/>
      <c r="S1633" s="2"/>
      <c r="T1633" s="2"/>
      <c r="U1633" s="2"/>
      <c r="V1633" s="2"/>
      <c r="W1633" s="2"/>
      <c r="X1633" s="2"/>
      <c r="Y1633" s="2"/>
    </row>
    <row r="1634" spans="1:25" x14ac:dyDescent="0.2">
      <c r="A1634">
        <v>2311</v>
      </c>
      <c r="B1634" t="s">
        <v>3794</v>
      </c>
      <c r="C1634" t="s">
        <v>18</v>
      </c>
      <c r="D1634" t="s">
        <v>3795</v>
      </c>
      <c r="E1634" t="s">
        <v>195</v>
      </c>
      <c r="F1634" t="s">
        <v>654</v>
      </c>
      <c r="G1634" t="s">
        <v>252</v>
      </c>
      <c r="H1634" t="b">
        <v>1</v>
      </c>
      <c r="I1634" t="b">
        <v>1</v>
      </c>
      <c r="L1634" t="b">
        <v>1</v>
      </c>
      <c r="M1634" t="s">
        <v>3797</v>
      </c>
      <c r="N1634" t="s">
        <v>3798</v>
      </c>
    </row>
    <row r="1635" spans="1:25" x14ac:dyDescent="0.2">
      <c r="A1635">
        <v>2312</v>
      </c>
      <c r="B1635" t="s">
        <v>3794</v>
      </c>
      <c r="C1635" t="s">
        <v>18</v>
      </c>
      <c r="D1635" t="s">
        <v>3799</v>
      </c>
      <c r="E1635" t="s">
        <v>3800</v>
      </c>
      <c r="F1635" t="s">
        <v>654</v>
      </c>
      <c r="G1635" t="s">
        <v>252</v>
      </c>
      <c r="H1635" t="b">
        <v>1</v>
      </c>
      <c r="I1635" t="b">
        <v>1</v>
      </c>
      <c r="L1635" t="b">
        <v>1</v>
      </c>
      <c r="M1635" t="s">
        <v>3801</v>
      </c>
      <c r="N1635" t="s">
        <v>3802</v>
      </c>
    </row>
    <row r="1636" spans="1:25" x14ac:dyDescent="0.2">
      <c r="A1636">
        <v>2313</v>
      </c>
      <c r="B1636" t="s">
        <v>3794</v>
      </c>
      <c r="C1636" t="s">
        <v>18</v>
      </c>
      <c r="D1636" t="s">
        <v>1549</v>
      </c>
      <c r="E1636" t="s">
        <v>1550</v>
      </c>
      <c r="F1636" t="s">
        <v>205</v>
      </c>
      <c r="G1636" t="s">
        <v>252</v>
      </c>
      <c r="H1636" t="b">
        <v>0</v>
      </c>
      <c r="I1636" t="b">
        <v>0</v>
      </c>
      <c r="L1636" t="b">
        <v>0</v>
      </c>
      <c r="M1636" t="s">
        <v>1551</v>
      </c>
    </row>
    <row r="1637" spans="1:25" x14ac:dyDescent="0.2">
      <c r="A1637">
        <v>2314</v>
      </c>
      <c r="B1637" t="s">
        <v>3794</v>
      </c>
      <c r="C1637" t="s">
        <v>18</v>
      </c>
      <c r="D1637" t="s">
        <v>3803</v>
      </c>
      <c r="E1637" t="s">
        <v>3804</v>
      </c>
      <c r="F1637" t="s">
        <v>670</v>
      </c>
      <c r="G1637" t="s">
        <v>252</v>
      </c>
      <c r="H1637" t="b">
        <v>0</v>
      </c>
      <c r="I1637" t="b">
        <v>0</v>
      </c>
      <c r="L1637" t="b">
        <v>0</v>
      </c>
      <c r="M1637" t="s">
        <v>3805</v>
      </c>
      <c r="N1637" t="s">
        <v>745</v>
      </c>
    </row>
    <row r="1638" spans="1:25" x14ac:dyDescent="0.2">
      <c r="A1638">
        <v>2315</v>
      </c>
      <c r="B1638" t="s">
        <v>3794</v>
      </c>
      <c r="C1638" t="s">
        <v>18</v>
      </c>
      <c r="D1638" t="s">
        <v>3806</v>
      </c>
      <c r="E1638" t="s">
        <v>3807</v>
      </c>
      <c r="F1638" t="s">
        <v>23</v>
      </c>
      <c r="G1638" t="s">
        <v>252</v>
      </c>
      <c r="H1638" t="b">
        <v>0</v>
      </c>
      <c r="I1638" t="b">
        <v>0</v>
      </c>
      <c r="L1638" t="b">
        <v>0</v>
      </c>
      <c r="M1638" t="s">
        <v>3808</v>
      </c>
      <c r="N1638" t="s">
        <v>745</v>
      </c>
    </row>
    <row r="1640" spans="1:25" x14ac:dyDescent="0.2">
      <c r="A1640" s="2">
        <v>2324</v>
      </c>
      <c r="B1640" s="2" t="s">
        <v>3809</v>
      </c>
      <c r="C1640" s="2" t="s">
        <v>13</v>
      </c>
      <c r="D1640" s="2" t="s">
        <v>3810</v>
      </c>
      <c r="E1640" s="2" t="s">
        <v>3811</v>
      </c>
      <c r="F1640" s="2" t="s">
        <v>248</v>
      </c>
      <c r="G1640" s="2" t="s">
        <v>638</v>
      </c>
      <c r="H1640" s="2"/>
      <c r="I1640" s="2"/>
      <c r="J1640" s="2"/>
      <c r="K1640" s="2"/>
      <c r="L1640" s="2"/>
      <c r="M1640" s="2"/>
      <c r="N1640" s="2"/>
      <c r="O1640" s="2"/>
      <c r="P1640" s="2"/>
      <c r="Q1640" s="2"/>
      <c r="R1640" s="2"/>
      <c r="S1640" s="2"/>
      <c r="T1640" s="2"/>
      <c r="U1640" s="2"/>
      <c r="V1640" s="2"/>
      <c r="W1640" s="2"/>
      <c r="X1640" s="2"/>
      <c r="Y1640" s="2"/>
    </row>
    <row r="1641" spans="1:25" x14ac:dyDescent="0.2">
      <c r="A1641">
        <v>2325</v>
      </c>
      <c r="B1641" t="s">
        <v>3809</v>
      </c>
      <c r="C1641" t="s">
        <v>18</v>
      </c>
      <c r="D1641" t="s">
        <v>3810</v>
      </c>
      <c r="E1641" t="s">
        <v>3812</v>
      </c>
      <c r="F1641" t="s">
        <v>248</v>
      </c>
      <c r="G1641" t="s">
        <v>638</v>
      </c>
      <c r="H1641" t="b">
        <v>1</v>
      </c>
      <c r="K1641" t="b">
        <v>1</v>
      </c>
      <c r="L1641" t="b">
        <v>1</v>
      </c>
      <c r="M1641" t="s">
        <v>3813</v>
      </c>
      <c r="N1641" t="s">
        <v>3814</v>
      </c>
    </row>
    <row r="1642" spans="1:25" x14ac:dyDescent="0.2">
      <c r="A1642">
        <v>2326</v>
      </c>
      <c r="B1642" t="s">
        <v>3809</v>
      </c>
      <c r="C1642" t="s">
        <v>18</v>
      </c>
      <c r="D1642" t="s">
        <v>3815</v>
      </c>
      <c r="E1642" t="s">
        <v>3816</v>
      </c>
      <c r="F1642" t="s">
        <v>248</v>
      </c>
      <c r="G1642" t="s">
        <v>638</v>
      </c>
      <c r="H1642" t="b">
        <v>1</v>
      </c>
      <c r="K1642" t="b">
        <v>1</v>
      </c>
      <c r="L1642" t="b">
        <v>1</v>
      </c>
      <c r="M1642" t="s">
        <v>3817</v>
      </c>
      <c r="N1642" t="s">
        <v>3818</v>
      </c>
    </row>
    <row r="1643" spans="1:25" x14ac:dyDescent="0.2">
      <c r="A1643">
        <v>2327</v>
      </c>
      <c r="B1643" t="s">
        <v>3809</v>
      </c>
      <c r="C1643" t="s">
        <v>18</v>
      </c>
      <c r="D1643" t="s">
        <v>3819</v>
      </c>
      <c r="E1643" t="s">
        <v>3820</v>
      </c>
      <c r="F1643" t="s">
        <v>248</v>
      </c>
      <c r="G1643" t="s">
        <v>24</v>
      </c>
      <c r="H1643" t="b">
        <v>0</v>
      </c>
      <c r="K1643" t="b">
        <v>0</v>
      </c>
      <c r="L1643" t="b">
        <v>0</v>
      </c>
    </row>
    <row r="1644" spans="1:25" x14ac:dyDescent="0.2">
      <c r="A1644">
        <v>2328</v>
      </c>
      <c r="B1644" t="s">
        <v>3809</v>
      </c>
      <c r="C1644" t="s">
        <v>18</v>
      </c>
      <c r="D1644" t="s">
        <v>3821</v>
      </c>
      <c r="E1644" t="s">
        <v>3822</v>
      </c>
      <c r="F1644" t="s">
        <v>248</v>
      </c>
      <c r="G1644" t="s">
        <v>638</v>
      </c>
      <c r="H1644" t="b">
        <v>0</v>
      </c>
      <c r="K1644" t="b">
        <v>0</v>
      </c>
      <c r="L1644" t="b">
        <v>0</v>
      </c>
      <c r="M1644" t="s">
        <v>3823</v>
      </c>
    </row>
    <row r="1645" spans="1:25" x14ac:dyDescent="0.2">
      <c r="A1645">
        <v>2329</v>
      </c>
      <c r="B1645" t="s">
        <v>3809</v>
      </c>
      <c r="C1645" t="s">
        <v>18</v>
      </c>
      <c r="D1645" t="s">
        <v>3824</v>
      </c>
      <c r="E1645" t="s">
        <v>3825</v>
      </c>
      <c r="F1645" t="s">
        <v>248</v>
      </c>
      <c r="G1645" t="s">
        <v>638</v>
      </c>
      <c r="H1645" t="b">
        <v>0</v>
      </c>
      <c r="K1645" t="b">
        <v>0</v>
      </c>
      <c r="L1645" t="b">
        <v>0</v>
      </c>
      <c r="M1645" t="s">
        <v>3826</v>
      </c>
    </row>
    <row r="1647" spans="1:25" x14ac:dyDescent="0.2">
      <c r="A1647" s="2">
        <v>2331</v>
      </c>
      <c r="B1647" s="2" t="s">
        <v>3827</v>
      </c>
      <c r="C1647" s="2" t="s">
        <v>13</v>
      </c>
      <c r="D1647" s="2" t="s">
        <v>3828</v>
      </c>
      <c r="E1647" s="2" t="s">
        <v>3829</v>
      </c>
      <c r="F1647" s="2" t="s">
        <v>45</v>
      </c>
      <c r="G1647" s="2" t="s">
        <v>3830</v>
      </c>
      <c r="H1647" s="2"/>
      <c r="I1647" s="2"/>
      <c r="J1647" s="2"/>
      <c r="K1647" s="2"/>
      <c r="L1647" s="2"/>
      <c r="M1647" s="2"/>
      <c r="N1647" s="2"/>
      <c r="O1647" s="2"/>
      <c r="P1647" s="2"/>
      <c r="Q1647" s="2"/>
      <c r="R1647" s="2"/>
      <c r="S1647" s="2"/>
      <c r="T1647" s="2"/>
      <c r="U1647" s="2"/>
      <c r="V1647" s="2"/>
      <c r="W1647" s="2"/>
      <c r="X1647" s="2"/>
      <c r="Y1647" s="2"/>
    </row>
    <row r="1648" spans="1:25" x14ac:dyDescent="0.2">
      <c r="A1648">
        <v>2332</v>
      </c>
      <c r="B1648" t="s">
        <v>3827</v>
      </c>
      <c r="C1648" t="s">
        <v>18</v>
      </c>
      <c r="D1648" t="s">
        <v>3828</v>
      </c>
      <c r="E1648" t="s">
        <v>190</v>
      </c>
      <c r="F1648" t="s">
        <v>45</v>
      </c>
      <c r="G1648" t="s">
        <v>107</v>
      </c>
      <c r="H1648" t="b">
        <v>1</v>
      </c>
      <c r="I1648" t="b">
        <v>1</v>
      </c>
      <c r="L1648" t="b">
        <v>1</v>
      </c>
      <c r="M1648" t="s">
        <v>3831</v>
      </c>
      <c r="N1648" t="s">
        <v>3832</v>
      </c>
    </row>
    <row r="1649" spans="1:25" x14ac:dyDescent="0.2">
      <c r="A1649">
        <v>2333</v>
      </c>
      <c r="B1649" t="s">
        <v>3827</v>
      </c>
      <c r="C1649" t="s">
        <v>18</v>
      </c>
      <c r="D1649" t="s">
        <v>3833</v>
      </c>
      <c r="E1649" t="s">
        <v>3834</v>
      </c>
      <c r="F1649" t="s">
        <v>45</v>
      </c>
      <c r="G1649" t="s">
        <v>917</v>
      </c>
      <c r="H1649" t="b">
        <v>0</v>
      </c>
      <c r="I1649" t="b">
        <v>0</v>
      </c>
      <c r="L1649" t="b">
        <v>0</v>
      </c>
      <c r="M1649" t="s">
        <v>3835</v>
      </c>
    </row>
    <row r="1650" spans="1:25" x14ac:dyDescent="0.2">
      <c r="A1650">
        <v>2334</v>
      </c>
      <c r="B1650" t="s">
        <v>3827</v>
      </c>
      <c r="C1650" t="s">
        <v>18</v>
      </c>
      <c r="D1650" t="s">
        <v>604</v>
      </c>
      <c r="E1650" t="s">
        <v>605</v>
      </c>
      <c r="F1650" t="s">
        <v>151</v>
      </c>
      <c r="G1650" t="s">
        <v>24</v>
      </c>
      <c r="H1650" t="b">
        <v>0</v>
      </c>
      <c r="I1650" t="b">
        <v>0</v>
      </c>
      <c r="L1650" t="b">
        <v>0</v>
      </c>
      <c r="M1650" t="s">
        <v>606</v>
      </c>
      <c r="N1650" t="s">
        <v>607</v>
      </c>
    </row>
    <row r="1651" spans="1:25" x14ac:dyDescent="0.2">
      <c r="A1651">
        <v>2335</v>
      </c>
      <c r="B1651" t="s">
        <v>3827</v>
      </c>
      <c r="C1651" t="s">
        <v>18</v>
      </c>
      <c r="D1651" t="s">
        <v>3836</v>
      </c>
      <c r="E1651" t="s">
        <v>3837</v>
      </c>
      <c r="F1651" t="s">
        <v>78</v>
      </c>
      <c r="G1651" t="s">
        <v>345</v>
      </c>
      <c r="H1651" t="b">
        <v>0</v>
      </c>
      <c r="I1651" t="b">
        <v>0</v>
      </c>
      <c r="L1651" t="b">
        <v>0</v>
      </c>
    </row>
    <row r="1652" spans="1:25" x14ac:dyDescent="0.2">
      <c r="A1652">
        <v>2336</v>
      </c>
      <c r="B1652" t="s">
        <v>3827</v>
      </c>
      <c r="C1652" t="s">
        <v>18</v>
      </c>
      <c r="D1652" t="s">
        <v>3838</v>
      </c>
      <c r="E1652" t="s">
        <v>3839</v>
      </c>
      <c r="F1652" t="s">
        <v>159</v>
      </c>
      <c r="G1652" t="s">
        <v>345</v>
      </c>
      <c r="H1652" t="b">
        <v>0</v>
      </c>
      <c r="I1652" t="b">
        <v>0</v>
      </c>
      <c r="L1652" t="b">
        <v>0</v>
      </c>
      <c r="M1652" t="s">
        <v>3840</v>
      </c>
    </row>
    <row r="1654" spans="1:25" x14ac:dyDescent="0.2">
      <c r="A1654" s="2">
        <v>2338</v>
      </c>
      <c r="B1654" s="2" t="s">
        <v>3841</v>
      </c>
      <c r="C1654" s="2" t="s">
        <v>13</v>
      </c>
      <c r="D1654" s="2" t="s">
        <v>3842</v>
      </c>
      <c r="E1654" s="2" t="s">
        <v>3843</v>
      </c>
      <c r="F1654" s="2" t="s">
        <v>670</v>
      </c>
      <c r="G1654" s="2" t="s">
        <v>17</v>
      </c>
      <c r="H1654" s="2"/>
      <c r="I1654" s="2"/>
      <c r="J1654" s="2"/>
      <c r="K1654" s="2"/>
      <c r="L1654" s="2"/>
      <c r="M1654" s="2"/>
      <c r="N1654" s="2"/>
      <c r="O1654" s="2"/>
      <c r="P1654" s="2"/>
      <c r="Q1654" s="2"/>
      <c r="R1654" s="2"/>
      <c r="S1654" s="2"/>
      <c r="T1654" s="2"/>
      <c r="U1654" s="2"/>
      <c r="V1654" s="2"/>
      <c r="W1654" s="2"/>
      <c r="X1654" s="2"/>
      <c r="Y1654" s="2"/>
    </row>
    <row r="1655" spans="1:25" x14ac:dyDescent="0.2">
      <c r="A1655">
        <v>2339</v>
      </c>
      <c r="B1655" t="s">
        <v>3841</v>
      </c>
      <c r="C1655" t="s">
        <v>18</v>
      </c>
      <c r="D1655" t="s">
        <v>3842</v>
      </c>
      <c r="E1655" t="s">
        <v>3844</v>
      </c>
      <c r="F1655" t="s">
        <v>670</v>
      </c>
      <c r="G1655" t="s">
        <v>17</v>
      </c>
      <c r="H1655" t="b">
        <v>1</v>
      </c>
      <c r="I1655" t="b">
        <v>1</v>
      </c>
      <c r="L1655" t="b">
        <v>1</v>
      </c>
      <c r="M1655" t="s">
        <v>3845</v>
      </c>
      <c r="N1655" t="s">
        <v>3846</v>
      </c>
    </row>
    <row r="1656" spans="1:25" x14ac:dyDescent="0.2">
      <c r="A1656">
        <v>2340</v>
      </c>
      <c r="B1656" t="s">
        <v>3841</v>
      </c>
      <c r="C1656" t="s">
        <v>18</v>
      </c>
      <c r="D1656" t="s">
        <v>3847</v>
      </c>
      <c r="E1656" t="s">
        <v>3848</v>
      </c>
      <c r="F1656" t="s">
        <v>670</v>
      </c>
      <c r="G1656" t="s">
        <v>17</v>
      </c>
      <c r="H1656" t="b">
        <v>0</v>
      </c>
      <c r="I1656" t="b">
        <v>0</v>
      </c>
      <c r="L1656" t="b">
        <v>0</v>
      </c>
      <c r="M1656" t="s">
        <v>3849</v>
      </c>
      <c r="N1656" t="s">
        <v>3850</v>
      </c>
    </row>
    <row r="1657" spans="1:25" x14ac:dyDescent="0.2">
      <c r="A1657">
        <v>2341</v>
      </c>
      <c r="B1657" t="s">
        <v>3841</v>
      </c>
      <c r="C1657" t="s">
        <v>18</v>
      </c>
      <c r="D1657" t="s">
        <v>3851</v>
      </c>
      <c r="E1657" t="s">
        <v>3852</v>
      </c>
      <c r="F1657" t="s">
        <v>670</v>
      </c>
      <c r="G1657" t="s">
        <v>17</v>
      </c>
      <c r="H1657" t="b">
        <v>0</v>
      </c>
      <c r="I1657" t="b">
        <v>0</v>
      </c>
      <c r="L1657" t="b">
        <v>0</v>
      </c>
      <c r="M1657" t="s">
        <v>3853</v>
      </c>
    </row>
    <row r="1658" spans="1:25" x14ac:dyDescent="0.2">
      <c r="A1658">
        <v>2342</v>
      </c>
      <c r="B1658" t="s">
        <v>3841</v>
      </c>
      <c r="C1658" t="s">
        <v>18</v>
      </c>
      <c r="D1658" t="s">
        <v>2645</v>
      </c>
      <c r="E1658" t="s">
        <v>356</v>
      </c>
      <c r="F1658" t="s">
        <v>670</v>
      </c>
      <c r="G1658" t="s">
        <v>17</v>
      </c>
      <c r="H1658" t="b">
        <v>0</v>
      </c>
      <c r="I1658" t="b">
        <v>0</v>
      </c>
      <c r="L1658" t="b">
        <v>0</v>
      </c>
      <c r="M1658" t="s">
        <v>2646</v>
      </c>
    </row>
    <row r="1659" spans="1:25" x14ac:dyDescent="0.2">
      <c r="A1659">
        <v>2343</v>
      </c>
      <c r="B1659" t="s">
        <v>3841</v>
      </c>
      <c r="C1659" t="s">
        <v>18</v>
      </c>
      <c r="D1659" t="s">
        <v>3854</v>
      </c>
      <c r="E1659" t="s">
        <v>3855</v>
      </c>
      <c r="F1659" t="s">
        <v>670</v>
      </c>
      <c r="G1659" t="s">
        <v>17</v>
      </c>
      <c r="H1659" t="b">
        <v>0</v>
      </c>
      <c r="I1659" t="b">
        <v>0</v>
      </c>
      <c r="L1659" t="b">
        <v>0</v>
      </c>
    </row>
    <row r="1661" spans="1:25" x14ac:dyDescent="0.2">
      <c r="A1661" s="2">
        <v>2345</v>
      </c>
      <c r="B1661" s="2" t="s">
        <v>3856</v>
      </c>
      <c r="C1661" s="2" t="s">
        <v>13</v>
      </c>
      <c r="D1661" s="2" t="s">
        <v>3857</v>
      </c>
      <c r="E1661" s="2" t="s">
        <v>3858</v>
      </c>
      <c r="F1661" s="2" t="s">
        <v>785</v>
      </c>
      <c r="G1661" s="2" t="s">
        <v>134</v>
      </c>
      <c r="H1661" s="2"/>
      <c r="I1661" s="2"/>
      <c r="J1661" s="2"/>
      <c r="K1661" s="2"/>
      <c r="L1661" s="2"/>
      <c r="M1661" s="2"/>
      <c r="N1661" s="2"/>
      <c r="O1661" s="2"/>
      <c r="P1661" s="2"/>
      <c r="Q1661" s="2"/>
      <c r="R1661" s="2"/>
      <c r="S1661" s="2"/>
      <c r="T1661" s="2"/>
      <c r="U1661" s="2"/>
      <c r="V1661" s="2"/>
      <c r="W1661" s="2"/>
      <c r="X1661" s="2"/>
      <c r="Y1661" s="2"/>
    </row>
    <row r="1662" spans="1:25" x14ac:dyDescent="0.2">
      <c r="A1662">
        <v>2346</v>
      </c>
      <c r="B1662" t="s">
        <v>3856</v>
      </c>
      <c r="C1662" t="s">
        <v>18</v>
      </c>
      <c r="D1662" t="s">
        <v>3859</v>
      </c>
      <c r="E1662" t="s">
        <v>3860</v>
      </c>
      <c r="F1662" t="s">
        <v>785</v>
      </c>
      <c r="G1662" t="s">
        <v>134</v>
      </c>
      <c r="H1662" t="b">
        <v>1</v>
      </c>
      <c r="I1662" t="b">
        <v>1</v>
      </c>
      <c r="L1662" t="b">
        <v>1</v>
      </c>
      <c r="M1662" t="s">
        <v>3861</v>
      </c>
      <c r="N1662" t="s">
        <v>3862</v>
      </c>
    </row>
    <row r="1663" spans="1:25" x14ac:dyDescent="0.2">
      <c r="A1663">
        <v>2347</v>
      </c>
      <c r="B1663" t="s">
        <v>3856</v>
      </c>
      <c r="C1663" t="s">
        <v>18</v>
      </c>
      <c r="D1663" t="s">
        <v>3863</v>
      </c>
      <c r="E1663" t="s">
        <v>3800</v>
      </c>
      <c r="F1663" t="s">
        <v>785</v>
      </c>
      <c r="G1663" t="s">
        <v>134</v>
      </c>
      <c r="H1663" t="b">
        <v>1</v>
      </c>
      <c r="I1663" t="b">
        <v>1</v>
      </c>
      <c r="L1663" t="b">
        <v>1</v>
      </c>
      <c r="M1663" t="s">
        <v>3864</v>
      </c>
      <c r="N1663" t="s">
        <v>3865</v>
      </c>
    </row>
    <row r="1664" spans="1:25" x14ac:dyDescent="0.2">
      <c r="A1664">
        <v>2348</v>
      </c>
      <c r="B1664" t="s">
        <v>3856</v>
      </c>
      <c r="C1664" t="s">
        <v>18</v>
      </c>
      <c r="D1664" t="s">
        <v>3866</v>
      </c>
      <c r="E1664" t="s">
        <v>3867</v>
      </c>
      <c r="F1664" t="s">
        <v>670</v>
      </c>
      <c r="G1664" t="s">
        <v>24</v>
      </c>
      <c r="H1664" t="b">
        <v>0</v>
      </c>
      <c r="I1664" t="b">
        <v>0</v>
      </c>
      <c r="L1664" t="b">
        <v>0</v>
      </c>
      <c r="M1664" t="s">
        <v>3868</v>
      </c>
      <c r="N1664" t="s">
        <v>3869</v>
      </c>
    </row>
    <row r="1665" spans="1:25" x14ac:dyDescent="0.2">
      <c r="A1665">
        <v>2349</v>
      </c>
      <c r="B1665" t="s">
        <v>3856</v>
      </c>
      <c r="C1665" t="s">
        <v>18</v>
      </c>
      <c r="D1665" t="s">
        <v>3870</v>
      </c>
      <c r="E1665" t="s">
        <v>3871</v>
      </c>
      <c r="F1665" t="s">
        <v>2738</v>
      </c>
      <c r="G1665" t="s">
        <v>1047</v>
      </c>
      <c r="H1665" t="b">
        <v>0</v>
      </c>
      <c r="I1665" t="b">
        <v>0</v>
      </c>
      <c r="L1665" t="b">
        <v>0</v>
      </c>
      <c r="M1665" t="s">
        <v>3872</v>
      </c>
      <c r="N1665" t="s">
        <v>3873</v>
      </c>
      <c r="O1665" t="s">
        <v>3874</v>
      </c>
      <c r="P1665" t="s">
        <v>3875</v>
      </c>
    </row>
    <row r="1666" spans="1:25" x14ac:dyDescent="0.2">
      <c r="A1666">
        <v>2350</v>
      </c>
      <c r="B1666" t="s">
        <v>3856</v>
      </c>
      <c r="C1666" t="s">
        <v>18</v>
      </c>
      <c r="D1666" t="s">
        <v>3876</v>
      </c>
      <c r="E1666" t="s">
        <v>455</v>
      </c>
      <c r="F1666" t="s">
        <v>16</v>
      </c>
      <c r="G1666" t="s">
        <v>24</v>
      </c>
      <c r="H1666" t="b">
        <v>0</v>
      </c>
      <c r="I1666" t="b">
        <v>0</v>
      </c>
      <c r="L1666" t="b">
        <v>0</v>
      </c>
      <c r="M1666" t="s">
        <v>3877</v>
      </c>
    </row>
    <row r="1668" spans="1:25" x14ac:dyDescent="0.2">
      <c r="A1668" s="2">
        <v>2366</v>
      </c>
      <c r="B1668" s="2" t="s">
        <v>3878</v>
      </c>
      <c r="C1668" s="2" t="s">
        <v>13</v>
      </c>
      <c r="D1668" s="2" t="s">
        <v>3879</v>
      </c>
      <c r="E1668" s="2" t="s">
        <v>3880</v>
      </c>
      <c r="F1668" s="2" t="s">
        <v>205</v>
      </c>
      <c r="G1668" s="2" t="s">
        <v>88</v>
      </c>
      <c r="H1668" s="2"/>
      <c r="I1668" s="2"/>
      <c r="J1668" s="2"/>
      <c r="K1668" s="2"/>
      <c r="L1668" s="2"/>
      <c r="M1668" s="2"/>
      <c r="N1668" s="2"/>
      <c r="O1668" s="2"/>
      <c r="P1668" s="2"/>
      <c r="Q1668" s="2"/>
      <c r="R1668" s="2"/>
      <c r="S1668" s="2"/>
      <c r="T1668" s="2"/>
      <c r="U1668" s="2"/>
      <c r="V1668" s="2"/>
      <c r="W1668" s="2"/>
      <c r="X1668" s="2"/>
      <c r="Y1668" s="2"/>
    </row>
    <row r="1669" spans="1:25" x14ac:dyDescent="0.2">
      <c r="A1669">
        <v>2367</v>
      </c>
      <c r="B1669" t="s">
        <v>3878</v>
      </c>
      <c r="C1669" t="s">
        <v>18</v>
      </c>
      <c r="D1669" t="s">
        <v>3879</v>
      </c>
      <c r="E1669" t="s">
        <v>3880</v>
      </c>
      <c r="F1669" t="s">
        <v>205</v>
      </c>
      <c r="G1669" t="s">
        <v>88</v>
      </c>
      <c r="H1669" t="b">
        <v>1</v>
      </c>
      <c r="I1669" t="b">
        <v>1</v>
      </c>
      <c r="L1669" t="b">
        <v>1</v>
      </c>
      <c r="M1669" t="s">
        <v>3881</v>
      </c>
      <c r="N1669" t="s">
        <v>3882</v>
      </c>
    </row>
    <row r="1670" spans="1:25" x14ac:dyDescent="0.2">
      <c r="A1670">
        <v>2368</v>
      </c>
      <c r="B1670" t="s">
        <v>3878</v>
      </c>
      <c r="C1670" t="s">
        <v>18</v>
      </c>
      <c r="D1670" t="s">
        <v>3883</v>
      </c>
      <c r="E1670" t="s">
        <v>3884</v>
      </c>
      <c r="F1670" t="s">
        <v>205</v>
      </c>
      <c r="G1670" t="s">
        <v>88</v>
      </c>
      <c r="H1670" t="b">
        <v>0</v>
      </c>
      <c r="I1670" t="b">
        <v>0</v>
      </c>
      <c r="L1670" t="b">
        <v>0</v>
      </c>
      <c r="M1670" t="s">
        <v>3885</v>
      </c>
    </row>
    <row r="1671" spans="1:25" x14ac:dyDescent="0.2">
      <c r="A1671">
        <v>2369</v>
      </c>
      <c r="B1671" t="s">
        <v>3878</v>
      </c>
      <c r="C1671" t="s">
        <v>18</v>
      </c>
      <c r="D1671" t="s">
        <v>3886</v>
      </c>
      <c r="E1671" t="s">
        <v>3887</v>
      </c>
      <c r="F1671" t="s">
        <v>205</v>
      </c>
      <c r="G1671" t="s">
        <v>88</v>
      </c>
      <c r="H1671" t="b">
        <v>0</v>
      </c>
      <c r="I1671" t="b">
        <v>0</v>
      </c>
      <c r="L1671" t="b">
        <v>0</v>
      </c>
      <c r="M1671" t="s">
        <v>3888</v>
      </c>
    </row>
    <row r="1672" spans="1:25" x14ac:dyDescent="0.2">
      <c r="A1672">
        <v>2370</v>
      </c>
      <c r="B1672" t="s">
        <v>3878</v>
      </c>
      <c r="C1672" t="s">
        <v>18</v>
      </c>
      <c r="D1672" t="s">
        <v>3889</v>
      </c>
      <c r="E1672" t="s">
        <v>3890</v>
      </c>
      <c r="F1672" t="s">
        <v>205</v>
      </c>
      <c r="G1672" t="s">
        <v>88</v>
      </c>
      <c r="H1672" t="b">
        <v>0</v>
      </c>
      <c r="I1672" t="b">
        <v>0</v>
      </c>
      <c r="L1672" t="b">
        <v>0</v>
      </c>
      <c r="M1672" t="s">
        <v>3891</v>
      </c>
    </row>
    <row r="1673" spans="1:25" x14ac:dyDescent="0.2">
      <c r="A1673">
        <v>2371</v>
      </c>
      <c r="B1673" t="s">
        <v>3878</v>
      </c>
      <c r="C1673" t="s">
        <v>18</v>
      </c>
      <c r="D1673" t="s">
        <v>3892</v>
      </c>
      <c r="E1673" t="s">
        <v>3893</v>
      </c>
      <c r="F1673" t="s">
        <v>205</v>
      </c>
      <c r="G1673" t="s">
        <v>88</v>
      </c>
      <c r="H1673" t="b">
        <v>0</v>
      </c>
      <c r="I1673" t="b">
        <v>0</v>
      </c>
      <c r="L1673" t="b">
        <v>0</v>
      </c>
      <c r="M1673" t="s">
        <v>3894</v>
      </c>
    </row>
    <row r="1675" spans="1:25" x14ac:dyDescent="0.2">
      <c r="A1675" s="2">
        <v>238</v>
      </c>
      <c r="B1675" s="2" t="s">
        <v>3895</v>
      </c>
      <c r="C1675" s="2" t="s">
        <v>13</v>
      </c>
      <c r="D1675" s="2" t="s">
        <v>3896</v>
      </c>
      <c r="E1675" s="2" t="s">
        <v>3897</v>
      </c>
      <c r="F1675" s="2" t="s">
        <v>82</v>
      </c>
      <c r="G1675" s="2" t="s">
        <v>265</v>
      </c>
      <c r="H1675" s="2"/>
      <c r="I1675" s="2"/>
      <c r="J1675" s="2"/>
      <c r="K1675" s="2"/>
      <c r="L1675" s="2"/>
      <c r="M1675" s="2"/>
      <c r="N1675" s="2"/>
      <c r="O1675" s="2"/>
      <c r="P1675" s="2"/>
      <c r="Q1675" s="2"/>
      <c r="R1675" s="2"/>
      <c r="S1675" s="2"/>
      <c r="T1675" s="2"/>
      <c r="U1675" s="2"/>
      <c r="V1675" s="2"/>
      <c r="W1675" s="2"/>
      <c r="X1675" s="2"/>
      <c r="Y1675" s="2"/>
    </row>
    <row r="1676" spans="1:25" x14ac:dyDescent="0.2">
      <c r="A1676">
        <v>239</v>
      </c>
      <c r="B1676" t="s">
        <v>3895</v>
      </c>
      <c r="C1676" t="s">
        <v>18</v>
      </c>
      <c r="D1676" t="s">
        <v>3896</v>
      </c>
      <c r="E1676" t="s">
        <v>3898</v>
      </c>
      <c r="F1676" t="s">
        <v>82</v>
      </c>
      <c r="G1676" t="s">
        <v>265</v>
      </c>
      <c r="H1676" t="b">
        <v>1</v>
      </c>
      <c r="I1676" t="b">
        <v>1</v>
      </c>
      <c r="L1676" t="b">
        <v>1</v>
      </c>
      <c r="M1676" t="s">
        <v>3899</v>
      </c>
    </row>
    <row r="1677" spans="1:25" x14ac:dyDescent="0.2">
      <c r="A1677">
        <v>240</v>
      </c>
      <c r="B1677" t="s">
        <v>3895</v>
      </c>
      <c r="C1677" t="s">
        <v>18</v>
      </c>
      <c r="D1677" t="s">
        <v>3900</v>
      </c>
      <c r="E1677" t="s">
        <v>3901</v>
      </c>
      <c r="F1677" t="s">
        <v>82</v>
      </c>
      <c r="G1677" t="s">
        <v>265</v>
      </c>
      <c r="H1677" t="b">
        <v>1</v>
      </c>
      <c r="I1677" t="b">
        <v>1</v>
      </c>
      <c r="L1677" t="b">
        <v>1</v>
      </c>
      <c r="M1677" t="s">
        <v>3902</v>
      </c>
    </row>
    <row r="1678" spans="1:25" x14ac:dyDescent="0.2">
      <c r="A1678">
        <v>241</v>
      </c>
      <c r="B1678" t="s">
        <v>3895</v>
      </c>
      <c r="C1678" t="s">
        <v>18</v>
      </c>
      <c r="D1678" t="s">
        <v>3903</v>
      </c>
      <c r="E1678" t="s">
        <v>3904</v>
      </c>
      <c r="F1678" t="s">
        <v>159</v>
      </c>
      <c r="G1678" t="s">
        <v>265</v>
      </c>
      <c r="H1678" t="b">
        <v>0</v>
      </c>
      <c r="I1678" t="b">
        <v>0</v>
      </c>
      <c r="L1678" t="b">
        <v>0</v>
      </c>
      <c r="M1678" t="s">
        <v>3905</v>
      </c>
      <c r="N1678" t="s">
        <v>3906</v>
      </c>
      <c r="O1678" t="s">
        <v>3907</v>
      </c>
      <c r="P1678" t="s">
        <v>3908</v>
      </c>
    </row>
    <row r="1679" spans="1:25" x14ac:dyDescent="0.2">
      <c r="A1679">
        <v>242</v>
      </c>
      <c r="B1679" t="s">
        <v>3895</v>
      </c>
      <c r="C1679" t="s">
        <v>18</v>
      </c>
      <c r="D1679" t="s">
        <v>3909</v>
      </c>
      <c r="E1679" t="s">
        <v>3910</v>
      </c>
      <c r="F1679" t="s">
        <v>159</v>
      </c>
      <c r="G1679" t="s">
        <v>265</v>
      </c>
      <c r="H1679" t="b">
        <v>0</v>
      </c>
      <c r="I1679" t="b">
        <v>0</v>
      </c>
      <c r="L1679" t="b">
        <v>0</v>
      </c>
      <c r="M1679" t="s">
        <v>3911</v>
      </c>
      <c r="N1679" t="s">
        <v>3912</v>
      </c>
    </row>
    <row r="1680" spans="1:25" x14ac:dyDescent="0.2">
      <c r="A1680">
        <v>243</v>
      </c>
      <c r="B1680" t="s">
        <v>3895</v>
      </c>
      <c r="C1680" t="s">
        <v>18</v>
      </c>
      <c r="D1680" t="s">
        <v>3913</v>
      </c>
      <c r="E1680" t="s">
        <v>3914</v>
      </c>
      <c r="F1680" t="s">
        <v>1837</v>
      </c>
      <c r="G1680" t="s">
        <v>265</v>
      </c>
      <c r="H1680" t="b">
        <v>0</v>
      </c>
      <c r="I1680" t="b">
        <v>0</v>
      </c>
      <c r="L1680" t="b">
        <v>0</v>
      </c>
      <c r="M1680" t="s">
        <v>3915</v>
      </c>
      <c r="N1680" t="s">
        <v>3916</v>
      </c>
    </row>
    <row r="1682" spans="1:25" x14ac:dyDescent="0.2">
      <c r="A1682" s="2">
        <v>2380</v>
      </c>
      <c r="B1682" s="2" t="s">
        <v>3917</v>
      </c>
      <c r="C1682" s="2" t="s">
        <v>13</v>
      </c>
      <c r="D1682" s="2" t="s">
        <v>3918</v>
      </c>
      <c r="E1682" s="2" t="s">
        <v>3919</v>
      </c>
      <c r="F1682" s="2" t="s">
        <v>174</v>
      </c>
      <c r="G1682" s="2" t="s">
        <v>17</v>
      </c>
      <c r="H1682" s="2"/>
      <c r="I1682" s="2"/>
      <c r="J1682" s="2"/>
      <c r="K1682" s="2"/>
      <c r="L1682" s="2"/>
      <c r="M1682" s="2"/>
      <c r="N1682" s="2"/>
      <c r="O1682" s="2"/>
      <c r="P1682" s="2"/>
      <c r="Q1682" s="2"/>
      <c r="R1682" s="2"/>
      <c r="S1682" s="2"/>
      <c r="T1682" s="2"/>
      <c r="U1682" s="2"/>
      <c r="V1682" s="2"/>
      <c r="W1682" s="2"/>
      <c r="X1682" s="2"/>
      <c r="Y1682" s="2"/>
    </row>
    <row r="1683" spans="1:25" x14ac:dyDescent="0.2">
      <c r="A1683">
        <v>2381</v>
      </c>
      <c r="B1683" t="s">
        <v>3917</v>
      </c>
      <c r="C1683" t="s">
        <v>18</v>
      </c>
      <c r="D1683" t="s">
        <v>3918</v>
      </c>
      <c r="E1683" t="s">
        <v>3919</v>
      </c>
      <c r="F1683" t="s">
        <v>174</v>
      </c>
      <c r="G1683" t="s">
        <v>17</v>
      </c>
      <c r="H1683" t="b">
        <v>1</v>
      </c>
      <c r="I1683" t="b">
        <v>1</v>
      </c>
      <c r="L1683" t="b">
        <v>1</v>
      </c>
      <c r="M1683" t="s">
        <v>3920</v>
      </c>
      <c r="N1683" t="s">
        <v>3921</v>
      </c>
    </row>
    <row r="1684" spans="1:25" x14ac:dyDescent="0.2">
      <c r="A1684">
        <v>2382</v>
      </c>
      <c r="B1684" t="s">
        <v>3917</v>
      </c>
      <c r="C1684" t="s">
        <v>18</v>
      </c>
      <c r="D1684" t="s">
        <v>3922</v>
      </c>
      <c r="E1684" t="s">
        <v>3923</v>
      </c>
      <c r="F1684" t="s">
        <v>174</v>
      </c>
      <c r="G1684" t="s">
        <v>17</v>
      </c>
      <c r="H1684" t="b">
        <v>0</v>
      </c>
      <c r="I1684" t="b">
        <v>0</v>
      </c>
      <c r="L1684" t="b">
        <v>0</v>
      </c>
    </row>
    <row r="1685" spans="1:25" x14ac:dyDescent="0.2">
      <c r="A1685">
        <v>2383</v>
      </c>
      <c r="B1685" t="s">
        <v>3917</v>
      </c>
      <c r="C1685" t="s">
        <v>18</v>
      </c>
      <c r="D1685" t="s">
        <v>3924</v>
      </c>
      <c r="E1685" t="s">
        <v>3925</v>
      </c>
      <c r="F1685" t="s">
        <v>174</v>
      </c>
      <c r="G1685" t="s">
        <v>17</v>
      </c>
      <c r="H1685" t="b">
        <v>0</v>
      </c>
      <c r="I1685" t="b">
        <v>0</v>
      </c>
      <c r="L1685" t="b">
        <v>0</v>
      </c>
    </row>
    <row r="1686" spans="1:25" x14ac:dyDescent="0.2">
      <c r="A1686">
        <v>2384</v>
      </c>
      <c r="B1686" t="s">
        <v>3917</v>
      </c>
      <c r="C1686" t="s">
        <v>18</v>
      </c>
      <c r="D1686" t="s">
        <v>3926</v>
      </c>
      <c r="E1686" t="s">
        <v>3927</v>
      </c>
      <c r="F1686" t="s">
        <v>174</v>
      </c>
      <c r="G1686" t="s">
        <v>17</v>
      </c>
      <c r="H1686" t="b">
        <v>0</v>
      </c>
      <c r="I1686" t="b">
        <v>0</v>
      </c>
      <c r="L1686" t="b">
        <v>0</v>
      </c>
    </row>
    <row r="1687" spans="1:25" x14ac:dyDescent="0.2">
      <c r="A1687">
        <v>2385</v>
      </c>
      <c r="B1687" t="s">
        <v>3917</v>
      </c>
      <c r="C1687" t="s">
        <v>18</v>
      </c>
      <c r="D1687" t="s">
        <v>1973</v>
      </c>
      <c r="E1687" t="s">
        <v>1974</v>
      </c>
      <c r="F1687" t="s">
        <v>168</v>
      </c>
      <c r="G1687" t="s">
        <v>17</v>
      </c>
      <c r="H1687" t="b">
        <v>0</v>
      </c>
      <c r="I1687" t="b">
        <v>0</v>
      </c>
      <c r="L1687" t="b">
        <v>0</v>
      </c>
      <c r="M1687" t="s">
        <v>1975</v>
      </c>
      <c r="N1687" t="s">
        <v>1976</v>
      </c>
      <c r="O1687" t="s">
        <v>1977</v>
      </c>
      <c r="P1687" t="s">
        <v>1978</v>
      </c>
    </row>
    <row r="1689" spans="1:25" x14ac:dyDescent="0.2">
      <c r="A1689" s="2">
        <v>2387</v>
      </c>
      <c r="B1689" s="2" t="s">
        <v>3928</v>
      </c>
      <c r="C1689" s="2" t="s">
        <v>13</v>
      </c>
      <c r="D1689" s="2" t="s">
        <v>3929</v>
      </c>
      <c r="E1689" s="2" t="s">
        <v>3930</v>
      </c>
      <c r="F1689" s="2" t="s">
        <v>717</v>
      </c>
      <c r="G1689" s="2" t="s">
        <v>32</v>
      </c>
      <c r="H1689" s="2"/>
      <c r="I1689" s="2"/>
      <c r="J1689" s="2"/>
      <c r="K1689" s="2"/>
      <c r="L1689" s="2"/>
      <c r="M1689" s="2"/>
      <c r="N1689" s="2"/>
      <c r="O1689" s="2"/>
      <c r="P1689" s="2"/>
      <c r="Q1689" s="2"/>
      <c r="R1689" s="2"/>
      <c r="S1689" s="2"/>
      <c r="T1689" s="2"/>
      <c r="U1689" s="2"/>
      <c r="V1689" s="2"/>
      <c r="W1689" s="2"/>
      <c r="X1689" s="2"/>
      <c r="Y1689" s="2"/>
    </row>
    <row r="1690" spans="1:25" x14ac:dyDescent="0.2">
      <c r="A1690">
        <v>2388</v>
      </c>
      <c r="B1690" t="s">
        <v>3928</v>
      </c>
      <c r="C1690" t="s">
        <v>18</v>
      </c>
      <c r="D1690" t="s">
        <v>3929</v>
      </c>
      <c r="E1690" t="s">
        <v>3930</v>
      </c>
      <c r="F1690" t="s">
        <v>717</v>
      </c>
      <c r="G1690" t="s">
        <v>32</v>
      </c>
      <c r="H1690" t="b">
        <v>1</v>
      </c>
      <c r="I1690" t="b">
        <v>1</v>
      </c>
      <c r="L1690" t="b">
        <v>1</v>
      </c>
      <c r="M1690" t="s">
        <v>3931</v>
      </c>
      <c r="N1690" t="s">
        <v>3932</v>
      </c>
      <c r="O1690" t="s">
        <v>3933</v>
      </c>
      <c r="P1690" t="s">
        <v>3934</v>
      </c>
    </row>
    <row r="1691" spans="1:25" x14ac:dyDescent="0.2">
      <c r="A1691">
        <v>2389</v>
      </c>
      <c r="B1691" t="s">
        <v>3928</v>
      </c>
      <c r="C1691" t="s">
        <v>18</v>
      </c>
      <c r="D1691" t="s">
        <v>608</v>
      </c>
      <c r="E1691" t="s">
        <v>609</v>
      </c>
      <c r="F1691" t="s">
        <v>82</v>
      </c>
      <c r="G1691" t="s">
        <v>32</v>
      </c>
      <c r="H1691" t="b">
        <v>0</v>
      </c>
      <c r="I1691" t="b">
        <v>0</v>
      </c>
      <c r="L1691" t="b">
        <v>0</v>
      </c>
      <c r="M1691" t="s">
        <v>610</v>
      </c>
      <c r="N1691" t="s">
        <v>611</v>
      </c>
    </row>
    <row r="1692" spans="1:25" x14ac:dyDescent="0.2">
      <c r="A1692">
        <v>2390</v>
      </c>
      <c r="B1692" t="s">
        <v>3928</v>
      </c>
      <c r="C1692" t="s">
        <v>18</v>
      </c>
      <c r="D1692" t="s">
        <v>1618</v>
      </c>
      <c r="E1692" t="s">
        <v>1619</v>
      </c>
      <c r="F1692" t="s">
        <v>31</v>
      </c>
      <c r="G1692" t="s">
        <v>17</v>
      </c>
      <c r="H1692" t="b">
        <v>0</v>
      </c>
      <c r="I1692" t="b">
        <v>0</v>
      </c>
      <c r="L1692" t="b">
        <v>0</v>
      </c>
      <c r="M1692" t="s">
        <v>1620</v>
      </c>
      <c r="N1692" t="s">
        <v>1621</v>
      </c>
      <c r="O1692" t="s">
        <v>1622</v>
      </c>
    </row>
    <row r="1693" spans="1:25" x14ac:dyDescent="0.2">
      <c r="A1693">
        <v>2391</v>
      </c>
      <c r="B1693" t="s">
        <v>3928</v>
      </c>
      <c r="C1693" t="s">
        <v>18</v>
      </c>
      <c r="D1693" t="s">
        <v>1623</v>
      </c>
      <c r="E1693" t="s">
        <v>1624</v>
      </c>
      <c r="F1693" t="s">
        <v>78</v>
      </c>
      <c r="G1693" t="s">
        <v>88</v>
      </c>
      <c r="H1693" t="b">
        <v>0</v>
      </c>
      <c r="I1693" t="b">
        <v>0</v>
      </c>
      <c r="L1693" t="b">
        <v>0</v>
      </c>
      <c r="M1693" t="s">
        <v>1625</v>
      </c>
      <c r="N1693" t="s">
        <v>1626</v>
      </c>
      <c r="O1693" t="s">
        <v>1627</v>
      </c>
      <c r="P1693" t="s">
        <v>1628</v>
      </c>
    </row>
    <row r="1694" spans="1:25" x14ac:dyDescent="0.2">
      <c r="A1694">
        <v>2392</v>
      </c>
      <c r="B1694" t="s">
        <v>3928</v>
      </c>
      <c r="C1694" t="s">
        <v>18</v>
      </c>
      <c r="D1694" t="s">
        <v>2905</v>
      </c>
      <c r="E1694" t="s">
        <v>2906</v>
      </c>
      <c r="F1694" t="s">
        <v>174</v>
      </c>
      <c r="G1694" t="s">
        <v>17</v>
      </c>
      <c r="H1694" t="b">
        <v>0</v>
      </c>
      <c r="I1694" t="b">
        <v>0</v>
      </c>
      <c r="L1694" t="b">
        <v>0</v>
      </c>
      <c r="M1694" t="s">
        <v>2907</v>
      </c>
      <c r="N1694" t="s">
        <v>2908</v>
      </c>
    </row>
    <row r="1696" spans="1:25" x14ac:dyDescent="0.2">
      <c r="A1696" s="2">
        <v>2471</v>
      </c>
      <c r="B1696" s="2" t="s">
        <v>3935</v>
      </c>
      <c r="C1696" s="2" t="s">
        <v>13</v>
      </c>
      <c r="D1696" s="2" t="s">
        <v>3936</v>
      </c>
      <c r="E1696" s="2" t="s">
        <v>3937</v>
      </c>
      <c r="F1696" s="2" t="s">
        <v>717</v>
      </c>
      <c r="G1696" s="2" t="s">
        <v>1405</v>
      </c>
      <c r="H1696" s="2"/>
      <c r="I1696" s="2"/>
      <c r="J1696" s="2"/>
      <c r="K1696" s="2"/>
      <c r="L1696" s="2"/>
      <c r="M1696" s="2"/>
      <c r="N1696" s="2"/>
      <c r="O1696" s="2"/>
      <c r="P1696" s="2"/>
      <c r="Q1696" s="2"/>
      <c r="R1696" s="2"/>
      <c r="S1696" s="2"/>
      <c r="T1696" s="2"/>
      <c r="U1696" s="2"/>
      <c r="V1696" s="2"/>
      <c r="W1696" s="2"/>
      <c r="X1696" s="2"/>
      <c r="Y1696" s="2"/>
    </row>
    <row r="1697" spans="1:25" x14ac:dyDescent="0.2">
      <c r="A1697">
        <v>2472</v>
      </c>
      <c r="B1697" t="s">
        <v>3935</v>
      </c>
      <c r="C1697" t="s">
        <v>18</v>
      </c>
      <c r="D1697" t="s">
        <v>3936</v>
      </c>
      <c r="E1697" t="s">
        <v>2941</v>
      </c>
      <c r="F1697" t="s">
        <v>717</v>
      </c>
      <c r="G1697" t="s">
        <v>1406</v>
      </c>
      <c r="H1697" t="b">
        <v>1</v>
      </c>
      <c r="K1697" t="b">
        <v>1</v>
      </c>
      <c r="L1697" t="b">
        <v>1</v>
      </c>
      <c r="M1697" t="s">
        <v>3938</v>
      </c>
      <c r="N1697" t="s">
        <v>3939</v>
      </c>
    </row>
    <row r="1698" spans="1:25" x14ac:dyDescent="0.2">
      <c r="A1698">
        <v>2473</v>
      </c>
      <c r="B1698" t="s">
        <v>3935</v>
      </c>
      <c r="C1698" t="s">
        <v>18</v>
      </c>
      <c r="D1698" t="s">
        <v>3940</v>
      </c>
      <c r="E1698" t="s">
        <v>3941</v>
      </c>
      <c r="F1698" t="s">
        <v>717</v>
      </c>
      <c r="G1698" t="s">
        <v>1406</v>
      </c>
      <c r="H1698" t="b">
        <v>1</v>
      </c>
      <c r="K1698" t="b">
        <v>1</v>
      </c>
      <c r="L1698" t="b">
        <v>1</v>
      </c>
      <c r="M1698" t="s">
        <v>3942</v>
      </c>
      <c r="N1698" t="s">
        <v>3943</v>
      </c>
    </row>
    <row r="1699" spans="1:25" x14ac:dyDescent="0.2">
      <c r="A1699">
        <v>2474</v>
      </c>
      <c r="B1699" t="s">
        <v>3935</v>
      </c>
      <c r="C1699" t="s">
        <v>18</v>
      </c>
      <c r="D1699" t="s">
        <v>3944</v>
      </c>
      <c r="E1699" t="s">
        <v>3945</v>
      </c>
      <c r="F1699" t="s">
        <v>574</v>
      </c>
      <c r="G1699" t="s">
        <v>1406</v>
      </c>
      <c r="H1699" t="b">
        <v>0</v>
      </c>
      <c r="K1699" t="b">
        <v>0</v>
      </c>
      <c r="L1699" t="b">
        <v>0</v>
      </c>
      <c r="M1699" t="s">
        <v>3946</v>
      </c>
      <c r="N1699" t="s">
        <v>3947</v>
      </c>
    </row>
    <row r="1700" spans="1:25" x14ac:dyDescent="0.2">
      <c r="A1700">
        <v>2475</v>
      </c>
      <c r="B1700" t="s">
        <v>3935</v>
      </c>
      <c r="C1700" t="s">
        <v>18</v>
      </c>
      <c r="D1700" t="s">
        <v>3948</v>
      </c>
      <c r="E1700" t="s">
        <v>377</v>
      </c>
      <c r="F1700" t="s">
        <v>574</v>
      </c>
      <c r="G1700" t="s">
        <v>1406</v>
      </c>
      <c r="H1700" t="b">
        <v>0</v>
      </c>
      <c r="K1700" t="b">
        <v>0</v>
      </c>
      <c r="L1700" t="b">
        <v>0</v>
      </c>
      <c r="M1700" t="s">
        <v>3949</v>
      </c>
      <c r="N1700" t="s">
        <v>3950</v>
      </c>
    </row>
    <row r="1701" spans="1:25" x14ac:dyDescent="0.2">
      <c r="A1701">
        <v>2476</v>
      </c>
      <c r="B1701" t="s">
        <v>3935</v>
      </c>
      <c r="C1701" t="s">
        <v>18</v>
      </c>
      <c r="D1701" t="s">
        <v>3951</v>
      </c>
      <c r="E1701" t="s">
        <v>3952</v>
      </c>
      <c r="F1701" t="s">
        <v>616</v>
      </c>
      <c r="G1701" t="s">
        <v>1406</v>
      </c>
      <c r="H1701" t="b">
        <v>0</v>
      </c>
      <c r="K1701" t="b">
        <v>0</v>
      </c>
      <c r="L1701" t="b">
        <v>0</v>
      </c>
      <c r="M1701" t="s">
        <v>3953</v>
      </c>
    </row>
    <row r="1703" spans="1:25" x14ac:dyDescent="0.2">
      <c r="A1703" s="2">
        <v>2485</v>
      </c>
      <c r="B1703" s="2" t="s">
        <v>3954</v>
      </c>
      <c r="C1703" s="2" t="s">
        <v>13</v>
      </c>
      <c r="D1703" s="2" t="s">
        <v>3955</v>
      </c>
      <c r="E1703" s="2" t="s">
        <v>3956</v>
      </c>
      <c r="F1703" s="2" t="s">
        <v>1077</v>
      </c>
      <c r="G1703" s="2" t="s">
        <v>1405</v>
      </c>
      <c r="H1703" s="2"/>
      <c r="I1703" s="2"/>
      <c r="J1703" s="2"/>
      <c r="K1703" s="2"/>
      <c r="L1703" s="2"/>
      <c r="M1703" s="2"/>
      <c r="N1703" s="2"/>
      <c r="O1703" s="2"/>
      <c r="P1703" s="2"/>
      <c r="Q1703" s="2"/>
      <c r="R1703" s="2"/>
      <c r="S1703" s="2"/>
      <c r="T1703" s="2"/>
      <c r="U1703" s="2"/>
      <c r="V1703" s="2"/>
      <c r="W1703" s="2"/>
      <c r="X1703" s="2"/>
      <c r="Y1703" s="2"/>
    </row>
    <row r="1704" spans="1:25" x14ac:dyDescent="0.2">
      <c r="A1704">
        <v>2486</v>
      </c>
      <c r="B1704" t="s">
        <v>3954</v>
      </c>
      <c r="C1704" t="s">
        <v>18</v>
      </c>
      <c r="D1704" t="s">
        <v>3957</v>
      </c>
      <c r="E1704" t="s">
        <v>3958</v>
      </c>
      <c r="F1704" t="s">
        <v>1077</v>
      </c>
      <c r="G1704" t="s">
        <v>1406</v>
      </c>
      <c r="H1704" t="b">
        <v>1</v>
      </c>
      <c r="I1704" t="b">
        <v>1</v>
      </c>
      <c r="L1704" t="b">
        <v>1</v>
      </c>
      <c r="M1704" t="s">
        <v>3959</v>
      </c>
      <c r="N1704" t="s">
        <v>3960</v>
      </c>
    </row>
    <row r="1705" spans="1:25" x14ac:dyDescent="0.2">
      <c r="A1705">
        <v>2487</v>
      </c>
      <c r="B1705" t="s">
        <v>3954</v>
      </c>
      <c r="C1705" t="s">
        <v>18</v>
      </c>
      <c r="D1705" t="s">
        <v>3936</v>
      </c>
      <c r="E1705" t="s">
        <v>2941</v>
      </c>
      <c r="F1705" t="s">
        <v>717</v>
      </c>
      <c r="G1705" t="s">
        <v>1406</v>
      </c>
      <c r="H1705" t="b">
        <v>0</v>
      </c>
      <c r="I1705" t="b">
        <v>0</v>
      </c>
      <c r="L1705" t="b">
        <v>0</v>
      </c>
      <c r="M1705" t="s">
        <v>3938</v>
      </c>
      <c r="N1705" t="s">
        <v>3939</v>
      </c>
    </row>
    <row r="1706" spans="1:25" x14ac:dyDescent="0.2">
      <c r="A1706">
        <v>2488</v>
      </c>
      <c r="B1706" t="s">
        <v>3954</v>
      </c>
      <c r="C1706" t="s">
        <v>18</v>
      </c>
      <c r="D1706" t="s">
        <v>3961</v>
      </c>
      <c r="E1706" t="s">
        <v>3962</v>
      </c>
      <c r="F1706" t="s">
        <v>456</v>
      </c>
      <c r="G1706" t="s">
        <v>1406</v>
      </c>
      <c r="H1706" t="b">
        <v>0</v>
      </c>
      <c r="I1706" t="b">
        <v>0</v>
      </c>
      <c r="L1706" t="b">
        <v>0</v>
      </c>
      <c r="M1706" t="s">
        <v>3963</v>
      </c>
      <c r="N1706" t="s">
        <v>3964</v>
      </c>
      <c r="O1706" t="s">
        <v>3965</v>
      </c>
      <c r="P1706" t="s">
        <v>3966</v>
      </c>
    </row>
    <row r="1707" spans="1:25" x14ac:dyDescent="0.2">
      <c r="A1707">
        <v>2489</v>
      </c>
      <c r="B1707" t="s">
        <v>3954</v>
      </c>
      <c r="C1707" t="s">
        <v>18</v>
      </c>
      <c r="D1707" t="s">
        <v>3944</v>
      </c>
      <c r="E1707" t="s">
        <v>3945</v>
      </c>
      <c r="F1707" t="s">
        <v>574</v>
      </c>
      <c r="G1707" t="s">
        <v>1406</v>
      </c>
      <c r="H1707" t="b">
        <v>0</v>
      </c>
      <c r="I1707" t="b">
        <v>0</v>
      </c>
      <c r="L1707" t="b">
        <v>0</v>
      </c>
      <c r="M1707" t="s">
        <v>3946</v>
      </c>
      <c r="N1707" t="s">
        <v>3947</v>
      </c>
    </row>
    <row r="1708" spans="1:25" x14ac:dyDescent="0.2">
      <c r="A1708">
        <v>2490</v>
      </c>
      <c r="B1708" t="s">
        <v>3954</v>
      </c>
      <c r="C1708" t="s">
        <v>18</v>
      </c>
      <c r="D1708" t="s">
        <v>3948</v>
      </c>
      <c r="E1708" t="s">
        <v>377</v>
      </c>
      <c r="F1708" t="s">
        <v>574</v>
      </c>
      <c r="G1708" t="s">
        <v>1406</v>
      </c>
      <c r="H1708" t="b">
        <v>0</v>
      </c>
      <c r="I1708" t="b">
        <v>0</v>
      </c>
      <c r="L1708" t="b">
        <v>0</v>
      </c>
      <c r="M1708" t="s">
        <v>3949</v>
      </c>
      <c r="N1708" t="s">
        <v>3950</v>
      </c>
    </row>
    <row r="1710" spans="1:25" x14ac:dyDescent="0.2">
      <c r="A1710" s="2">
        <v>2499</v>
      </c>
      <c r="B1710" s="2" t="s">
        <v>3967</v>
      </c>
      <c r="C1710" s="2" t="s">
        <v>13</v>
      </c>
      <c r="D1710" s="2" t="s">
        <v>3968</v>
      </c>
      <c r="E1710" s="2" t="s">
        <v>3969</v>
      </c>
      <c r="F1710" s="2" t="s">
        <v>148</v>
      </c>
      <c r="G1710" s="2" t="s">
        <v>1405</v>
      </c>
      <c r="H1710" s="2"/>
      <c r="I1710" s="2"/>
      <c r="J1710" s="2"/>
      <c r="K1710" s="2"/>
      <c r="L1710" s="2"/>
      <c r="M1710" s="2"/>
      <c r="N1710" s="2"/>
      <c r="O1710" s="2"/>
      <c r="P1710" s="2"/>
      <c r="Q1710" s="2"/>
      <c r="R1710" s="2"/>
      <c r="S1710" s="2"/>
      <c r="T1710" s="2"/>
      <c r="U1710" s="2"/>
      <c r="V1710" s="2"/>
      <c r="W1710" s="2"/>
      <c r="X1710" s="2"/>
      <c r="Y1710" s="2"/>
    </row>
    <row r="1711" spans="1:25" x14ac:dyDescent="0.2">
      <c r="A1711">
        <v>2500</v>
      </c>
      <c r="B1711" t="s">
        <v>3967</v>
      </c>
      <c r="C1711" t="s">
        <v>18</v>
      </c>
      <c r="D1711" t="s">
        <v>3968</v>
      </c>
      <c r="E1711" t="s">
        <v>3969</v>
      </c>
      <c r="F1711" t="s">
        <v>148</v>
      </c>
      <c r="G1711" t="s">
        <v>1406</v>
      </c>
      <c r="H1711" t="b">
        <v>1</v>
      </c>
      <c r="K1711" t="b">
        <v>1</v>
      </c>
      <c r="L1711" t="b">
        <v>1</v>
      </c>
      <c r="M1711" t="s">
        <v>3970</v>
      </c>
      <c r="N1711" t="s">
        <v>745</v>
      </c>
    </row>
    <row r="1712" spans="1:25" x14ac:dyDescent="0.2">
      <c r="A1712">
        <v>2501</v>
      </c>
      <c r="B1712" t="s">
        <v>3967</v>
      </c>
      <c r="C1712" t="s">
        <v>18</v>
      </c>
      <c r="D1712" t="s">
        <v>3971</v>
      </c>
      <c r="E1712" t="s">
        <v>2608</v>
      </c>
      <c r="F1712" t="s">
        <v>82</v>
      </c>
      <c r="G1712" t="s">
        <v>1406</v>
      </c>
      <c r="H1712" t="b">
        <v>0</v>
      </c>
      <c r="K1712" t="b">
        <v>0</v>
      </c>
      <c r="L1712" t="b">
        <v>0</v>
      </c>
      <c r="M1712" t="s">
        <v>3972</v>
      </c>
    </row>
    <row r="1713" spans="1:25" x14ac:dyDescent="0.2">
      <c r="A1713">
        <v>2502</v>
      </c>
      <c r="B1713" t="s">
        <v>3967</v>
      </c>
      <c r="C1713" t="s">
        <v>18</v>
      </c>
      <c r="D1713" t="s">
        <v>3951</v>
      </c>
      <c r="E1713" t="s">
        <v>3952</v>
      </c>
      <c r="F1713" t="s">
        <v>616</v>
      </c>
      <c r="G1713" t="s">
        <v>1406</v>
      </c>
      <c r="H1713" t="b">
        <v>0</v>
      </c>
      <c r="K1713" t="b">
        <v>0</v>
      </c>
      <c r="L1713" t="b">
        <v>0</v>
      </c>
      <c r="M1713" t="s">
        <v>3953</v>
      </c>
    </row>
    <row r="1714" spans="1:25" x14ac:dyDescent="0.2">
      <c r="A1714">
        <v>2503</v>
      </c>
      <c r="B1714" t="s">
        <v>3967</v>
      </c>
      <c r="C1714" t="s">
        <v>18</v>
      </c>
      <c r="D1714" t="s">
        <v>3973</v>
      </c>
      <c r="E1714" t="s">
        <v>3974</v>
      </c>
      <c r="F1714" t="s">
        <v>205</v>
      </c>
      <c r="G1714" t="s">
        <v>1406</v>
      </c>
      <c r="H1714" t="b">
        <v>0</v>
      </c>
      <c r="K1714" t="b">
        <v>0</v>
      </c>
      <c r="L1714" t="b">
        <v>0</v>
      </c>
      <c r="M1714" t="s">
        <v>3975</v>
      </c>
      <c r="N1714" t="s">
        <v>3976</v>
      </c>
    </row>
    <row r="1715" spans="1:25" x14ac:dyDescent="0.2">
      <c r="A1715">
        <v>2504</v>
      </c>
      <c r="B1715" t="s">
        <v>3967</v>
      </c>
      <c r="C1715" t="s">
        <v>18</v>
      </c>
      <c r="D1715" t="s">
        <v>3977</v>
      </c>
      <c r="E1715" t="s">
        <v>3978</v>
      </c>
      <c r="F1715" t="s">
        <v>670</v>
      </c>
      <c r="G1715" t="s">
        <v>1406</v>
      </c>
      <c r="H1715" t="b">
        <v>0</v>
      </c>
      <c r="K1715" t="b">
        <v>0</v>
      </c>
      <c r="L1715" t="b">
        <v>0</v>
      </c>
      <c r="M1715" t="s">
        <v>3979</v>
      </c>
      <c r="N1715" t="s">
        <v>3980</v>
      </c>
    </row>
    <row r="1717" spans="1:25" x14ac:dyDescent="0.2">
      <c r="A1717" s="2">
        <v>2506</v>
      </c>
      <c r="B1717" s="2" t="s">
        <v>3981</v>
      </c>
      <c r="C1717" s="2" t="s">
        <v>13</v>
      </c>
      <c r="D1717" s="2" t="s">
        <v>3982</v>
      </c>
      <c r="E1717" s="2" t="s">
        <v>3978</v>
      </c>
      <c r="F1717" s="2" t="s">
        <v>670</v>
      </c>
      <c r="G1717" s="2" t="s">
        <v>1405</v>
      </c>
      <c r="H1717" s="2"/>
      <c r="I1717" s="2"/>
      <c r="J1717" s="2"/>
      <c r="K1717" s="2"/>
      <c r="L1717" s="2"/>
      <c r="M1717" s="2"/>
      <c r="N1717" s="2"/>
      <c r="O1717" s="2"/>
      <c r="P1717" s="2"/>
      <c r="Q1717" s="2"/>
      <c r="R1717" s="2"/>
      <c r="S1717" s="2"/>
      <c r="T1717" s="2"/>
      <c r="U1717" s="2"/>
      <c r="V1717" s="2"/>
      <c r="W1717" s="2"/>
      <c r="X1717" s="2"/>
      <c r="Y1717" s="2"/>
    </row>
    <row r="1718" spans="1:25" x14ac:dyDescent="0.2">
      <c r="A1718">
        <v>2507</v>
      </c>
      <c r="B1718" t="s">
        <v>3981</v>
      </c>
      <c r="C1718" t="s">
        <v>18</v>
      </c>
      <c r="D1718" t="s">
        <v>3977</v>
      </c>
      <c r="E1718" t="s">
        <v>3978</v>
      </c>
      <c r="F1718" t="s">
        <v>670</v>
      </c>
      <c r="G1718" t="s">
        <v>1406</v>
      </c>
      <c r="H1718" t="b">
        <v>1</v>
      </c>
      <c r="I1718" t="b">
        <v>1</v>
      </c>
      <c r="L1718" t="b">
        <v>1</v>
      </c>
      <c r="M1718" t="s">
        <v>3979</v>
      </c>
      <c r="N1718" t="s">
        <v>3980</v>
      </c>
    </row>
    <row r="1719" spans="1:25" x14ac:dyDescent="0.2">
      <c r="A1719">
        <v>2508</v>
      </c>
      <c r="B1719" t="s">
        <v>3981</v>
      </c>
      <c r="C1719" t="s">
        <v>18</v>
      </c>
      <c r="D1719" t="s">
        <v>3971</v>
      </c>
      <c r="E1719" t="s">
        <v>2608</v>
      </c>
      <c r="F1719" t="s">
        <v>82</v>
      </c>
      <c r="G1719" t="s">
        <v>1406</v>
      </c>
      <c r="H1719" t="b">
        <v>0</v>
      </c>
      <c r="I1719" t="b">
        <v>0</v>
      </c>
      <c r="L1719" t="b">
        <v>0</v>
      </c>
      <c r="M1719" t="s">
        <v>3972</v>
      </c>
    </row>
    <row r="1720" spans="1:25" x14ac:dyDescent="0.2">
      <c r="A1720">
        <v>2509</v>
      </c>
      <c r="B1720" t="s">
        <v>3981</v>
      </c>
      <c r="C1720" t="s">
        <v>18</v>
      </c>
      <c r="D1720" t="s">
        <v>3983</v>
      </c>
      <c r="E1720" t="s">
        <v>3984</v>
      </c>
      <c r="F1720" t="s">
        <v>23</v>
      </c>
      <c r="G1720" t="s">
        <v>1406</v>
      </c>
      <c r="H1720" t="b">
        <v>0</v>
      </c>
      <c r="I1720" t="b">
        <v>0</v>
      </c>
      <c r="L1720" t="b">
        <v>0</v>
      </c>
      <c r="M1720" t="s">
        <v>3985</v>
      </c>
    </row>
    <row r="1721" spans="1:25" x14ac:dyDescent="0.2">
      <c r="A1721">
        <v>2510</v>
      </c>
      <c r="B1721" t="s">
        <v>3981</v>
      </c>
      <c r="C1721" t="s">
        <v>18</v>
      </c>
      <c r="D1721" t="s">
        <v>3986</v>
      </c>
      <c r="E1721" t="s">
        <v>3987</v>
      </c>
      <c r="F1721" t="s">
        <v>3988</v>
      </c>
      <c r="G1721" t="s">
        <v>1406</v>
      </c>
      <c r="H1721" t="b">
        <v>0</v>
      </c>
      <c r="I1721" t="b">
        <v>0</v>
      </c>
      <c r="L1721" t="b">
        <v>0</v>
      </c>
      <c r="M1721" t="s">
        <v>3989</v>
      </c>
      <c r="N1721" t="s">
        <v>3990</v>
      </c>
    </row>
    <row r="1722" spans="1:25" x14ac:dyDescent="0.2">
      <c r="A1722">
        <v>2511</v>
      </c>
      <c r="B1722" t="s">
        <v>3981</v>
      </c>
      <c r="C1722" t="s">
        <v>18</v>
      </c>
      <c r="D1722" t="s">
        <v>3991</v>
      </c>
      <c r="E1722" t="s">
        <v>3992</v>
      </c>
      <c r="F1722" t="s">
        <v>144</v>
      </c>
      <c r="G1722" t="s">
        <v>1406</v>
      </c>
      <c r="H1722" t="b">
        <v>0</v>
      </c>
      <c r="I1722" t="b">
        <v>0</v>
      </c>
      <c r="L1722" t="b">
        <v>0</v>
      </c>
      <c r="M1722" t="s">
        <v>3993</v>
      </c>
      <c r="N1722" t="s">
        <v>3994</v>
      </c>
    </row>
    <row r="1724" spans="1:25" x14ac:dyDescent="0.2">
      <c r="A1724" s="2">
        <v>2520</v>
      </c>
      <c r="B1724" s="2" t="s">
        <v>3995</v>
      </c>
      <c r="C1724" s="2" t="s">
        <v>13</v>
      </c>
      <c r="D1724" s="2" t="s">
        <v>3996</v>
      </c>
      <c r="E1724" s="2" t="s">
        <v>3997</v>
      </c>
      <c r="F1724" s="2" t="s">
        <v>205</v>
      </c>
      <c r="G1724" s="2" t="s">
        <v>1405</v>
      </c>
      <c r="H1724" s="2"/>
      <c r="I1724" s="2"/>
      <c r="J1724" s="2"/>
      <c r="K1724" s="2"/>
      <c r="L1724" s="2"/>
      <c r="M1724" s="2"/>
      <c r="N1724" s="2"/>
      <c r="O1724" s="2"/>
      <c r="P1724" s="2"/>
      <c r="Q1724" s="2"/>
      <c r="R1724" s="2"/>
      <c r="S1724" s="2"/>
      <c r="T1724" s="2"/>
      <c r="U1724" s="2"/>
      <c r="V1724" s="2"/>
      <c r="W1724" s="2"/>
      <c r="X1724" s="2"/>
      <c r="Y1724" s="2"/>
    </row>
    <row r="1725" spans="1:25" x14ac:dyDescent="0.2">
      <c r="A1725">
        <v>2521</v>
      </c>
      <c r="B1725" t="s">
        <v>3995</v>
      </c>
      <c r="C1725" t="s">
        <v>18</v>
      </c>
      <c r="D1725" t="s">
        <v>3998</v>
      </c>
      <c r="E1725" t="s">
        <v>3999</v>
      </c>
      <c r="F1725" t="s">
        <v>205</v>
      </c>
      <c r="G1725" t="s">
        <v>1406</v>
      </c>
      <c r="H1725" t="b">
        <v>0</v>
      </c>
      <c r="I1725" t="b">
        <v>1</v>
      </c>
      <c r="L1725" t="b">
        <v>1</v>
      </c>
      <c r="M1725" t="s">
        <v>4000</v>
      </c>
    </row>
    <row r="1726" spans="1:25" x14ac:dyDescent="0.2">
      <c r="A1726">
        <v>2522</v>
      </c>
      <c r="B1726" t="s">
        <v>3995</v>
      </c>
      <c r="C1726" t="s">
        <v>18</v>
      </c>
      <c r="D1726" t="s">
        <v>3973</v>
      </c>
      <c r="E1726" t="s">
        <v>3974</v>
      </c>
      <c r="F1726" t="s">
        <v>205</v>
      </c>
      <c r="G1726" t="s">
        <v>1406</v>
      </c>
      <c r="H1726" t="b">
        <v>0</v>
      </c>
      <c r="I1726" t="b">
        <v>1</v>
      </c>
      <c r="L1726" t="b">
        <v>1</v>
      </c>
      <c r="M1726" t="s">
        <v>3975</v>
      </c>
      <c r="N1726" t="s">
        <v>3976</v>
      </c>
    </row>
    <row r="1727" spans="1:25" x14ac:dyDescent="0.2">
      <c r="A1727">
        <v>2523</v>
      </c>
      <c r="B1727" t="s">
        <v>3995</v>
      </c>
      <c r="C1727" t="s">
        <v>18</v>
      </c>
      <c r="D1727" t="s">
        <v>3948</v>
      </c>
      <c r="E1727" t="s">
        <v>377</v>
      </c>
      <c r="F1727" t="s">
        <v>574</v>
      </c>
      <c r="G1727" t="s">
        <v>1406</v>
      </c>
      <c r="H1727" t="b">
        <v>0</v>
      </c>
      <c r="I1727" t="b">
        <v>0</v>
      </c>
      <c r="L1727" t="b">
        <v>0</v>
      </c>
      <c r="M1727" t="s">
        <v>3949</v>
      </c>
      <c r="N1727" t="s">
        <v>3950</v>
      </c>
    </row>
    <row r="1728" spans="1:25" x14ac:dyDescent="0.2">
      <c r="A1728">
        <v>2524</v>
      </c>
      <c r="B1728" t="s">
        <v>3995</v>
      </c>
      <c r="C1728" t="s">
        <v>18</v>
      </c>
      <c r="D1728" t="s">
        <v>3944</v>
      </c>
      <c r="E1728" t="s">
        <v>3945</v>
      </c>
      <c r="F1728" t="s">
        <v>574</v>
      </c>
      <c r="G1728" t="s">
        <v>1406</v>
      </c>
      <c r="H1728" t="b">
        <v>0</v>
      </c>
      <c r="I1728" t="b">
        <v>0</v>
      </c>
      <c r="L1728" t="b">
        <v>0</v>
      </c>
      <c r="M1728" t="s">
        <v>3946</v>
      </c>
      <c r="N1728" t="s">
        <v>3947</v>
      </c>
    </row>
    <row r="1729" spans="1:25" x14ac:dyDescent="0.2">
      <c r="A1729">
        <v>2525</v>
      </c>
      <c r="B1729" t="s">
        <v>3995</v>
      </c>
      <c r="C1729" t="s">
        <v>18</v>
      </c>
      <c r="D1729" t="s">
        <v>3940</v>
      </c>
      <c r="E1729" t="s">
        <v>3941</v>
      </c>
      <c r="F1729" t="s">
        <v>717</v>
      </c>
      <c r="G1729" t="s">
        <v>1406</v>
      </c>
      <c r="H1729" t="b">
        <v>0</v>
      </c>
      <c r="I1729" t="b">
        <v>0</v>
      </c>
      <c r="L1729" t="b">
        <v>0</v>
      </c>
      <c r="M1729" t="s">
        <v>3942</v>
      </c>
      <c r="N1729" t="s">
        <v>3943</v>
      </c>
    </row>
    <row r="1731" spans="1:25" x14ac:dyDescent="0.2">
      <c r="A1731" s="2">
        <v>2527</v>
      </c>
      <c r="B1731" s="2" t="s">
        <v>4001</v>
      </c>
      <c r="C1731" s="2" t="s">
        <v>13</v>
      </c>
      <c r="D1731" s="2" t="s">
        <v>4002</v>
      </c>
      <c r="E1731" s="2" t="s">
        <v>4003</v>
      </c>
      <c r="F1731" s="2" t="s">
        <v>616</v>
      </c>
      <c r="G1731" s="2" t="s">
        <v>1405</v>
      </c>
      <c r="H1731" s="2"/>
      <c r="I1731" s="2"/>
      <c r="J1731" s="2"/>
      <c r="K1731" s="2"/>
      <c r="L1731" s="2"/>
      <c r="M1731" s="2"/>
      <c r="N1731" s="2"/>
      <c r="O1731" s="2"/>
      <c r="P1731" s="2"/>
      <c r="Q1731" s="2"/>
      <c r="R1731" s="2"/>
      <c r="S1731" s="2"/>
      <c r="T1731" s="2"/>
      <c r="U1731" s="2"/>
      <c r="V1731" s="2"/>
      <c r="W1731" s="2"/>
      <c r="X1731" s="2"/>
      <c r="Y1731" s="2"/>
    </row>
    <row r="1732" spans="1:25" x14ac:dyDescent="0.2">
      <c r="A1732">
        <v>2528</v>
      </c>
      <c r="B1732" t="s">
        <v>4001</v>
      </c>
      <c r="C1732" t="s">
        <v>18</v>
      </c>
      <c r="D1732" t="s">
        <v>3951</v>
      </c>
      <c r="E1732" t="s">
        <v>3952</v>
      </c>
      <c r="F1732" t="s">
        <v>616</v>
      </c>
      <c r="G1732" t="s">
        <v>1406</v>
      </c>
      <c r="H1732" t="b">
        <v>1</v>
      </c>
      <c r="I1732" t="b">
        <v>1</v>
      </c>
      <c r="L1732" t="b">
        <v>1</v>
      </c>
      <c r="M1732" t="s">
        <v>3953</v>
      </c>
    </row>
    <row r="1733" spans="1:25" x14ac:dyDescent="0.2">
      <c r="A1733">
        <v>2529</v>
      </c>
      <c r="B1733" t="s">
        <v>4001</v>
      </c>
      <c r="C1733" t="s">
        <v>18</v>
      </c>
      <c r="D1733" t="s">
        <v>3948</v>
      </c>
      <c r="E1733" t="s">
        <v>377</v>
      </c>
      <c r="F1733" t="s">
        <v>574</v>
      </c>
      <c r="G1733" t="s">
        <v>1406</v>
      </c>
      <c r="H1733" t="b">
        <v>0</v>
      </c>
      <c r="I1733" t="b">
        <v>0</v>
      </c>
      <c r="L1733" t="b">
        <v>0</v>
      </c>
      <c r="M1733" t="s">
        <v>3949</v>
      </c>
      <c r="N1733" t="s">
        <v>3950</v>
      </c>
    </row>
    <row r="1734" spans="1:25" x14ac:dyDescent="0.2">
      <c r="A1734">
        <v>2530</v>
      </c>
      <c r="B1734" t="s">
        <v>4001</v>
      </c>
      <c r="C1734" t="s">
        <v>18</v>
      </c>
      <c r="D1734" t="s">
        <v>3940</v>
      </c>
      <c r="E1734" t="s">
        <v>3941</v>
      </c>
      <c r="F1734" t="s">
        <v>717</v>
      </c>
      <c r="G1734" t="s">
        <v>1406</v>
      </c>
      <c r="H1734" t="b">
        <v>0</v>
      </c>
      <c r="I1734" t="b">
        <v>0</v>
      </c>
      <c r="L1734" t="b">
        <v>0</v>
      </c>
      <c r="M1734" t="s">
        <v>3942</v>
      </c>
      <c r="N1734" t="s">
        <v>3943</v>
      </c>
    </row>
    <row r="1735" spans="1:25" x14ac:dyDescent="0.2">
      <c r="A1735">
        <v>2531</v>
      </c>
      <c r="B1735" t="s">
        <v>4001</v>
      </c>
      <c r="C1735" t="s">
        <v>18</v>
      </c>
      <c r="D1735" t="s">
        <v>3936</v>
      </c>
      <c r="E1735" t="s">
        <v>2941</v>
      </c>
      <c r="F1735" t="s">
        <v>717</v>
      </c>
      <c r="G1735" t="s">
        <v>1406</v>
      </c>
      <c r="H1735" t="b">
        <v>0</v>
      </c>
      <c r="I1735" t="b">
        <v>0</v>
      </c>
      <c r="L1735" t="b">
        <v>0</v>
      </c>
      <c r="M1735" t="s">
        <v>3938</v>
      </c>
      <c r="N1735" t="s">
        <v>3939</v>
      </c>
    </row>
    <row r="1736" spans="1:25" x14ac:dyDescent="0.2">
      <c r="A1736">
        <v>2532</v>
      </c>
      <c r="B1736" t="s">
        <v>4001</v>
      </c>
      <c r="C1736" t="s">
        <v>18</v>
      </c>
      <c r="D1736" t="s">
        <v>3998</v>
      </c>
      <c r="E1736" t="s">
        <v>3999</v>
      </c>
      <c r="F1736" t="s">
        <v>205</v>
      </c>
      <c r="G1736" t="s">
        <v>1406</v>
      </c>
      <c r="H1736" t="b">
        <v>0</v>
      </c>
      <c r="I1736" t="b">
        <v>0</v>
      </c>
      <c r="L1736" t="b">
        <v>0</v>
      </c>
      <c r="M1736" t="s">
        <v>4000</v>
      </c>
    </row>
    <row r="1738" spans="1:25" x14ac:dyDescent="0.2">
      <c r="A1738" s="2">
        <v>2562</v>
      </c>
      <c r="B1738" s="2" t="s">
        <v>4004</v>
      </c>
      <c r="C1738" s="2" t="s">
        <v>13</v>
      </c>
      <c r="D1738" s="2" t="s">
        <v>4005</v>
      </c>
      <c r="E1738" s="2" t="s">
        <v>4006</v>
      </c>
      <c r="F1738" s="2" t="s">
        <v>717</v>
      </c>
      <c r="G1738" s="2" t="s">
        <v>1405</v>
      </c>
      <c r="H1738" s="2"/>
      <c r="I1738" s="2"/>
      <c r="J1738" s="2"/>
      <c r="K1738" s="2"/>
      <c r="L1738" s="2"/>
      <c r="M1738" s="2"/>
      <c r="N1738" s="2"/>
      <c r="O1738" s="2"/>
      <c r="P1738" s="2"/>
      <c r="Q1738" s="2"/>
      <c r="R1738" s="2"/>
      <c r="S1738" s="2"/>
      <c r="T1738" s="2"/>
      <c r="U1738" s="2"/>
      <c r="V1738" s="2"/>
      <c r="W1738" s="2"/>
      <c r="X1738" s="2"/>
      <c r="Y1738" s="2"/>
    </row>
    <row r="1739" spans="1:25" x14ac:dyDescent="0.2">
      <c r="A1739">
        <v>2563</v>
      </c>
      <c r="B1739" t="s">
        <v>4004</v>
      </c>
      <c r="C1739" t="s">
        <v>18</v>
      </c>
      <c r="D1739" t="s">
        <v>4007</v>
      </c>
      <c r="E1739" t="s">
        <v>4008</v>
      </c>
      <c r="F1739" t="s">
        <v>717</v>
      </c>
      <c r="G1739" t="s">
        <v>1406</v>
      </c>
      <c r="H1739" t="b">
        <v>1</v>
      </c>
      <c r="I1739" t="b">
        <v>1</v>
      </c>
      <c r="L1739" t="b">
        <v>1</v>
      </c>
      <c r="M1739" t="s">
        <v>4009</v>
      </c>
      <c r="N1739" t="s">
        <v>4010</v>
      </c>
    </row>
    <row r="1740" spans="1:25" x14ac:dyDescent="0.2">
      <c r="A1740">
        <v>2564</v>
      </c>
      <c r="B1740" t="s">
        <v>4004</v>
      </c>
      <c r="C1740" t="s">
        <v>18</v>
      </c>
      <c r="D1740" t="s">
        <v>3948</v>
      </c>
      <c r="E1740" t="s">
        <v>377</v>
      </c>
      <c r="F1740" t="s">
        <v>574</v>
      </c>
      <c r="G1740" t="s">
        <v>1406</v>
      </c>
      <c r="H1740" t="b">
        <v>0</v>
      </c>
      <c r="I1740" t="b">
        <v>0</v>
      </c>
      <c r="L1740" t="b">
        <v>0</v>
      </c>
      <c r="M1740" t="s">
        <v>3949</v>
      </c>
      <c r="N1740" t="s">
        <v>3950</v>
      </c>
    </row>
    <row r="1741" spans="1:25" x14ac:dyDescent="0.2">
      <c r="A1741">
        <v>2565</v>
      </c>
      <c r="B1741" t="s">
        <v>4004</v>
      </c>
      <c r="C1741" t="s">
        <v>18</v>
      </c>
      <c r="D1741" t="s">
        <v>3940</v>
      </c>
      <c r="E1741" t="s">
        <v>3941</v>
      </c>
      <c r="F1741" t="s">
        <v>717</v>
      </c>
      <c r="G1741" t="s">
        <v>1406</v>
      </c>
      <c r="H1741" t="b">
        <v>0</v>
      </c>
      <c r="I1741" t="b">
        <v>0</v>
      </c>
      <c r="L1741" t="b">
        <v>0</v>
      </c>
      <c r="M1741" t="s">
        <v>3942</v>
      </c>
      <c r="N1741" t="s">
        <v>3943</v>
      </c>
    </row>
    <row r="1742" spans="1:25" x14ac:dyDescent="0.2">
      <c r="A1742">
        <v>2566</v>
      </c>
      <c r="B1742" t="s">
        <v>4004</v>
      </c>
      <c r="C1742" t="s">
        <v>18</v>
      </c>
      <c r="D1742" t="s">
        <v>3936</v>
      </c>
      <c r="E1742" t="s">
        <v>2941</v>
      </c>
      <c r="F1742" t="s">
        <v>717</v>
      </c>
      <c r="G1742" t="s">
        <v>1406</v>
      </c>
      <c r="H1742" t="b">
        <v>0</v>
      </c>
      <c r="I1742" t="b">
        <v>0</v>
      </c>
      <c r="L1742" t="b">
        <v>0</v>
      </c>
      <c r="M1742" t="s">
        <v>3938</v>
      </c>
      <c r="N1742" t="s">
        <v>3939</v>
      </c>
    </row>
    <row r="1743" spans="1:25" x14ac:dyDescent="0.2">
      <c r="A1743">
        <v>2567</v>
      </c>
      <c r="B1743" t="s">
        <v>4004</v>
      </c>
      <c r="C1743" t="s">
        <v>18</v>
      </c>
      <c r="D1743" t="s">
        <v>3951</v>
      </c>
      <c r="E1743" t="s">
        <v>3952</v>
      </c>
      <c r="F1743" t="s">
        <v>616</v>
      </c>
      <c r="G1743" t="s">
        <v>1406</v>
      </c>
      <c r="H1743" t="b">
        <v>0</v>
      </c>
      <c r="I1743" t="b">
        <v>0</v>
      </c>
      <c r="L1743" t="b">
        <v>0</v>
      </c>
      <c r="M1743" t="s">
        <v>3953</v>
      </c>
    </row>
    <row r="1745" spans="1:25" x14ac:dyDescent="0.2">
      <c r="A1745" s="2">
        <v>2569</v>
      </c>
      <c r="B1745" s="2" t="s">
        <v>4011</v>
      </c>
      <c r="C1745" s="2" t="s">
        <v>13</v>
      </c>
      <c r="D1745" s="2" t="s">
        <v>4012</v>
      </c>
      <c r="E1745" s="2" t="s">
        <v>4013</v>
      </c>
      <c r="F1745" s="2" t="s">
        <v>717</v>
      </c>
      <c r="G1745" s="2" t="s">
        <v>1405</v>
      </c>
      <c r="H1745" s="2"/>
      <c r="I1745" s="2"/>
      <c r="J1745" s="2"/>
      <c r="K1745" s="2"/>
      <c r="L1745" s="2"/>
      <c r="M1745" s="2"/>
      <c r="N1745" s="2"/>
      <c r="O1745" s="2"/>
      <c r="P1745" s="2"/>
      <c r="Q1745" s="2"/>
      <c r="R1745" s="2"/>
      <c r="S1745" s="2"/>
      <c r="T1745" s="2"/>
      <c r="U1745" s="2"/>
      <c r="V1745" s="2"/>
      <c r="W1745" s="2"/>
      <c r="X1745" s="2"/>
      <c r="Y1745" s="2"/>
    </row>
    <row r="1746" spans="1:25" x14ac:dyDescent="0.2">
      <c r="A1746">
        <v>2570</v>
      </c>
      <c r="B1746" t="s">
        <v>4011</v>
      </c>
      <c r="C1746" t="s">
        <v>18</v>
      </c>
      <c r="D1746" t="s">
        <v>4014</v>
      </c>
      <c r="E1746" t="s">
        <v>4015</v>
      </c>
      <c r="F1746" t="s">
        <v>717</v>
      </c>
      <c r="G1746" t="s">
        <v>1406</v>
      </c>
      <c r="H1746" t="b">
        <v>1</v>
      </c>
      <c r="K1746" t="b">
        <v>1</v>
      </c>
      <c r="L1746" t="b">
        <v>1</v>
      </c>
      <c r="M1746" t="s">
        <v>4016</v>
      </c>
      <c r="N1746" t="s">
        <v>4017</v>
      </c>
    </row>
    <row r="1747" spans="1:25" x14ac:dyDescent="0.2">
      <c r="A1747">
        <v>2571</v>
      </c>
      <c r="B1747" t="s">
        <v>4011</v>
      </c>
      <c r="C1747" t="s">
        <v>18</v>
      </c>
      <c r="D1747" t="s">
        <v>3971</v>
      </c>
      <c r="E1747" t="s">
        <v>2608</v>
      </c>
      <c r="F1747" t="s">
        <v>82</v>
      </c>
      <c r="G1747" t="s">
        <v>1406</v>
      </c>
      <c r="H1747" t="b">
        <v>0</v>
      </c>
      <c r="K1747" t="b">
        <v>0</v>
      </c>
      <c r="L1747" t="b">
        <v>0</v>
      </c>
      <c r="M1747" t="s">
        <v>3972</v>
      </c>
    </row>
    <row r="1748" spans="1:25" x14ac:dyDescent="0.2">
      <c r="A1748">
        <v>2572</v>
      </c>
      <c r="B1748" t="s">
        <v>4011</v>
      </c>
      <c r="C1748" t="s">
        <v>18</v>
      </c>
      <c r="D1748" t="s">
        <v>3948</v>
      </c>
      <c r="E1748" t="s">
        <v>377</v>
      </c>
      <c r="F1748" t="s">
        <v>574</v>
      </c>
      <c r="G1748" t="s">
        <v>1406</v>
      </c>
      <c r="H1748" t="b">
        <v>0</v>
      </c>
      <c r="K1748" t="b">
        <v>0</v>
      </c>
      <c r="L1748" t="b">
        <v>0</v>
      </c>
      <c r="M1748" t="s">
        <v>3949</v>
      </c>
      <c r="N1748" t="s">
        <v>3950</v>
      </c>
    </row>
    <row r="1749" spans="1:25" x14ac:dyDescent="0.2">
      <c r="A1749">
        <v>2573</v>
      </c>
      <c r="B1749" t="s">
        <v>4011</v>
      </c>
      <c r="C1749" t="s">
        <v>18</v>
      </c>
      <c r="D1749" t="s">
        <v>3973</v>
      </c>
      <c r="E1749" t="s">
        <v>3974</v>
      </c>
      <c r="F1749" t="s">
        <v>205</v>
      </c>
      <c r="G1749" t="s">
        <v>1406</v>
      </c>
      <c r="H1749" t="b">
        <v>0</v>
      </c>
      <c r="K1749" t="b">
        <v>0</v>
      </c>
      <c r="L1749" t="b">
        <v>0</v>
      </c>
      <c r="M1749" t="s">
        <v>3975</v>
      </c>
      <c r="N1749" t="s">
        <v>3976</v>
      </c>
    </row>
    <row r="1750" spans="1:25" x14ac:dyDescent="0.2">
      <c r="A1750">
        <v>2574</v>
      </c>
      <c r="B1750" t="s">
        <v>4011</v>
      </c>
      <c r="C1750" t="s">
        <v>18</v>
      </c>
      <c r="D1750" t="s">
        <v>3940</v>
      </c>
      <c r="E1750" t="s">
        <v>3941</v>
      </c>
      <c r="F1750" t="s">
        <v>717</v>
      </c>
      <c r="G1750" t="s">
        <v>1406</v>
      </c>
      <c r="H1750" t="b">
        <v>0</v>
      </c>
      <c r="K1750" t="b">
        <v>0</v>
      </c>
      <c r="L1750" t="b">
        <v>0</v>
      </c>
      <c r="M1750" t="s">
        <v>3942</v>
      </c>
      <c r="N1750" t="s">
        <v>3943</v>
      </c>
    </row>
    <row r="1752" spans="1:25" x14ac:dyDescent="0.2">
      <c r="A1752" s="2">
        <v>2576</v>
      </c>
      <c r="B1752" s="2" t="s">
        <v>4018</v>
      </c>
      <c r="C1752" s="2" t="s">
        <v>13</v>
      </c>
      <c r="D1752" s="2" t="s">
        <v>4019</v>
      </c>
      <c r="E1752" s="2" t="s">
        <v>4020</v>
      </c>
      <c r="F1752" s="2" t="s">
        <v>151</v>
      </c>
      <c r="G1752" s="2" t="s">
        <v>24</v>
      </c>
      <c r="H1752" s="2"/>
      <c r="I1752" s="2"/>
      <c r="J1752" s="2"/>
      <c r="K1752" s="2"/>
      <c r="L1752" s="2"/>
      <c r="M1752" s="2"/>
      <c r="N1752" s="2"/>
      <c r="O1752" s="2"/>
      <c r="P1752" s="2"/>
      <c r="Q1752" s="2"/>
      <c r="R1752" s="2"/>
      <c r="S1752" s="2"/>
      <c r="T1752" s="2"/>
      <c r="U1752" s="2"/>
      <c r="V1752" s="2"/>
      <c r="W1752" s="2"/>
      <c r="X1752" s="2"/>
      <c r="Y1752" s="2"/>
    </row>
    <row r="1753" spans="1:25" x14ac:dyDescent="0.2">
      <c r="A1753">
        <v>2577</v>
      </c>
      <c r="B1753" t="s">
        <v>4018</v>
      </c>
      <c r="C1753" t="s">
        <v>18</v>
      </c>
      <c r="D1753" t="s">
        <v>4019</v>
      </c>
      <c r="E1753" t="s">
        <v>4020</v>
      </c>
      <c r="F1753" t="s">
        <v>151</v>
      </c>
      <c r="G1753" t="s">
        <v>24</v>
      </c>
      <c r="H1753" t="b">
        <v>1</v>
      </c>
      <c r="I1753" t="b">
        <v>1</v>
      </c>
      <c r="L1753" t="b">
        <v>1</v>
      </c>
      <c r="M1753" t="s">
        <v>4021</v>
      </c>
      <c r="N1753" t="s">
        <v>4022</v>
      </c>
    </row>
    <row r="1754" spans="1:25" x14ac:dyDescent="0.2">
      <c r="A1754">
        <v>2578</v>
      </c>
      <c r="B1754" t="s">
        <v>4018</v>
      </c>
      <c r="C1754" t="s">
        <v>18</v>
      </c>
      <c r="D1754" t="s">
        <v>4023</v>
      </c>
      <c r="E1754" t="s">
        <v>4024</v>
      </c>
      <c r="F1754" t="s">
        <v>151</v>
      </c>
      <c r="G1754" t="s">
        <v>24</v>
      </c>
      <c r="H1754" t="b">
        <v>0</v>
      </c>
      <c r="I1754" t="b">
        <v>0</v>
      </c>
      <c r="L1754" t="b">
        <v>0</v>
      </c>
      <c r="M1754" t="s">
        <v>4025</v>
      </c>
      <c r="N1754" t="s">
        <v>4026</v>
      </c>
    </row>
    <row r="1755" spans="1:25" x14ac:dyDescent="0.2">
      <c r="A1755">
        <v>2579</v>
      </c>
      <c r="B1755" t="s">
        <v>4018</v>
      </c>
      <c r="C1755" t="s">
        <v>18</v>
      </c>
      <c r="D1755" t="s">
        <v>4027</v>
      </c>
      <c r="E1755" t="s">
        <v>4028</v>
      </c>
      <c r="F1755" t="s">
        <v>151</v>
      </c>
      <c r="G1755" t="s">
        <v>24</v>
      </c>
      <c r="H1755" t="b">
        <v>0</v>
      </c>
      <c r="I1755" t="b">
        <v>0</v>
      </c>
      <c r="L1755" t="b">
        <v>0</v>
      </c>
      <c r="M1755" t="s">
        <v>4029</v>
      </c>
    </row>
    <row r="1756" spans="1:25" x14ac:dyDescent="0.2">
      <c r="A1756">
        <v>2580</v>
      </c>
      <c r="B1756" t="s">
        <v>4018</v>
      </c>
      <c r="C1756" t="s">
        <v>18</v>
      </c>
      <c r="D1756" t="s">
        <v>346</v>
      </c>
      <c r="E1756" t="s">
        <v>347</v>
      </c>
      <c r="F1756" t="s">
        <v>151</v>
      </c>
      <c r="G1756" t="s">
        <v>24</v>
      </c>
      <c r="H1756" t="b">
        <v>0</v>
      </c>
      <c r="I1756" t="b">
        <v>0</v>
      </c>
      <c r="L1756" t="b">
        <v>0</v>
      </c>
      <c r="M1756" t="s">
        <v>4030</v>
      </c>
    </row>
    <row r="1757" spans="1:25" x14ac:dyDescent="0.2">
      <c r="A1757">
        <v>2581</v>
      </c>
      <c r="B1757" t="s">
        <v>4018</v>
      </c>
      <c r="C1757" t="s">
        <v>18</v>
      </c>
      <c r="D1757" t="s">
        <v>4031</v>
      </c>
      <c r="E1757" t="s">
        <v>4032</v>
      </c>
      <c r="F1757" t="s">
        <v>151</v>
      </c>
      <c r="G1757" t="s">
        <v>24</v>
      </c>
      <c r="H1757" t="b">
        <v>0</v>
      </c>
      <c r="I1757" t="b">
        <v>0</v>
      </c>
      <c r="L1757" t="b">
        <v>0</v>
      </c>
      <c r="M1757" t="s">
        <v>4033</v>
      </c>
    </row>
    <row r="1759" spans="1:25" x14ac:dyDescent="0.2">
      <c r="A1759" s="2">
        <v>2590</v>
      </c>
      <c r="B1759" s="2" t="s">
        <v>4034</v>
      </c>
      <c r="C1759" s="2" t="s">
        <v>13</v>
      </c>
      <c r="D1759" s="2" t="s">
        <v>1907</v>
      </c>
      <c r="E1759" s="2" t="s">
        <v>1908</v>
      </c>
      <c r="F1759" s="2" t="s">
        <v>151</v>
      </c>
      <c r="G1759" s="2" t="s">
        <v>17</v>
      </c>
      <c r="H1759" s="2"/>
      <c r="I1759" s="2"/>
      <c r="J1759" s="2"/>
      <c r="K1759" s="2"/>
      <c r="L1759" s="2"/>
      <c r="M1759" s="2"/>
      <c r="N1759" s="2"/>
      <c r="O1759" s="2"/>
      <c r="P1759" s="2"/>
      <c r="Q1759" s="2"/>
      <c r="R1759" s="2"/>
      <c r="S1759" s="2"/>
      <c r="T1759" s="2"/>
      <c r="U1759" s="2"/>
      <c r="V1759" s="2"/>
      <c r="W1759" s="2"/>
      <c r="X1759" s="2"/>
      <c r="Y1759" s="2"/>
    </row>
    <row r="1760" spans="1:25" x14ac:dyDescent="0.2">
      <c r="A1760">
        <v>2591</v>
      </c>
      <c r="B1760" t="s">
        <v>4034</v>
      </c>
      <c r="C1760" t="s">
        <v>18</v>
      </c>
      <c r="D1760" t="s">
        <v>1907</v>
      </c>
      <c r="E1760" t="s">
        <v>1908</v>
      </c>
      <c r="F1760" t="s">
        <v>151</v>
      </c>
      <c r="G1760" t="s">
        <v>17</v>
      </c>
      <c r="H1760" t="b">
        <v>1</v>
      </c>
      <c r="I1760" t="b">
        <v>1</v>
      </c>
      <c r="L1760" t="b">
        <v>1</v>
      </c>
      <c r="M1760" t="s">
        <v>1909</v>
      </c>
      <c r="N1760" t="s">
        <v>1910</v>
      </c>
    </row>
    <row r="1761" spans="1:25" x14ac:dyDescent="0.2">
      <c r="A1761">
        <v>2592</v>
      </c>
      <c r="B1761" t="s">
        <v>4034</v>
      </c>
      <c r="C1761" t="s">
        <v>18</v>
      </c>
      <c r="D1761" t="s">
        <v>3449</v>
      </c>
      <c r="E1761" t="s">
        <v>3450</v>
      </c>
      <c r="F1761" t="s">
        <v>151</v>
      </c>
      <c r="G1761" t="s">
        <v>17</v>
      </c>
      <c r="H1761" t="b">
        <v>0</v>
      </c>
      <c r="I1761" t="b">
        <v>0</v>
      </c>
      <c r="L1761" t="b">
        <v>0</v>
      </c>
      <c r="M1761" t="s">
        <v>3451</v>
      </c>
      <c r="N1761" t="s">
        <v>3452</v>
      </c>
    </row>
    <row r="1762" spans="1:25" x14ac:dyDescent="0.2">
      <c r="A1762">
        <v>2593</v>
      </c>
      <c r="B1762" t="s">
        <v>4034</v>
      </c>
      <c r="C1762" t="s">
        <v>18</v>
      </c>
      <c r="D1762" t="s">
        <v>4035</v>
      </c>
      <c r="E1762" t="s">
        <v>4036</v>
      </c>
      <c r="F1762" t="s">
        <v>151</v>
      </c>
      <c r="G1762" t="s">
        <v>17</v>
      </c>
      <c r="H1762" t="b">
        <v>0</v>
      </c>
      <c r="I1762" t="b">
        <v>0</v>
      </c>
      <c r="L1762" t="b">
        <v>0</v>
      </c>
    </row>
    <row r="1763" spans="1:25" x14ac:dyDescent="0.2">
      <c r="A1763">
        <v>2594</v>
      </c>
      <c r="B1763" t="s">
        <v>4034</v>
      </c>
      <c r="C1763" t="s">
        <v>18</v>
      </c>
      <c r="D1763" t="s">
        <v>1896</v>
      </c>
      <c r="E1763" t="s">
        <v>1897</v>
      </c>
      <c r="F1763" t="s">
        <v>1898</v>
      </c>
      <c r="G1763" t="s">
        <v>17</v>
      </c>
      <c r="H1763" t="b">
        <v>0</v>
      </c>
      <c r="I1763" t="b">
        <v>0</v>
      </c>
      <c r="L1763" t="b">
        <v>0</v>
      </c>
      <c r="M1763" t="s">
        <v>1899</v>
      </c>
      <c r="N1763" t="s">
        <v>1900</v>
      </c>
    </row>
    <row r="1764" spans="1:25" x14ac:dyDescent="0.2">
      <c r="A1764">
        <v>2595</v>
      </c>
      <c r="B1764" t="s">
        <v>4034</v>
      </c>
      <c r="C1764" t="s">
        <v>18</v>
      </c>
      <c r="D1764" t="s">
        <v>1901</v>
      </c>
      <c r="E1764" t="s">
        <v>1902</v>
      </c>
      <c r="F1764" t="s">
        <v>82</v>
      </c>
      <c r="G1764" t="s">
        <v>17</v>
      </c>
      <c r="H1764" t="b">
        <v>0</v>
      </c>
      <c r="I1764" t="b">
        <v>0</v>
      </c>
      <c r="L1764" t="b">
        <v>0</v>
      </c>
      <c r="M1764" t="s">
        <v>1903</v>
      </c>
    </row>
    <row r="1766" spans="1:25" x14ac:dyDescent="0.2">
      <c r="A1766" s="2">
        <v>2632</v>
      </c>
      <c r="B1766" s="2" t="s">
        <v>4037</v>
      </c>
      <c r="C1766" s="2" t="s">
        <v>13</v>
      </c>
      <c r="D1766" s="2" t="s">
        <v>4038</v>
      </c>
      <c r="E1766" s="2" t="s">
        <v>4039</v>
      </c>
      <c r="F1766" s="2" t="s">
        <v>151</v>
      </c>
      <c r="G1766" s="2" t="s">
        <v>24</v>
      </c>
      <c r="H1766" s="2"/>
      <c r="I1766" s="2"/>
      <c r="J1766" s="2"/>
      <c r="K1766" s="2"/>
      <c r="L1766" s="2"/>
      <c r="M1766" s="2"/>
      <c r="N1766" s="2"/>
      <c r="O1766" s="2"/>
      <c r="P1766" s="2"/>
      <c r="Q1766" s="2"/>
      <c r="R1766" s="2"/>
      <c r="S1766" s="2"/>
      <c r="T1766" s="2"/>
      <c r="U1766" s="2"/>
      <c r="V1766" s="2"/>
      <c r="W1766" s="2"/>
      <c r="X1766" s="2"/>
      <c r="Y1766" s="2"/>
    </row>
    <row r="1767" spans="1:25" x14ac:dyDescent="0.2">
      <c r="A1767">
        <v>2633</v>
      </c>
      <c r="B1767" t="s">
        <v>4037</v>
      </c>
      <c r="C1767" t="s">
        <v>18</v>
      </c>
      <c r="D1767" t="s">
        <v>4038</v>
      </c>
      <c r="E1767" t="s">
        <v>4040</v>
      </c>
      <c r="F1767" t="s">
        <v>151</v>
      </c>
      <c r="G1767" t="s">
        <v>24</v>
      </c>
      <c r="H1767" t="b">
        <v>1</v>
      </c>
      <c r="K1767" t="b">
        <v>1</v>
      </c>
      <c r="L1767" t="b">
        <v>1</v>
      </c>
      <c r="M1767" t="s">
        <v>4041</v>
      </c>
      <c r="N1767" t="s">
        <v>4042</v>
      </c>
    </row>
    <row r="1768" spans="1:25" x14ac:dyDescent="0.2">
      <c r="A1768">
        <v>2634</v>
      </c>
      <c r="B1768" t="s">
        <v>4037</v>
      </c>
      <c r="C1768" t="s">
        <v>18</v>
      </c>
      <c r="D1768" t="s">
        <v>4043</v>
      </c>
      <c r="E1768" t="s">
        <v>4044</v>
      </c>
      <c r="F1768" t="s">
        <v>151</v>
      </c>
      <c r="G1768" t="s">
        <v>24</v>
      </c>
      <c r="H1768" t="b">
        <v>1</v>
      </c>
      <c r="K1768" t="b">
        <v>1</v>
      </c>
      <c r="L1768" t="b">
        <v>1</v>
      </c>
      <c r="M1768" t="s">
        <v>4045</v>
      </c>
      <c r="N1768" t="s">
        <v>4046</v>
      </c>
    </row>
    <row r="1769" spans="1:25" x14ac:dyDescent="0.2">
      <c r="A1769">
        <v>2635</v>
      </c>
      <c r="B1769" t="s">
        <v>4037</v>
      </c>
      <c r="C1769" t="s">
        <v>18</v>
      </c>
      <c r="D1769" t="s">
        <v>4047</v>
      </c>
      <c r="E1769" t="s">
        <v>4048</v>
      </c>
      <c r="F1769" t="s">
        <v>151</v>
      </c>
      <c r="G1769" t="s">
        <v>24</v>
      </c>
      <c r="H1769" t="b">
        <v>0</v>
      </c>
      <c r="K1769" t="b">
        <v>0</v>
      </c>
      <c r="L1769" t="b">
        <v>0</v>
      </c>
      <c r="M1769" t="s">
        <v>4049</v>
      </c>
    </row>
    <row r="1770" spans="1:25" x14ac:dyDescent="0.2">
      <c r="A1770">
        <v>2636</v>
      </c>
      <c r="B1770" t="s">
        <v>4037</v>
      </c>
      <c r="C1770" t="s">
        <v>18</v>
      </c>
      <c r="D1770" t="s">
        <v>4050</v>
      </c>
      <c r="E1770" t="s">
        <v>4051</v>
      </c>
      <c r="F1770" t="s">
        <v>1404</v>
      </c>
      <c r="G1770" t="s">
        <v>88</v>
      </c>
      <c r="H1770" t="b">
        <v>0</v>
      </c>
      <c r="K1770" t="b">
        <v>0</v>
      </c>
      <c r="L1770" t="b">
        <v>0</v>
      </c>
      <c r="M1770" t="s">
        <v>4052</v>
      </c>
      <c r="N1770" t="s">
        <v>4053</v>
      </c>
      <c r="O1770" t="s">
        <v>4054</v>
      </c>
      <c r="P1770" t="s">
        <v>4055</v>
      </c>
    </row>
    <row r="1771" spans="1:25" x14ac:dyDescent="0.2">
      <c r="A1771">
        <v>2637</v>
      </c>
      <c r="B1771" t="s">
        <v>4037</v>
      </c>
      <c r="C1771" t="s">
        <v>18</v>
      </c>
      <c r="D1771" t="s">
        <v>4056</v>
      </c>
      <c r="E1771" t="s">
        <v>1185</v>
      </c>
      <c r="F1771" t="s">
        <v>168</v>
      </c>
      <c r="G1771" t="s">
        <v>17</v>
      </c>
      <c r="H1771" t="b">
        <v>0</v>
      </c>
      <c r="K1771" t="b">
        <v>0</v>
      </c>
      <c r="L1771" t="b">
        <v>0</v>
      </c>
      <c r="M1771" t="s">
        <v>4057</v>
      </c>
      <c r="N1771" t="s">
        <v>4058</v>
      </c>
    </row>
    <row r="1773" spans="1:25" x14ac:dyDescent="0.2">
      <c r="A1773" s="2">
        <v>2639</v>
      </c>
      <c r="B1773" s="2" t="s">
        <v>4059</v>
      </c>
      <c r="C1773" s="2" t="s">
        <v>13</v>
      </c>
      <c r="D1773" s="2" t="s">
        <v>4060</v>
      </c>
      <c r="E1773" s="2" t="s">
        <v>4061</v>
      </c>
      <c r="F1773" s="2" t="s">
        <v>78</v>
      </c>
      <c r="G1773" s="2" t="s">
        <v>252</v>
      </c>
      <c r="H1773" s="2"/>
      <c r="I1773" s="2"/>
      <c r="J1773" s="2"/>
      <c r="K1773" s="2"/>
      <c r="L1773" s="2"/>
      <c r="M1773" s="2"/>
      <c r="N1773" s="2"/>
      <c r="O1773" s="2"/>
      <c r="P1773" s="2"/>
      <c r="Q1773" s="2"/>
      <c r="R1773" s="2"/>
      <c r="S1773" s="2"/>
      <c r="T1773" s="2"/>
      <c r="U1773" s="2"/>
      <c r="V1773" s="2"/>
      <c r="W1773" s="2"/>
      <c r="X1773" s="2"/>
      <c r="Y1773" s="2"/>
    </row>
    <row r="1774" spans="1:25" x14ac:dyDescent="0.2">
      <c r="A1774">
        <v>2640</v>
      </c>
      <c r="B1774" t="s">
        <v>4059</v>
      </c>
      <c r="C1774" t="s">
        <v>18</v>
      </c>
      <c r="D1774" t="s">
        <v>4060</v>
      </c>
      <c r="E1774" t="s">
        <v>2043</v>
      </c>
      <c r="F1774" t="s">
        <v>78</v>
      </c>
      <c r="G1774" t="s">
        <v>252</v>
      </c>
      <c r="H1774" t="b">
        <v>1</v>
      </c>
      <c r="K1774" t="b">
        <v>1</v>
      </c>
      <c r="L1774" t="b">
        <v>1</v>
      </c>
      <c r="M1774" t="s">
        <v>4062</v>
      </c>
    </row>
    <row r="1775" spans="1:25" x14ac:dyDescent="0.2">
      <c r="A1775">
        <v>2641</v>
      </c>
      <c r="B1775" t="s">
        <v>4059</v>
      </c>
      <c r="C1775" t="s">
        <v>18</v>
      </c>
      <c r="D1775" t="s">
        <v>4063</v>
      </c>
      <c r="E1775" t="s">
        <v>4064</v>
      </c>
      <c r="F1775" t="s">
        <v>78</v>
      </c>
      <c r="G1775" t="s">
        <v>252</v>
      </c>
      <c r="H1775" t="b">
        <v>1</v>
      </c>
      <c r="K1775" t="b">
        <v>1</v>
      </c>
      <c r="L1775" t="b">
        <v>1</v>
      </c>
      <c r="M1775" t="s">
        <v>4065</v>
      </c>
    </row>
    <row r="1776" spans="1:25" x14ac:dyDescent="0.2">
      <c r="A1776">
        <v>2642</v>
      </c>
      <c r="B1776" t="s">
        <v>4059</v>
      </c>
      <c r="C1776" t="s">
        <v>18</v>
      </c>
      <c r="D1776" t="s">
        <v>4066</v>
      </c>
      <c r="E1776" t="s">
        <v>4067</v>
      </c>
      <c r="F1776" t="s">
        <v>78</v>
      </c>
      <c r="G1776" t="s">
        <v>252</v>
      </c>
      <c r="H1776" t="b">
        <v>0</v>
      </c>
      <c r="K1776" t="b">
        <v>0</v>
      </c>
      <c r="L1776" t="b">
        <v>0</v>
      </c>
      <c r="M1776" t="s">
        <v>4068</v>
      </c>
      <c r="N1776" t="s">
        <v>4069</v>
      </c>
    </row>
    <row r="1777" spans="1:25" x14ac:dyDescent="0.2">
      <c r="A1777">
        <v>2643</v>
      </c>
      <c r="B1777" t="s">
        <v>4059</v>
      </c>
      <c r="C1777" t="s">
        <v>18</v>
      </c>
      <c r="D1777" t="s">
        <v>4070</v>
      </c>
      <c r="E1777" t="s">
        <v>4071</v>
      </c>
      <c r="F1777" t="s">
        <v>78</v>
      </c>
      <c r="G1777" t="s">
        <v>252</v>
      </c>
      <c r="H1777" t="b">
        <v>0</v>
      </c>
      <c r="K1777" t="b">
        <v>0</v>
      </c>
      <c r="L1777" t="b">
        <v>0</v>
      </c>
      <c r="M1777" t="s">
        <v>4072</v>
      </c>
    </row>
    <row r="1778" spans="1:25" x14ac:dyDescent="0.2">
      <c r="A1778">
        <v>2644</v>
      </c>
      <c r="B1778" t="s">
        <v>4059</v>
      </c>
      <c r="C1778" t="s">
        <v>18</v>
      </c>
      <c r="D1778" t="s">
        <v>4073</v>
      </c>
      <c r="E1778" t="s">
        <v>4074</v>
      </c>
      <c r="F1778" t="s">
        <v>78</v>
      </c>
      <c r="G1778" t="s">
        <v>252</v>
      </c>
      <c r="H1778" t="b">
        <v>0</v>
      </c>
      <c r="K1778" t="b">
        <v>0</v>
      </c>
      <c r="L1778" t="b">
        <v>0</v>
      </c>
    </row>
    <row r="1780" spans="1:25" x14ac:dyDescent="0.2">
      <c r="A1780" s="2">
        <v>2646</v>
      </c>
      <c r="B1780" s="2" t="s">
        <v>4075</v>
      </c>
      <c r="C1780" s="2" t="s">
        <v>13</v>
      </c>
      <c r="D1780" s="2" t="s">
        <v>4076</v>
      </c>
      <c r="E1780" s="2" t="s">
        <v>4077</v>
      </c>
      <c r="F1780" s="2" t="s">
        <v>168</v>
      </c>
      <c r="G1780" s="2" t="s">
        <v>17</v>
      </c>
      <c r="H1780" s="2"/>
      <c r="I1780" s="2"/>
      <c r="J1780" s="2"/>
      <c r="K1780" s="2"/>
      <c r="L1780" s="2"/>
      <c r="M1780" s="2"/>
      <c r="N1780" s="2"/>
      <c r="O1780" s="2"/>
      <c r="P1780" s="2"/>
      <c r="Q1780" s="2"/>
      <c r="R1780" s="2"/>
      <c r="S1780" s="2"/>
      <c r="T1780" s="2"/>
      <c r="U1780" s="2"/>
      <c r="V1780" s="2"/>
      <c r="W1780" s="2"/>
      <c r="X1780" s="2"/>
      <c r="Y1780" s="2"/>
    </row>
    <row r="1781" spans="1:25" x14ac:dyDescent="0.2">
      <c r="A1781">
        <v>2647</v>
      </c>
      <c r="B1781" t="s">
        <v>4075</v>
      </c>
      <c r="C1781" t="s">
        <v>18</v>
      </c>
      <c r="D1781" t="s">
        <v>4076</v>
      </c>
      <c r="E1781" t="s">
        <v>4078</v>
      </c>
      <c r="F1781" t="s">
        <v>168</v>
      </c>
      <c r="G1781" t="s">
        <v>17</v>
      </c>
      <c r="H1781" t="b">
        <v>1</v>
      </c>
      <c r="I1781" t="b">
        <v>1</v>
      </c>
      <c r="L1781" t="b">
        <v>1</v>
      </c>
      <c r="M1781" t="s">
        <v>4079</v>
      </c>
      <c r="N1781" t="s">
        <v>4080</v>
      </c>
    </row>
    <row r="1782" spans="1:25" x14ac:dyDescent="0.2">
      <c r="A1782">
        <v>2648</v>
      </c>
      <c r="B1782" t="s">
        <v>4075</v>
      </c>
      <c r="C1782" t="s">
        <v>18</v>
      </c>
      <c r="D1782" t="s">
        <v>4081</v>
      </c>
      <c r="E1782" t="s">
        <v>3000</v>
      </c>
      <c r="F1782" t="s">
        <v>168</v>
      </c>
      <c r="G1782" t="s">
        <v>17</v>
      </c>
      <c r="H1782" t="b">
        <v>1</v>
      </c>
      <c r="I1782" t="b">
        <v>1</v>
      </c>
      <c r="L1782" t="b">
        <v>1</v>
      </c>
      <c r="M1782" t="s">
        <v>4082</v>
      </c>
    </row>
    <row r="1783" spans="1:25" x14ac:dyDescent="0.2">
      <c r="A1783">
        <v>2649</v>
      </c>
      <c r="B1783" t="s">
        <v>4075</v>
      </c>
      <c r="C1783" t="s">
        <v>18</v>
      </c>
      <c r="D1783" t="s">
        <v>4083</v>
      </c>
      <c r="E1783" t="s">
        <v>4084</v>
      </c>
      <c r="F1783" t="s">
        <v>168</v>
      </c>
      <c r="G1783" t="s">
        <v>17</v>
      </c>
      <c r="H1783" t="b">
        <v>0</v>
      </c>
      <c r="I1783" t="b">
        <v>0</v>
      </c>
      <c r="L1783" t="b">
        <v>0</v>
      </c>
    </row>
    <row r="1784" spans="1:25" x14ac:dyDescent="0.2">
      <c r="A1784">
        <v>2650</v>
      </c>
      <c r="B1784" t="s">
        <v>4075</v>
      </c>
      <c r="C1784" t="s">
        <v>18</v>
      </c>
      <c r="D1784" t="s">
        <v>4085</v>
      </c>
      <c r="E1784" t="s">
        <v>4086</v>
      </c>
      <c r="F1784" t="s">
        <v>151</v>
      </c>
      <c r="G1784" t="s">
        <v>17</v>
      </c>
      <c r="H1784" t="b">
        <v>0</v>
      </c>
      <c r="I1784" t="b">
        <v>0</v>
      </c>
      <c r="L1784" t="b">
        <v>0</v>
      </c>
    </row>
    <row r="1785" spans="1:25" x14ac:dyDescent="0.2">
      <c r="A1785">
        <v>2651</v>
      </c>
      <c r="B1785" t="s">
        <v>4075</v>
      </c>
      <c r="C1785" t="s">
        <v>18</v>
      </c>
      <c r="D1785" t="s">
        <v>4087</v>
      </c>
      <c r="E1785" t="s">
        <v>4088</v>
      </c>
      <c r="F1785" t="s">
        <v>174</v>
      </c>
      <c r="G1785" t="s">
        <v>17</v>
      </c>
      <c r="H1785" t="b">
        <v>0</v>
      </c>
      <c r="I1785" t="b">
        <v>0</v>
      </c>
      <c r="L1785" t="b">
        <v>0</v>
      </c>
      <c r="M1785" t="s">
        <v>4089</v>
      </c>
    </row>
    <row r="1787" spans="1:25" x14ac:dyDescent="0.2">
      <c r="A1787" s="2">
        <v>266</v>
      </c>
      <c r="B1787" s="2" t="s">
        <v>4090</v>
      </c>
      <c r="C1787" s="2" t="s">
        <v>13</v>
      </c>
      <c r="D1787" s="2" t="s">
        <v>4091</v>
      </c>
      <c r="E1787" s="2" t="s">
        <v>4092</v>
      </c>
      <c r="F1787" s="2" t="s">
        <v>159</v>
      </c>
      <c r="G1787" s="2" t="s">
        <v>265</v>
      </c>
      <c r="H1787" s="2"/>
      <c r="I1787" s="2"/>
      <c r="J1787" s="2"/>
      <c r="K1787" s="2"/>
      <c r="L1787" s="2"/>
      <c r="M1787" s="2"/>
      <c r="N1787" s="2"/>
      <c r="O1787" s="2"/>
      <c r="P1787" s="2"/>
      <c r="Q1787" s="2"/>
      <c r="R1787" s="2"/>
      <c r="S1787" s="2"/>
      <c r="T1787" s="2"/>
      <c r="U1787" s="2"/>
      <c r="V1787" s="2"/>
      <c r="W1787" s="2"/>
      <c r="X1787" s="2"/>
      <c r="Y1787" s="2"/>
    </row>
    <row r="1788" spans="1:25" x14ac:dyDescent="0.2">
      <c r="A1788">
        <v>267</v>
      </c>
      <c r="B1788" t="s">
        <v>4090</v>
      </c>
      <c r="C1788" t="s">
        <v>18</v>
      </c>
      <c r="D1788" t="s">
        <v>3786</v>
      </c>
      <c r="E1788" t="s">
        <v>3787</v>
      </c>
      <c r="F1788" t="s">
        <v>159</v>
      </c>
      <c r="G1788" t="s">
        <v>265</v>
      </c>
      <c r="H1788" t="b">
        <v>0</v>
      </c>
      <c r="I1788" t="b">
        <v>0</v>
      </c>
      <c r="L1788" t="b">
        <v>0</v>
      </c>
      <c r="M1788" t="s">
        <v>3788</v>
      </c>
      <c r="N1788" t="s">
        <v>3789</v>
      </c>
    </row>
    <row r="1789" spans="1:25" x14ac:dyDescent="0.2">
      <c r="A1789">
        <v>268</v>
      </c>
      <c r="B1789" t="s">
        <v>4090</v>
      </c>
      <c r="C1789" t="s">
        <v>18</v>
      </c>
      <c r="D1789" t="s">
        <v>3790</v>
      </c>
      <c r="E1789" t="s">
        <v>3791</v>
      </c>
      <c r="F1789" t="s">
        <v>159</v>
      </c>
      <c r="G1789" t="s">
        <v>265</v>
      </c>
      <c r="H1789" t="b">
        <v>0</v>
      </c>
      <c r="I1789" t="b">
        <v>0</v>
      </c>
      <c r="L1789" t="b">
        <v>0</v>
      </c>
      <c r="M1789" t="s">
        <v>3792</v>
      </c>
      <c r="N1789" t="s">
        <v>3793</v>
      </c>
    </row>
    <row r="1790" spans="1:25" x14ac:dyDescent="0.2">
      <c r="A1790">
        <v>269</v>
      </c>
      <c r="B1790" t="s">
        <v>4090</v>
      </c>
      <c r="C1790" t="s">
        <v>18</v>
      </c>
      <c r="D1790" t="s">
        <v>3782</v>
      </c>
      <c r="E1790" t="s">
        <v>3783</v>
      </c>
      <c r="F1790" t="s">
        <v>82</v>
      </c>
      <c r="G1790" t="s">
        <v>265</v>
      </c>
      <c r="H1790" t="b">
        <v>1</v>
      </c>
      <c r="I1790" t="b">
        <v>1</v>
      </c>
      <c r="L1790" t="b">
        <v>1</v>
      </c>
      <c r="M1790" t="s">
        <v>3784</v>
      </c>
      <c r="N1790" t="s">
        <v>3785</v>
      </c>
    </row>
    <row r="1791" spans="1:25" x14ac:dyDescent="0.2">
      <c r="A1791">
        <v>270</v>
      </c>
      <c r="B1791" t="s">
        <v>4090</v>
      </c>
      <c r="C1791" t="s">
        <v>18</v>
      </c>
      <c r="D1791" t="s">
        <v>4093</v>
      </c>
      <c r="E1791" t="s">
        <v>170</v>
      </c>
      <c r="F1791" t="s">
        <v>159</v>
      </c>
      <c r="G1791" t="s">
        <v>265</v>
      </c>
      <c r="H1791" t="b">
        <v>0</v>
      </c>
      <c r="I1791" t="b">
        <v>0</v>
      </c>
      <c r="L1791" t="b">
        <v>0</v>
      </c>
      <c r="M1791" t="s">
        <v>4094</v>
      </c>
      <c r="N1791" t="s">
        <v>4095</v>
      </c>
    </row>
    <row r="1792" spans="1:25" x14ac:dyDescent="0.2">
      <c r="A1792">
        <v>271</v>
      </c>
      <c r="B1792" t="s">
        <v>4090</v>
      </c>
      <c r="C1792" t="s">
        <v>18</v>
      </c>
      <c r="D1792" t="s">
        <v>4096</v>
      </c>
      <c r="E1792" t="s">
        <v>4097</v>
      </c>
      <c r="F1792" t="s">
        <v>82</v>
      </c>
      <c r="G1792" t="s">
        <v>265</v>
      </c>
      <c r="H1792" t="b">
        <v>0</v>
      </c>
      <c r="I1792" t="b">
        <v>0</v>
      </c>
      <c r="L1792" t="b">
        <v>0</v>
      </c>
      <c r="M1792" t="s">
        <v>4098</v>
      </c>
      <c r="N1792" t="s">
        <v>4099</v>
      </c>
    </row>
    <row r="1794" spans="1:25" x14ac:dyDescent="0.2">
      <c r="A1794" s="2">
        <v>2667</v>
      </c>
      <c r="B1794" s="2" t="s">
        <v>4100</v>
      </c>
      <c r="C1794" s="2" t="s">
        <v>13</v>
      </c>
      <c r="D1794" s="2" t="s">
        <v>4101</v>
      </c>
      <c r="E1794" s="2" t="s">
        <v>4102</v>
      </c>
      <c r="F1794" s="2" t="s">
        <v>369</v>
      </c>
      <c r="G1794" s="2" t="s">
        <v>17</v>
      </c>
      <c r="H1794" s="2"/>
      <c r="I1794" s="2"/>
      <c r="J1794" s="2"/>
      <c r="K1794" s="2"/>
      <c r="L1794" s="2"/>
      <c r="M1794" s="2"/>
      <c r="N1794" s="2"/>
      <c r="O1794" s="2"/>
      <c r="P1794" s="2"/>
      <c r="Q1794" s="2"/>
      <c r="R1794" s="2"/>
      <c r="S1794" s="2"/>
      <c r="T1794" s="2"/>
      <c r="U1794" s="2"/>
      <c r="V1794" s="2"/>
      <c r="W1794" s="2"/>
      <c r="X1794" s="2"/>
      <c r="Y1794" s="2"/>
    </row>
    <row r="1795" spans="1:25" x14ac:dyDescent="0.2">
      <c r="A1795">
        <v>2668</v>
      </c>
      <c r="B1795" t="s">
        <v>4100</v>
      </c>
      <c r="C1795" t="s">
        <v>18</v>
      </c>
      <c r="D1795" t="s">
        <v>4101</v>
      </c>
      <c r="E1795" t="s">
        <v>4102</v>
      </c>
      <c r="F1795" t="s">
        <v>369</v>
      </c>
      <c r="G1795" t="s">
        <v>17</v>
      </c>
      <c r="H1795" t="b">
        <v>1</v>
      </c>
      <c r="I1795" t="b">
        <v>1</v>
      </c>
      <c r="L1795" t="b">
        <v>1</v>
      </c>
      <c r="M1795" t="s">
        <v>4103</v>
      </c>
      <c r="N1795" t="s">
        <v>4104</v>
      </c>
      <c r="O1795" t="s">
        <v>4105</v>
      </c>
    </row>
    <row r="1796" spans="1:25" x14ac:dyDescent="0.2">
      <c r="A1796">
        <v>2669</v>
      </c>
      <c r="B1796" t="s">
        <v>4100</v>
      </c>
      <c r="C1796" t="s">
        <v>18</v>
      </c>
      <c r="D1796" t="s">
        <v>2535</v>
      </c>
      <c r="E1796" t="s">
        <v>2536</v>
      </c>
      <c r="F1796" t="s">
        <v>168</v>
      </c>
      <c r="G1796" t="s">
        <v>17</v>
      </c>
      <c r="H1796" t="b">
        <v>0</v>
      </c>
      <c r="I1796" t="b">
        <v>0</v>
      </c>
      <c r="L1796" t="b">
        <v>0</v>
      </c>
      <c r="M1796" t="s">
        <v>2537</v>
      </c>
      <c r="N1796" t="s">
        <v>2538</v>
      </c>
      <c r="O1796" t="s">
        <v>2539</v>
      </c>
      <c r="P1796" t="s">
        <v>2540</v>
      </c>
      <c r="Q1796" t="s">
        <v>2541</v>
      </c>
      <c r="R1796" t="str">
        <f>HYPERLINK("https://arizona.app.box.com/file/386242983334")</f>
        <v>https://arizona.app.box.com/file/386242983334</v>
      </c>
    </row>
    <row r="1797" spans="1:25" x14ac:dyDescent="0.2">
      <c r="A1797">
        <v>2670</v>
      </c>
      <c r="B1797" t="s">
        <v>4100</v>
      </c>
      <c r="C1797" t="s">
        <v>18</v>
      </c>
      <c r="D1797" t="s">
        <v>4106</v>
      </c>
      <c r="E1797" t="s">
        <v>4107</v>
      </c>
      <c r="F1797" t="s">
        <v>174</v>
      </c>
      <c r="G1797" t="s">
        <v>17</v>
      </c>
      <c r="H1797" t="b">
        <v>0</v>
      </c>
      <c r="I1797" t="b">
        <v>0</v>
      </c>
      <c r="L1797" t="b">
        <v>0</v>
      </c>
      <c r="M1797" t="str">
        <f>HYPERLINK("https://arizona.app.box.com/file/389264358324")</f>
        <v>https://arizona.app.box.com/file/389264358324</v>
      </c>
      <c r="N1797" t="str">
        <f>HYPERLINK("https://arizona.app.box.com/file/389171963877")</f>
        <v>https://arizona.app.box.com/file/389171963877</v>
      </c>
      <c r="O1797" t="str">
        <f>HYPERLINK("https://arizona.app.box.com/file/389170633507")</f>
        <v>https://arizona.app.box.com/file/389170633507</v>
      </c>
    </row>
    <row r="1798" spans="1:25" x14ac:dyDescent="0.2">
      <c r="A1798">
        <v>2671</v>
      </c>
      <c r="B1798" t="s">
        <v>4100</v>
      </c>
      <c r="C1798" t="s">
        <v>18</v>
      </c>
      <c r="D1798" t="s">
        <v>1329</v>
      </c>
      <c r="E1798" t="s">
        <v>1330</v>
      </c>
      <c r="F1798" t="s">
        <v>369</v>
      </c>
      <c r="G1798" t="s">
        <v>17</v>
      </c>
      <c r="H1798" t="b">
        <v>0</v>
      </c>
      <c r="I1798" t="b">
        <v>0</v>
      </c>
      <c r="L1798" t="b">
        <v>0</v>
      </c>
      <c r="M1798" t="s">
        <v>1331</v>
      </c>
      <c r="N1798" t="s">
        <v>1332</v>
      </c>
    </row>
    <row r="1799" spans="1:25" x14ac:dyDescent="0.2">
      <c r="A1799">
        <v>2672</v>
      </c>
      <c r="B1799" t="s">
        <v>4100</v>
      </c>
      <c r="C1799" t="s">
        <v>18</v>
      </c>
      <c r="D1799" t="s">
        <v>4108</v>
      </c>
      <c r="E1799" t="s">
        <v>4109</v>
      </c>
      <c r="F1799" t="s">
        <v>2451</v>
      </c>
      <c r="G1799" t="s">
        <v>1406</v>
      </c>
      <c r="H1799" t="b">
        <v>0</v>
      </c>
      <c r="I1799" t="b">
        <v>0</v>
      </c>
      <c r="L1799" t="b">
        <v>0</v>
      </c>
      <c r="M1799" t="s">
        <v>4110</v>
      </c>
      <c r="N1799" t="s">
        <v>4111</v>
      </c>
    </row>
    <row r="1801" spans="1:25" x14ac:dyDescent="0.2">
      <c r="A1801" s="2">
        <v>2674</v>
      </c>
      <c r="B1801" s="2" t="s">
        <v>4112</v>
      </c>
      <c r="C1801" s="2" t="s">
        <v>13</v>
      </c>
      <c r="D1801" s="2" t="s">
        <v>4113</v>
      </c>
      <c r="E1801" s="2" t="s">
        <v>4114</v>
      </c>
      <c r="F1801" s="2" t="s">
        <v>369</v>
      </c>
      <c r="G1801" s="2" t="s">
        <v>1047</v>
      </c>
      <c r="H1801" s="2"/>
      <c r="I1801" s="2"/>
      <c r="J1801" s="2"/>
      <c r="K1801" s="2"/>
      <c r="L1801" s="2"/>
      <c r="M1801" s="2"/>
      <c r="N1801" s="2"/>
      <c r="O1801" s="2"/>
      <c r="P1801" s="2"/>
      <c r="Q1801" s="2"/>
      <c r="R1801" s="2"/>
      <c r="S1801" s="2"/>
      <c r="T1801" s="2"/>
      <c r="U1801" s="2"/>
      <c r="V1801" s="2"/>
      <c r="W1801" s="2"/>
      <c r="X1801" s="2"/>
      <c r="Y1801" s="2"/>
    </row>
    <row r="1802" spans="1:25" x14ac:dyDescent="0.2">
      <c r="A1802">
        <v>2675</v>
      </c>
      <c r="B1802" t="s">
        <v>4112</v>
      </c>
      <c r="C1802" t="s">
        <v>18</v>
      </c>
      <c r="D1802" t="s">
        <v>4113</v>
      </c>
      <c r="E1802" t="s">
        <v>3695</v>
      </c>
      <c r="F1802" t="s">
        <v>369</v>
      </c>
      <c r="G1802" t="s">
        <v>1047</v>
      </c>
      <c r="H1802" t="b">
        <v>1</v>
      </c>
      <c r="K1802" t="b">
        <v>1</v>
      </c>
      <c r="L1802" t="b">
        <v>1</v>
      </c>
      <c r="M1802" t="s">
        <v>4115</v>
      </c>
    </row>
    <row r="1803" spans="1:25" x14ac:dyDescent="0.2">
      <c r="A1803">
        <v>2676</v>
      </c>
      <c r="B1803" t="s">
        <v>4112</v>
      </c>
      <c r="C1803" t="s">
        <v>18</v>
      </c>
      <c r="D1803" t="s">
        <v>4116</v>
      </c>
      <c r="E1803" t="s">
        <v>3395</v>
      </c>
      <c r="F1803" t="s">
        <v>369</v>
      </c>
      <c r="G1803" t="s">
        <v>32</v>
      </c>
      <c r="H1803" t="b">
        <v>1</v>
      </c>
      <c r="K1803" t="b">
        <v>1</v>
      </c>
      <c r="L1803" t="b">
        <v>1</v>
      </c>
      <c r="M1803" t="s">
        <v>4117</v>
      </c>
    </row>
    <row r="1804" spans="1:25" x14ac:dyDescent="0.2">
      <c r="A1804">
        <v>2677</v>
      </c>
      <c r="B1804" t="s">
        <v>4112</v>
      </c>
      <c r="C1804" t="s">
        <v>18</v>
      </c>
      <c r="D1804" t="s">
        <v>4118</v>
      </c>
      <c r="E1804" t="s">
        <v>4119</v>
      </c>
      <c r="F1804" t="s">
        <v>174</v>
      </c>
      <c r="G1804" t="s">
        <v>292</v>
      </c>
      <c r="H1804" t="b">
        <v>0</v>
      </c>
      <c r="K1804" t="b">
        <v>0</v>
      </c>
      <c r="L1804" t="b">
        <v>0</v>
      </c>
      <c r="M1804" t="s">
        <v>4120</v>
      </c>
      <c r="N1804" t="s">
        <v>4121</v>
      </c>
    </row>
    <row r="1805" spans="1:25" x14ac:dyDescent="0.2">
      <c r="A1805">
        <v>2678</v>
      </c>
      <c r="B1805" t="s">
        <v>4112</v>
      </c>
      <c r="C1805" t="s">
        <v>18</v>
      </c>
      <c r="D1805" t="s">
        <v>1775</v>
      </c>
      <c r="E1805" t="s">
        <v>1776</v>
      </c>
      <c r="F1805" t="s">
        <v>369</v>
      </c>
      <c r="G1805" t="s">
        <v>130</v>
      </c>
      <c r="H1805" t="b">
        <v>0</v>
      </c>
      <c r="K1805" t="b">
        <v>0</v>
      </c>
      <c r="L1805" t="b">
        <v>0</v>
      </c>
    </row>
    <row r="1806" spans="1:25" x14ac:dyDescent="0.2">
      <c r="A1806">
        <v>2679</v>
      </c>
      <c r="B1806" t="s">
        <v>4112</v>
      </c>
      <c r="C1806" t="s">
        <v>18</v>
      </c>
      <c r="D1806" t="s">
        <v>1325</v>
      </c>
      <c r="E1806" t="s">
        <v>1326</v>
      </c>
      <c r="F1806" t="s">
        <v>174</v>
      </c>
      <c r="G1806" t="s">
        <v>17</v>
      </c>
      <c r="H1806" t="b">
        <v>0</v>
      </c>
      <c r="K1806" t="b">
        <v>0</v>
      </c>
      <c r="L1806" t="b">
        <v>0</v>
      </c>
      <c r="M1806" t="s">
        <v>1327</v>
      </c>
      <c r="N1806" t="s">
        <v>1328</v>
      </c>
    </row>
    <row r="1808" spans="1:25" x14ac:dyDescent="0.2">
      <c r="A1808" s="2">
        <v>2688</v>
      </c>
      <c r="B1808" s="2" t="s">
        <v>4122</v>
      </c>
      <c r="C1808" s="2" t="s">
        <v>13</v>
      </c>
      <c r="D1808" s="2" t="s">
        <v>4123</v>
      </c>
      <c r="E1808" s="2" t="s">
        <v>4124</v>
      </c>
      <c r="F1808" s="2" t="s">
        <v>369</v>
      </c>
      <c r="G1808" s="2" t="s">
        <v>24</v>
      </c>
      <c r="H1808" s="2"/>
      <c r="I1808" s="2"/>
      <c r="J1808" s="2"/>
      <c r="K1808" s="2"/>
      <c r="L1808" s="2"/>
      <c r="M1808" s="2"/>
      <c r="N1808" s="2"/>
      <c r="O1808" s="2"/>
      <c r="P1808" s="2"/>
      <c r="Q1808" s="2"/>
      <c r="R1808" s="2"/>
      <c r="S1808" s="2"/>
      <c r="T1808" s="2"/>
      <c r="U1808" s="2"/>
      <c r="V1808" s="2"/>
      <c r="W1808" s="2"/>
      <c r="X1808" s="2"/>
      <c r="Y1808" s="2"/>
    </row>
    <row r="1809" spans="1:25" x14ac:dyDescent="0.2">
      <c r="A1809">
        <v>2689</v>
      </c>
      <c r="B1809" t="s">
        <v>4122</v>
      </c>
      <c r="C1809" t="s">
        <v>18</v>
      </c>
      <c r="D1809" t="s">
        <v>383</v>
      </c>
      <c r="E1809" t="s">
        <v>384</v>
      </c>
      <c r="F1809" t="s">
        <v>369</v>
      </c>
      <c r="G1809" t="s">
        <v>24</v>
      </c>
      <c r="H1809" t="b">
        <v>1</v>
      </c>
      <c r="K1809" t="b">
        <v>1</v>
      </c>
      <c r="L1809" t="b">
        <v>1</v>
      </c>
      <c r="M1809" t="s">
        <v>4125</v>
      </c>
      <c r="N1809" t="s">
        <v>4126</v>
      </c>
    </row>
    <row r="1810" spans="1:25" x14ac:dyDescent="0.2">
      <c r="A1810">
        <v>2690</v>
      </c>
      <c r="B1810" t="s">
        <v>4122</v>
      </c>
      <c r="C1810" t="s">
        <v>18</v>
      </c>
      <c r="D1810" t="s">
        <v>4127</v>
      </c>
      <c r="E1810" t="s">
        <v>1031</v>
      </c>
      <c r="F1810" t="s">
        <v>369</v>
      </c>
      <c r="G1810" t="s">
        <v>24</v>
      </c>
      <c r="H1810" t="b">
        <v>1</v>
      </c>
      <c r="K1810" t="b">
        <v>1</v>
      </c>
      <c r="L1810" t="b">
        <v>1</v>
      </c>
      <c r="M1810" t="s">
        <v>4128</v>
      </c>
    </row>
    <row r="1811" spans="1:25" x14ac:dyDescent="0.2">
      <c r="A1811">
        <v>2691</v>
      </c>
      <c r="B1811" t="s">
        <v>4122</v>
      </c>
      <c r="C1811" t="s">
        <v>18</v>
      </c>
      <c r="D1811" t="s">
        <v>380</v>
      </c>
      <c r="E1811" t="s">
        <v>381</v>
      </c>
      <c r="F1811" t="s">
        <v>31</v>
      </c>
      <c r="G1811" t="s">
        <v>24</v>
      </c>
      <c r="H1811" t="b">
        <v>0</v>
      </c>
      <c r="K1811" t="b">
        <v>0</v>
      </c>
      <c r="L1811" t="b">
        <v>0</v>
      </c>
      <c r="M1811" t="s">
        <v>4129</v>
      </c>
      <c r="N1811" t="s">
        <v>4130</v>
      </c>
    </row>
    <row r="1812" spans="1:25" x14ac:dyDescent="0.2">
      <c r="A1812">
        <v>2692</v>
      </c>
      <c r="B1812" t="s">
        <v>4122</v>
      </c>
      <c r="C1812" t="s">
        <v>18</v>
      </c>
      <c r="D1812" t="s">
        <v>382</v>
      </c>
      <c r="E1812" t="s">
        <v>381</v>
      </c>
      <c r="F1812" t="s">
        <v>20</v>
      </c>
      <c r="G1812" t="s">
        <v>24</v>
      </c>
      <c r="H1812" t="b">
        <v>0</v>
      </c>
      <c r="K1812" t="b">
        <v>0</v>
      </c>
      <c r="L1812" t="b">
        <v>0</v>
      </c>
      <c r="M1812" t="s">
        <v>4131</v>
      </c>
    </row>
    <row r="1813" spans="1:25" x14ac:dyDescent="0.2">
      <c r="A1813">
        <v>2693</v>
      </c>
      <c r="B1813" t="s">
        <v>4122</v>
      </c>
      <c r="C1813" t="s">
        <v>18</v>
      </c>
      <c r="D1813" t="s">
        <v>4132</v>
      </c>
      <c r="E1813" t="s">
        <v>809</v>
      </c>
      <c r="F1813" t="s">
        <v>16</v>
      </c>
      <c r="G1813" t="s">
        <v>24</v>
      </c>
      <c r="H1813" t="b">
        <v>0</v>
      </c>
      <c r="K1813" t="b">
        <v>0</v>
      </c>
      <c r="L1813" t="b">
        <v>0</v>
      </c>
      <c r="M1813" t="s">
        <v>4133</v>
      </c>
      <c r="N1813" t="s">
        <v>4134</v>
      </c>
    </row>
    <row r="1815" spans="1:25" x14ac:dyDescent="0.2">
      <c r="A1815" s="2">
        <v>2695</v>
      </c>
      <c r="B1815" s="2" t="s">
        <v>4135</v>
      </c>
      <c r="C1815" s="2" t="s">
        <v>13</v>
      </c>
      <c r="D1815" s="2" t="s">
        <v>4136</v>
      </c>
      <c r="E1815" s="2" t="s">
        <v>4137</v>
      </c>
      <c r="F1815" s="2" t="s">
        <v>205</v>
      </c>
      <c r="G1815" s="2" t="s">
        <v>62</v>
      </c>
      <c r="H1815" s="2"/>
      <c r="I1815" s="2"/>
      <c r="J1815" s="2"/>
      <c r="K1815" s="2"/>
      <c r="L1815" s="2"/>
      <c r="M1815" s="2"/>
      <c r="N1815" s="2"/>
      <c r="O1815" s="2"/>
      <c r="P1815" s="2"/>
      <c r="Q1815" s="2"/>
      <c r="R1815" s="2"/>
      <c r="S1815" s="2"/>
      <c r="T1815" s="2"/>
      <c r="U1815" s="2"/>
      <c r="V1815" s="2"/>
      <c r="W1815" s="2"/>
      <c r="X1815" s="2"/>
      <c r="Y1815" s="2"/>
    </row>
    <row r="1816" spans="1:25" x14ac:dyDescent="0.2">
      <c r="A1816">
        <v>2696</v>
      </c>
      <c r="B1816" t="s">
        <v>4135</v>
      </c>
      <c r="C1816" t="s">
        <v>18</v>
      </c>
      <c r="D1816" t="s">
        <v>4136</v>
      </c>
      <c r="E1816" t="s">
        <v>2797</v>
      </c>
      <c r="F1816" t="s">
        <v>205</v>
      </c>
      <c r="G1816" t="s">
        <v>62</v>
      </c>
      <c r="H1816" t="b">
        <v>1</v>
      </c>
      <c r="K1816" t="b">
        <v>1</v>
      </c>
      <c r="L1816" t="b">
        <v>1</v>
      </c>
      <c r="M1816" t="s">
        <v>4138</v>
      </c>
      <c r="N1816" t="s">
        <v>4139</v>
      </c>
    </row>
    <row r="1817" spans="1:25" x14ac:dyDescent="0.2">
      <c r="A1817">
        <v>2697</v>
      </c>
      <c r="B1817" t="s">
        <v>4135</v>
      </c>
      <c r="C1817" t="s">
        <v>18</v>
      </c>
      <c r="D1817" t="s">
        <v>400</v>
      </c>
      <c r="E1817" t="s">
        <v>401</v>
      </c>
      <c r="F1817" t="s">
        <v>205</v>
      </c>
      <c r="G1817" t="s">
        <v>62</v>
      </c>
      <c r="H1817" t="b">
        <v>0</v>
      </c>
      <c r="K1817" t="b">
        <v>0</v>
      </c>
      <c r="L1817" t="b">
        <v>0</v>
      </c>
      <c r="M1817" t="s">
        <v>849</v>
      </c>
    </row>
    <row r="1818" spans="1:25" x14ac:dyDescent="0.2">
      <c r="A1818">
        <v>2698</v>
      </c>
      <c r="B1818" t="s">
        <v>4135</v>
      </c>
      <c r="C1818" t="s">
        <v>18</v>
      </c>
      <c r="D1818" t="s">
        <v>1139</v>
      </c>
      <c r="E1818" t="s">
        <v>1140</v>
      </c>
      <c r="F1818" t="s">
        <v>205</v>
      </c>
      <c r="G1818" t="s">
        <v>62</v>
      </c>
      <c r="H1818" t="b">
        <v>0</v>
      </c>
      <c r="K1818" t="b">
        <v>0</v>
      </c>
      <c r="L1818" t="b">
        <v>0</v>
      </c>
      <c r="M1818" t="s">
        <v>1141</v>
      </c>
      <c r="N1818" t="s">
        <v>1142</v>
      </c>
    </row>
    <row r="1819" spans="1:25" x14ac:dyDescent="0.2">
      <c r="A1819">
        <v>2699</v>
      </c>
      <c r="B1819" t="s">
        <v>4135</v>
      </c>
      <c r="C1819" t="s">
        <v>18</v>
      </c>
      <c r="D1819" t="s">
        <v>4140</v>
      </c>
      <c r="E1819" t="s">
        <v>3000</v>
      </c>
      <c r="F1819" t="s">
        <v>205</v>
      </c>
      <c r="G1819" t="s">
        <v>62</v>
      </c>
      <c r="H1819" t="b">
        <v>1</v>
      </c>
      <c r="K1819" t="b">
        <v>0</v>
      </c>
      <c r="L1819" t="b">
        <v>1</v>
      </c>
      <c r="M1819" t="s">
        <v>4141</v>
      </c>
    </row>
    <row r="1820" spans="1:25" x14ac:dyDescent="0.2">
      <c r="A1820">
        <v>2700</v>
      </c>
      <c r="B1820" t="s">
        <v>4135</v>
      </c>
      <c r="C1820" t="s">
        <v>18</v>
      </c>
      <c r="D1820" t="s">
        <v>4142</v>
      </c>
      <c r="E1820" t="s">
        <v>3613</v>
      </c>
      <c r="F1820" t="s">
        <v>205</v>
      </c>
      <c r="G1820" t="s">
        <v>62</v>
      </c>
      <c r="H1820" t="b">
        <v>0</v>
      </c>
      <c r="K1820" t="b">
        <v>0</v>
      </c>
      <c r="L1820" t="b">
        <v>0</v>
      </c>
      <c r="M1820" t="s">
        <v>4143</v>
      </c>
    </row>
    <row r="1822" spans="1:25" x14ac:dyDescent="0.2">
      <c r="A1822" s="2">
        <v>2702</v>
      </c>
      <c r="B1822" s="2" t="s">
        <v>4144</v>
      </c>
      <c r="C1822" s="2" t="s">
        <v>13</v>
      </c>
      <c r="D1822" s="2" t="s">
        <v>4145</v>
      </c>
      <c r="E1822" s="2" t="s">
        <v>4146</v>
      </c>
      <c r="F1822" s="2" t="s">
        <v>205</v>
      </c>
      <c r="G1822" s="2" t="s">
        <v>62</v>
      </c>
      <c r="H1822" s="2"/>
      <c r="I1822" s="2"/>
      <c r="J1822" s="2"/>
      <c r="K1822" s="2"/>
      <c r="L1822" s="2"/>
      <c r="M1822" s="2"/>
      <c r="N1822" s="2"/>
      <c r="O1822" s="2"/>
      <c r="P1822" s="2"/>
      <c r="Q1822" s="2"/>
      <c r="R1822" s="2"/>
      <c r="S1822" s="2"/>
      <c r="T1822" s="2"/>
      <c r="U1822" s="2"/>
      <c r="V1822" s="2"/>
      <c r="W1822" s="2"/>
      <c r="X1822" s="2"/>
      <c r="Y1822" s="2"/>
    </row>
    <row r="1823" spans="1:25" x14ac:dyDescent="0.2">
      <c r="A1823">
        <v>2703</v>
      </c>
      <c r="B1823" t="s">
        <v>4144</v>
      </c>
      <c r="C1823" t="s">
        <v>18</v>
      </c>
      <c r="D1823" t="s">
        <v>4145</v>
      </c>
      <c r="E1823" t="s">
        <v>392</v>
      </c>
      <c r="F1823" t="s">
        <v>205</v>
      </c>
      <c r="G1823" t="s">
        <v>62</v>
      </c>
      <c r="H1823" t="b">
        <v>1</v>
      </c>
      <c r="K1823" t="b">
        <v>1</v>
      </c>
      <c r="L1823" t="b">
        <v>1</v>
      </c>
      <c r="M1823" t="s">
        <v>4147</v>
      </c>
    </row>
    <row r="1824" spans="1:25" x14ac:dyDescent="0.2">
      <c r="A1824">
        <v>2704</v>
      </c>
      <c r="B1824" t="s">
        <v>4144</v>
      </c>
      <c r="C1824" t="s">
        <v>18</v>
      </c>
      <c r="D1824" t="s">
        <v>4140</v>
      </c>
      <c r="E1824" t="s">
        <v>3000</v>
      </c>
      <c r="F1824" t="s">
        <v>205</v>
      </c>
      <c r="G1824" t="s">
        <v>62</v>
      </c>
      <c r="H1824" t="b">
        <v>0</v>
      </c>
      <c r="K1824" t="b">
        <v>0</v>
      </c>
      <c r="L1824" t="b">
        <v>0</v>
      </c>
      <c r="M1824" t="s">
        <v>4141</v>
      </c>
    </row>
    <row r="1825" spans="1:25" x14ac:dyDescent="0.2">
      <c r="A1825">
        <v>2705</v>
      </c>
      <c r="B1825" t="s">
        <v>4144</v>
      </c>
      <c r="C1825" t="s">
        <v>18</v>
      </c>
      <c r="D1825" t="s">
        <v>4148</v>
      </c>
      <c r="E1825" t="s">
        <v>4149</v>
      </c>
      <c r="F1825" t="s">
        <v>205</v>
      </c>
      <c r="G1825" t="s">
        <v>62</v>
      </c>
      <c r="H1825" t="b">
        <v>1</v>
      </c>
      <c r="K1825" t="b">
        <v>0</v>
      </c>
      <c r="L1825" t="b">
        <v>1</v>
      </c>
    </row>
    <row r="1826" spans="1:25" x14ac:dyDescent="0.2">
      <c r="A1826">
        <v>2706</v>
      </c>
      <c r="B1826" t="s">
        <v>4144</v>
      </c>
      <c r="C1826" t="s">
        <v>18</v>
      </c>
      <c r="D1826" t="s">
        <v>4136</v>
      </c>
      <c r="E1826" t="s">
        <v>2797</v>
      </c>
      <c r="F1826" t="s">
        <v>205</v>
      </c>
      <c r="G1826" t="s">
        <v>62</v>
      </c>
      <c r="H1826" t="b">
        <v>0</v>
      </c>
      <c r="K1826" t="b">
        <v>0</v>
      </c>
      <c r="L1826" t="b">
        <v>0</v>
      </c>
      <c r="M1826" t="s">
        <v>4138</v>
      </c>
      <c r="N1826" t="s">
        <v>4139</v>
      </c>
    </row>
    <row r="1827" spans="1:25" x14ac:dyDescent="0.2">
      <c r="A1827">
        <v>2707</v>
      </c>
      <c r="B1827" t="s">
        <v>4144</v>
      </c>
      <c r="C1827" t="s">
        <v>18</v>
      </c>
      <c r="D1827" t="s">
        <v>400</v>
      </c>
      <c r="E1827" t="s">
        <v>401</v>
      </c>
      <c r="F1827" t="s">
        <v>205</v>
      </c>
      <c r="G1827" t="s">
        <v>62</v>
      </c>
      <c r="H1827" t="b">
        <v>0</v>
      </c>
      <c r="K1827" t="b">
        <v>0</v>
      </c>
      <c r="L1827" t="b">
        <v>0</v>
      </c>
      <c r="M1827" t="s">
        <v>849</v>
      </c>
    </row>
    <row r="1829" spans="1:25" x14ac:dyDescent="0.2">
      <c r="A1829" s="2">
        <v>2709</v>
      </c>
      <c r="B1829" s="2" t="s">
        <v>4150</v>
      </c>
      <c r="C1829" s="2" t="s">
        <v>13</v>
      </c>
      <c r="D1829" s="2" t="s">
        <v>4151</v>
      </c>
      <c r="E1829" s="2" t="s">
        <v>4152</v>
      </c>
      <c r="F1829" s="2" t="s">
        <v>205</v>
      </c>
      <c r="G1829" s="2" t="s">
        <v>62</v>
      </c>
      <c r="H1829" s="2"/>
      <c r="I1829" s="2"/>
      <c r="J1829" s="2"/>
      <c r="K1829" s="2"/>
      <c r="L1829" s="2"/>
      <c r="M1829" s="2"/>
      <c r="N1829" s="2"/>
      <c r="O1829" s="2"/>
      <c r="P1829" s="2"/>
      <c r="Q1829" s="2"/>
      <c r="R1829" s="2"/>
      <c r="S1829" s="2"/>
      <c r="T1829" s="2"/>
      <c r="U1829" s="2"/>
      <c r="V1829" s="2"/>
      <c r="W1829" s="2"/>
      <c r="X1829" s="2"/>
      <c r="Y1829" s="2"/>
    </row>
    <row r="1830" spans="1:25" x14ac:dyDescent="0.2">
      <c r="A1830">
        <v>2710</v>
      </c>
      <c r="B1830" t="s">
        <v>4150</v>
      </c>
      <c r="C1830" t="s">
        <v>18</v>
      </c>
      <c r="D1830" t="s">
        <v>4151</v>
      </c>
      <c r="E1830" t="s">
        <v>2082</v>
      </c>
      <c r="F1830" t="s">
        <v>205</v>
      </c>
      <c r="G1830" t="s">
        <v>62</v>
      </c>
      <c r="H1830" t="b">
        <v>1</v>
      </c>
      <c r="I1830" t="b">
        <v>1</v>
      </c>
      <c r="L1830" t="b">
        <v>1</v>
      </c>
      <c r="M1830" t="s">
        <v>4153</v>
      </c>
      <c r="N1830" t="s">
        <v>4154</v>
      </c>
      <c r="O1830" t="s">
        <v>4155</v>
      </c>
    </row>
    <row r="1831" spans="1:25" x14ac:dyDescent="0.2">
      <c r="A1831">
        <v>2711</v>
      </c>
      <c r="B1831" t="s">
        <v>4150</v>
      </c>
      <c r="C1831" t="s">
        <v>18</v>
      </c>
      <c r="D1831" t="s">
        <v>166</v>
      </c>
      <c r="E1831" t="s">
        <v>167</v>
      </c>
      <c r="F1831" t="s">
        <v>168</v>
      </c>
      <c r="G1831" t="s">
        <v>24</v>
      </c>
      <c r="H1831" t="b">
        <v>0</v>
      </c>
      <c r="I1831" t="b">
        <v>0</v>
      </c>
      <c r="L1831" t="b">
        <v>0</v>
      </c>
      <c r="M1831" t="s">
        <v>4156</v>
      </c>
      <c r="N1831" t="s">
        <v>4157</v>
      </c>
    </row>
    <row r="1832" spans="1:25" x14ac:dyDescent="0.2">
      <c r="A1832">
        <v>2712</v>
      </c>
      <c r="B1832" t="s">
        <v>4150</v>
      </c>
      <c r="C1832" t="s">
        <v>18</v>
      </c>
      <c r="D1832" t="s">
        <v>4136</v>
      </c>
      <c r="E1832" t="s">
        <v>2797</v>
      </c>
      <c r="F1832" t="s">
        <v>205</v>
      </c>
      <c r="G1832" t="s">
        <v>62</v>
      </c>
      <c r="H1832" t="b">
        <v>0</v>
      </c>
      <c r="I1832" t="b">
        <v>0</v>
      </c>
      <c r="L1832" t="b">
        <v>0</v>
      </c>
      <c r="M1832" t="s">
        <v>4138</v>
      </c>
      <c r="N1832" t="s">
        <v>4139</v>
      </c>
    </row>
    <row r="1833" spans="1:25" x14ac:dyDescent="0.2">
      <c r="A1833">
        <v>2713</v>
      </c>
      <c r="B1833" t="s">
        <v>4150</v>
      </c>
      <c r="C1833" t="s">
        <v>18</v>
      </c>
      <c r="D1833" t="s">
        <v>4158</v>
      </c>
      <c r="E1833" t="s">
        <v>4159</v>
      </c>
      <c r="F1833" t="s">
        <v>168</v>
      </c>
      <c r="G1833" t="s">
        <v>24</v>
      </c>
      <c r="H1833" t="b">
        <v>0</v>
      </c>
      <c r="I1833" t="b">
        <v>0</v>
      </c>
      <c r="L1833" t="b">
        <v>0</v>
      </c>
      <c r="M1833" t="s">
        <v>4160</v>
      </c>
      <c r="N1833" t="s">
        <v>4161</v>
      </c>
    </row>
    <row r="1834" spans="1:25" x14ac:dyDescent="0.2">
      <c r="A1834">
        <v>2714</v>
      </c>
      <c r="B1834" t="s">
        <v>4150</v>
      </c>
      <c r="C1834" t="s">
        <v>18</v>
      </c>
      <c r="D1834" t="s">
        <v>4162</v>
      </c>
      <c r="E1834" t="s">
        <v>4163</v>
      </c>
      <c r="F1834" t="s">
        <v>174</v>
      </c>
      <c r="G1834" t="s">
        <v>24</v>
      </c>
      <c r="H1834" t="b">
        <v>0</v>
      </c>
      <c r="I1834" t="b">
        <v>0</v>
      </c>
      <c r="L1834" t="b">
        <v>0</v>
      </c>
    </row>
    <row r="1836" spans="1:25" x14ac:dyDescent="0.2">
      <c r="A1836" s="2">
        <v>2716</v>
      </c>
      <c r="B1836" s="2" t="s">
        <v>4164</v>
      </c>
      <c r="C1836" s="2" t="s">
        <v>13</v>
      </c>
      <c r="D1836" s="2" t="s">
        <v>4165</v>
      </c>
      <c r="E1836" s="2" t="s">
        <v>4166</v>
      </c>
      <c r="F1836" s="2" t="s">
        <v>174</v>
      </c>
      <c r="G1836" s="2" t="s">
        <v>17</v>
      </c>
      <c r="H1836" s="2"/>
      <c r="I1836" s="2"/>
      <c r="J1836" s="2"/>
      <c r="K1836" s="2"/>
      <c r="L1836" s="2"/>
      <c r="M1836" s="2"/>
      <c r="N1836" s="2"/>
      <c r="O1836" s="2"/>
      <c r="P1836" s="2"/>
      <c r="Q1836" s="2"/>
      <c r="R1836" s="2"/>
      <c r="S1836" s="2"/>
      <c r="T1836" s="2"/>
      <c r="U1836" s="2"/>
      <c r="V1836" s="2"/>
      <c r="W1836" s="2"/>
      <c r="X1836" s="2"/>
      <c r="Y1836" s="2"/>
    </row>
    <row r="1837" spans="1:25" x14ac:dyDescent="0.2">
      <c r="A1837">
        <v>2717</v>
      </c>
      <c r="B1837" t="s">
        <v>4164</v>
      </c>
      <c r="C1837" t="s">
        <v>18</v>
      </c>
      <c r="D1837" t="s">
        <v>4165</v>
      </c>
      <c r="E1837" t="s">
        <v>4167</v>
      </c>
      <c r="F1837" t="s">
        <v>174</v>
      </c>
      <c r="G1837" t="s">
        <v>4168</v>
      </c>
      <c r="H1837" t="b">
        <v>1</v>
      </c>
      <c r="K1837" t="b">
        <v>1</v>
      </c>
      <c r="L1837" t="b">
        <v>1</v>
      </c>
      <c r="M1837" t="s">
        <v>4169</v>
      </c>
      <c r="N1837" t="s">
        <v>4170</v>
      </c>
      <c r="O1837" t="s">
        <v>4171</v>
      </c>
    </row>
    <row r="1838" spans="1:25" x14ac:dyDescent="0.2">
      <c r="A1838">
        <v>2718</v>
      </c>
      <c r="B1838" t="s">
        <v>4164</v>
      </c>
      <c r="C1838" t="s">
        <v>18</v>
      </c>
      <c r="D1838" t="s">
        <v>1071</v>
      </c>
      <c r="E1838" t="s">
        <v>1072</v>
      </c>
      <c r="F1838" t="s">
        <v>87</v>
      </c>
      <c r="G1838" t="s">
        <v>94</v>
      </c>
      <c r="H1838" t="b">
        <v>0</v>
      </c>
      <c r="K1838" t="b">
        <v>0</v>
      </c>
      <c r="L1838" t="b">
        <v>0</v>
      </c>
      <c r="M1838" t="s">
        <v>1073</v>
      </c>
      <c r="N1838" t="s">
        <v>1074</v>
      </c>
    </row>
    <row r="1839" spans="1:25" x14ac:dyDescent="0.2">
      <c r="A1839">
        <v>2719</v>
      </c>
      <c r="B1839" t="s">
        <v>4164</v>
      </c>
      <c r="C1839" t="s">
        <v>18</v>
      </c>
      <c r="D1839" t="s">
        <v>4087</v>
      </c>
      <c r="E1839" t="s">
        <v>4088</v>
      </c>
      <c r="F1839" t="s">
        <v>174</v>
      </c>
      <c r="G1839" t="s">
        <v>17</v>
      </c>
      <c r="H1839" t="b">
        <v>0</v>
      </c>
      <c r="K1839" t="b">
        <v>0</v>
      </c>
      <c r="L1839" t="b">
        <v>0</v>
      </c>
      <c r="M1839" t="s">
        <v>4089</v>
      </c>
    </row>
    <row r="1840" spans="1:25" x14ac:dyDescent="0.2">
      <c r="A1840">
        <v>2720</v>
      </c>
      <c r="B1840" t="s">
        <v>4164</v>
      </c>
      <c r="C1840" t="s">
        <v>18</v>
      </c>
      <c r="D1840" t="s">
        <v>4172</v>
      </c>
      <c r="E1840" t="s">
        <v>4173</v>
      </c>
      <c r="F1840" t="s">
        <v>248</v>
      </c>
      <c r="G1840" t="s">
        <v>24</v>
      </c>
      <c r="H1840" t="b">
        <v>0</v>
      </c>
      <c r="K1840" t="b">
        <v>0</v>
      </c>
      <c r="L1840" t="b">
        <v>0</v>
      </c>
    </row>
    <row r="1841" spans="1:25" x14ac:dyDescent="0.2">
      <c r="A1841">
        <v>2721</v>
      </c>
      <c r="B1841" t="s">
        <v>4164</v>
      </c>
      <c r="C1841" t="s">
        <v>18</v>
      </c>
      <c r="D1841" t="s">
        <v>4174</v>
      </c>
      <c r="E1841" t="s">
        <v>4175</v>
      </c>
      <c r="F1841" t="s">
        <v>574</v>
      </c>
      <c r="G1841" t="s">
        <v>107</v>
      </c>
      <c r="H1841" t="b">
        <v>0</v>
      </c>
      <c r="K1841" t="b">
        <v>0</v>
      </c>
      <c r="L1841" t="b">
        <v>0</v>
      </c>
    </row>
    <row r="1843" spans="1:25" x14ac:dyDescent="0.2">
      <c r="A1843" s="2">
        <v>2737</v>
      </c>
      <c r="B1843" s="2" t="s">
        <v>4176</v>
      </c>
      <c r="C1843" s="2" t="s">
        <v>13</v>
      </c>
      <c r="D1843" s="2" t="s">
        <v>4177</v>
      </c>
      <c r="E1843" s="2" t="s">
        <v>4178</v>
      </c>
      <c r="F1843" s="2" t="s">
        <v>27</v>
      </c>
      <c r="G1843" s="2" t="s">
        <v>32</v>
      </c>
      <c r="H1843" s="2"/>
      <c r="I1843" s="2"/>
      <c r="J1843" s="2"/>
      <c r="K1843" s="2"/>
      <c r="L1843" s="2"/>
      <c r="M1843" s="2"/>
      <c r="N1843" s="2"/>
      <c r="O1843" s="2"/>
      <c r="P1843" s="2"/>
      <c r="Q1843" s="2"/>
      <c r="R1843" s="2"/>
      <c r="S1843" s="2"/>
      <c r="T1843" s="2"/>
      <c r="U1843" s="2"/>
      <c r="V1843" s="2"/>
      <c r="W1843" s="2"/>
      <c r="X1843" s="2"/>
      <c r="Y1843" s="2"/>
    </row>
    <row r="1844" spans="1:25" x14ac:dyDescent="0.2">
      <c r="A1844">
        <v>2738</v>
      </c>
      <c r="B1844" t="s">
        <v>4176</v>
      </c>
      <c r="C1844" t="s">
        <v>18</v>
      </c>
      <c r="D1844" t="s">
        <v>4179</v>
      </c>
      <c r="E1844" t="s">
        <v>4180</v>
      </c>
      <c r="F1844" t="s">
        <v>27</v>
      </c>
      <c r="G1844" t="s">
        <v>32</v>
      </c>
      <c r="H1844" t="b">
        <v>1</v>
      </c>
      <c r="K1844" t="b">
        <v>1</v>
      </c>
      <c r="L1844" t="b">
        <v>1</v>
      </c>
      <c r="M1844" t="s">
        <v>4181</v>
      </c>
      <c r="N1844" t="s">
        <v>4182</v>
      </c>
    </row>
    <row r="1845" spans="1:25" x14ac:dyDescent="0.2">
      <c r="A1845">
        <v>2739</v>
      </c>
      <c r="B1845" t="s">
        <v>4176</v>
      </c>
      <c r="C1845" t="s">
        <v>18</v>
      </c>
      <c r="D1845" t="s">
        <v>4183</v>
      </c>
      <c r="E1845" t="s">
        <v>4184</v>
      </c>
      <c r="F1845" t="s">
        <v>3988</v>
      </c>
      <c r="G1845" t="s">
        <v>32</v>
      </c>
      <c r="H1845" t="b">
        <v>0</v>
      </c>
      <c r="K1845" t="b">
        <v>0</v>
      </c>
      <c r="L1845" t="b">
        <v>0</v>
      </c>
      <c r="M1845" t="s">
        <v>4185</v>
      </c>
    </row>
    <row r="1846" spans="1:25" x14ac:dyDescent="0.2">
      <c r="A1846">
        <v>2740</v>
      </c>
      <c r="B1846" t="s">
        <v>4176</v>
      </c>
      <c r="C1846" t="s">
        <v>18</v>
      </c>
      <c r="D1846" t="s">
        <v>166</v>
      </c>
      <c r="E1846" t="s">
        <v>167</v>
      </c>
      <c r="F1846" t="s">
        <v>168</v>
      </c>
      <c r="G1846" t="s">
        <v>24</v>
      </c>
      <c r="H1846" t="b">
        <v>0</v>
      </c>
      <c r="K1846" t="b">
        <v>0</v>
      </c>
      <c r="L1846" t="b">
        <v>0</v>
      </c>
      <c r="M1846" t="s">
        <v>4156</v>
      </c>
      <c r="N1846" t="s">
        <v>4157</v>
      </c>
    </row>
    <row r="1847" spans="1:25" x14ac:dyDescent="0.2">
      <c r="A1847">
        <v>2741</v>
      </c>
      <c r="B1847" t="s">
        <v>4176</v>
      </c>
      <c r="C1847" t="s">
        <v>18</v>
      </c>
      <c r="D1847" t="s">
        <v>4186</v>
      </c>
      <c r="E1847" t="s">
        <v>1202</v>
      </c>
      <c r="F1847" t="s">
        <v>159</v>
      </c>
      <c r="G1847" t="s">
        <v>32</v>
      </c>
      <c r="H1847" t="b">
        <v>0</v>
      </c>
      <c r="K1847" t="b">
        <v>0</v>
      </c>
      <c r="L1847" t="b">
        <v>0</v>
      </c>
      <c r="M1847" t="s">
        <v>4187</v>
      </c>
      <c r="N1847" t="s">
        <v>4188</v>
      </c>
    </row>
    <row r="1848" spans="1:25" x14ac:dyDescent="0.2">
      <c r="A1848">
        <v>2742</v>
      </c>
      <c r="B1848" t="s">
        <v>4176</v>
      </c>
      <c r="C1848" t="s">
        <v>18</v>
      </c>
      <c r="D1848" t="s">
        <v>1062</v>
      </c>
      <c r="E1848" t="s">
        <v>1063</v>
      </c>
      <c r="F1848" t="s">
        <v>159</v>
      </c>
      <c r="G1848" t="s">
        <v>32</v>
      </c>
      <c r="H1848" t="b">
        <v>0</v>
      </c>
      <c r="K1848" t="b">
        <v>0</v>
      </c>
      <c r="L1848" t="b">
        <v>0</v>
      </c>
      <c r="M1848" t="s">
        <v>1064</v>
      </c>
    </row>
    <row r="1850" spans="1:25" x14ac:dyDescent="0.2">
      <c r="A1850" s="2">
        <v>2772</v>
      </c>
      <c r="B1850" s="2" t="s">
        <v>4189</v>
      </c>
      <c r="C1850" s="2" t="s">
        <v>13</v>
      </c>
      <c r="D1850" s="2" t="s">
        <v>4190</v>
      </c>
      <c r="E1850" s="2" t="s">
        <v>4191</v>
      </c>
      <c r="F1850" s="2" t="s">
        <v>122</v>
      </c>
      <c r="G1850" s="2" t="s">
        <v>3688</v>
      </c>
      <c r="H1850" s="2"/>
      <c r="I1850" s="2"/>
      <c r="J1850" s="2"/>
      <c r="K1850" s="2"/>
      <c r="L1850" s="2"/>
      <c r="M1850" s="2"/>
      <c r="N1850" s="2"/>
      <c r="O1850" s="2"/>
      <c r="P1850" s="2"/>
      <c r="Q1850" s="2"/>
      <c r="R1850" s="2"/>
      <c r="S1850" s="2"/>
      <c r="T1850" s="2"/>
      <c r="U1850" s="2"/>
      <c r="V1850" s="2"/>
      <c r="W1850" s="2"/>
      <c r="X1850" s="2"/>
      <c r="Y1850" s="2"/>
    </row>
    <row r="1851" spans="1:25" x14ac:dyDescent="0.2">
      <c r="A1851">
        <v>2773</v>
      </c>
      <c r="B1851" t="s">
        <v>4189</v>
      </c>
      <c r="C1851" t="s">
        <v>18</v>
      </c>
      <c r="D1851" t="s">
        <v>4190</v>
      </c>
      <c r="E1851" t="s">
        <v>4191</v>
      </c>
      <c r="F1851" t="s">
        <v>122</v>
      </c>
      <c r="G1851" t="s">
        <v>4192</v>
      </c>
      <c r="H1851" t="b">
        <v>1</v>
      </c>
      <c r="K1851" t="b">
        <v>1</v>
      </c>
      <c r="L1851" t="b">
        <v>1</v>
      </c>
      <c r="M1851" t="s">
        <v>4193</v>
      </c>
      <c r="N1851" t="s">
        <v>4194</v>
      </c>
      <c r="O1851" t="s">
        <v>4195</v>
      </c>
      <c r="P1851" t="s">
        <v>4196</v>
      </c>
    </row>
    <row r="1852" spans="1:25" x14ac:dyDescent="0.2">
      <c r="A1852">
        <v>2774</v>
      </c>
      <c r="B1852" t="s">
        <v>4189</v>
      </c>
      <c r="C1852" t="s">
        <v>18</v>
      </c>
      <c r="D1852" t="s">
        <v>4197</v>
      </c>
      <c r="E1852" t="s">
        <v>1789</v>
      </c>
      <c r="F1852" t="s">
        <v>174</v>
      </c>
      <c r="G1852" t="s">
        <v>17</v>
      </c>
      <c r="H1852" t="b">
        <v>0</v>
      </c>
      <c r="K1852" t="b">
        <v>0</v>
      </c>
      <c r="L1852" t="b">
        <v>0</v>
      </c>
      <c r="M1852" t="s">
        <v>4198</v>
      </c>
      <c r="N1852" t="s">
        <v>4199</v>
      </c>
    </row>
    <row r="1853" spans="1:25" x14ac:dyDescent="0.2">
      <c r="A1853">
        <v>2775</v>
      </c>
      <c r="B1853" t="s">
        <v>4189</v>
      </c>
      <c r="C1853" t="s">
        <v>18</v>
      </c>
      <c r="D1853" t="s">
        <v>4200</v>
      </c>
      <c r="E1853" t="s">
        <v>190</v>
      </c>
      <c r="F1853" t="s">
        <v>168</v>
      </c>
      <c r="G1853" t="s">
        <v>17</v>
      </c>
      <c r="H1853" t="b">
        <v>0</v>
      </c>
      <c r="K1853" t="b">
        <v>0</v>
      </c>
      <c r="L1853" t="b">
        <v>0</v>
      </c>
      <c r="M1853" t="s">
        <v>4201</v>
      </c>
      <c r="N1853" t="s">
        <v>4202</v>
      </c>
    </row>
    <row r="1854" spans="1:25" x14ac:dyDescent="0.2">
      <c r="A1854">
        <v>2776</v>
      </c>
      <c r="B1854" t="s">
        <v>4189</v>
      </c>
      <c r="C1854" t="s">
        <v>18</v>
      </c>
      <c r="D1854" t="s">
        <v>4203</v>
      </c>
      <c r="E1854" t="s">
        <v>4204</v>
      </c>
      <c r="F1854" t="s">
        <v>16</v>
      </c>
      <c r="G1854" t="s">
        <v>17</v>
      </c>
      <c r="H1854" t="b">
        <v>0</v>
      </c>
      <c r="K1854" t="b">
        <v>0</v>
      </c>
      <c r="L1854" t="b">
        <v>0</v>
      </c>
      <c r="M1854" t="s">
        <v>4205</v>
      </c>
      <c r="N1854" t="s">
        <v>4206</v>
      </c>
    </row>
    <row r="1855" spans="1:25" x14ac:dyDescent="0.2">
      <c r="A1855">
        <v>2777</v>
      </c>
      <c r="B1855" t="s">
        <v>4189</v>
      </c>
      <c r="C1855" t="s">
        <v>18</v>
      </c>
      <c r="D1855" t="s">
        <v>4207</v>
      </c>
      <c r="E1855" t="s">
        <v>4208</v>
      </c>
      <c r="F1855" t="s">
        <v>168</v>
      </c>
      <c r="G1855" t="s">
        <v>17</v>
      </c>
      <c r="H1855" t="b">
        <v>0</v>
      </c>
      <c r="K1855" t="b">
        <v>0</v>
      </c>
      <c r="L1855" t="b">
        <v>0</v>
      </c>
      <c r="M1855" t="s">
        <v>4209</v>
      </c>
      <c r="N1855" t="s">
        <v>4210</v>
      </c>
    </row>
    <row r="1857" spans="1:25" x14ac:dyDescent="0.2">
      <c r="A1857" s="2">
        <v>2779</v>
      </c>
      <c r="B1857" s="2" t="s">
        <v>4211</v>
      </c>
      <c r="C1857" s="2" t="s">
        <v>13</v>
      </c>
      <c r="D1857" s="2" t="s">
        <v>4212</v>
      </c>
      <c r="E1857" s="2" t="s">
        <v>4213</v>
      </c>
      <c r="F1857" s="2" t="s">
        <v>78</v>
      </c>
      <c r="G1857" s="2" t="s">
        <v>17</v>
      </c>
      <c r="H1857" s="2"/>
      <c r="I1857" s="2"/>
      <c r="J1857" s="2"/>
      <c r="K1857" s="2"/>
      <c r="L1857" s="2"/>
      <c r="M1857" s="2"/>
      <c r="N1857" s="2"/>
      <c r="O1857" s="2"/>
      <c r="P1857" s="2"/>
      <c r="Q1857" s="2"/>
      <c r="R1857" s="2"/>
      <c r="S1857" s="2"/>
      <c r="T1857" s="2"/>
      <c r="U1857" s="2"/>
      <c r="V1857" s="2"/>
      <c r="W1857" s="2"/>
      <c r="X1857" s="2"/>
      <c r="Y1857" s="2"/>
    </row>
    <row r="1858" spans="1:25" x14ac:dyDescent="0.2">
      <c r="A1858">
        <v>2780</v>
      </c>
      <c r="B1858" t="s">
        <v>4211</v>
      </c>
      <c r="C1858" t="s">
        <v>18</v>
      </c>
      <c r="D1858" t="s">
        <v>4212</v>
      </c>
      <c r="E1858" t="s">
        <v>4214</v>
      </c>
      <c r="F1858" t="s">
        <v>78</v>
      </c>
      <c r="G1858" t="s">
        <v>17</v>
      </c>
      <c r="H1858" t="b">
        <v>1</v>
      </c>
      <c r="K1858" t="b">
        <v>1</v>
      </c>
      <c r="L1858" t="b">
        <v>1</v>
      </c>
      <c r="M1858" t="s">
        <v>4215</v>
      </c>
      <c r="N1858" t="s">
        <v>4216</v>
      </c>
      <c r="O1858" t="s">
        <v>4217</v>
      </c>
    </row>
    <row r="1859" spans="1:25" x14ac:dyDescent="0.2">
      <c r="A1859">
        <v>2781</v>
      </c>
      <c r="B1859" t="s">
        <v>4211</v>
      </c>
      <c r="C1859" t="s">
        <v>18</v>
      </c>
      <c r="D1859" t="s">
        <v>4218</v>
      </c>
      <c r="E1859" t="s">
        <v>4219</v>
      </c>
      <c r="F1859" t="s">
        <v>31</v>
      </c>
      <c r="G1859" t="s">
        <v>17</v>
      </c>
      <c r="H1859" t="b">
        <v>0</v>
      </c>
      <c r="K1859" t="b">
        <v>0</v>
      </c>
      <c r="L1859" t="b">
        <v>0</v>
      </c>
      <c r="M1859" t="s">
        <v>4220</v>
      </c>
      <c r="N1859" t="s">
        <v>4221</v>
      </c>
      <c r="O1859" t="s">
        <v>4222</v>
      </c>
    </row>
    <row r="1860" spans="1:25" x14ac:dyDescent="0.2">
      <c r="A1860">
        <v>2782</v>
      </c>
      <c r="B1860" t="s">
        <v>4211</v>
      </c>
      <c r="C1860" t="s">
        <v>18</v>
      </c>
      <c r="D1860" t="s">
        <v>4223</v>
      </c>
      <c r="E1860" t="s">
        <v>4224</v>
      </c>
      <c r="F1860" t="s">
        <v>78</v>
      </c>
      <c r="G1860" t="s">
        <v>17</v>
      </c>
      <c r="H1860" t="b">
        <v>0</v>
      </c>
      <c r="K1860" t="b">
        <v>0</v>
      </c>
      <c r="L1860" t="b">
        <v>0</v>
      </c>
      <c r="M1860" t="s">
        <v>4225</v>
      </c>
      <c r="N1860" t="s">
        <v>4226</v>
      </c>
      <c r="O1860" t="s">
        <v>4227</v>
      </c>
    </row>
    <row r="1861" spans="1:25" x14ac:dyDescent="0.2">
      <c r="A1861">
        <v>2783</v>
      </c>
      <c r="B1861" t="s">
        <v>4211</v>
      </c>
      <c r="C1861" t="s">
        <v>18</v>
      </c>
      <c r="D1861" t="s">
        <v>4197</v>
      </c>
      <c r="E1861" t="s">
        <v>1789</v>
      </c>
      <c r="F1861" t="s">
        <v>174</v>
      </c>
      <c r="G1861" t="s">
        <v>17</v>
      </c>
      <c r="H1861" t="b">
        <v>0</v>
      </c>
      <c r="K1861" t="b">
        <v>0</v>
      </c>
      <c r="L1861" t="b">
        <v>0</v>
      </c>
      <c r="M1861" t="s">
        <v>4198</v>
      </c>
      <c r="N1861" t="s">
        <v>4199</v>
      </c>
    </row>
    <row r="1862" spans="1:25" x14ac:dyDescent="0.2">
      <c r="A1862">
        <v>2784</v>
      </c>
      <c r="B1862" t="s">
        <v>4211</v>
      </c>
      <c r="C1862" t="s">
        <v>18</v>
      </c>
      <c r="D1862" t="s">
        <v>4228</v>
      </c>
      <c r="E1862" t="s">
        <v>4229</v>
      </c>
      <c r="F1862" t="s">
        <v>78</v>
      </c>
      <c r="G1862" t="s">
        <v>134</v>
      </c>
      <c r="H1862" t="b">
        <v>0</v>
      </c>
      <c r="K1862" t="b">
        <v>0</v>
      </c>
      <c r="L1862" t="b">
        <v>0</v>
      </c>
      <c r="M1862" t="s">
        <v>4230</v>
      </c>
      <c r="N1862" t="s">
        <v>4231</v>
      </c>
    </row>
    <row r="1864" spans="1:25" x14ac:dyDescent="0.2">
      <c r="A1864" s="2">
        <v>2793</v>
      </c>
      <c r="B1864" s="2" t="s">
        <v>4232</v>
      </c>
      <c r="C1864" s="2" t="s">
        <v>13</v>
      </c>
      <c r="D1864" s="2" t="s">
        <v>4233</v>
      </c>
      <c r="E1864" s="2" t="s">
        <v>4234</v>
      </c>
      <c r="F1864" s="2" t="s">
        <v>248</v>
      </c>
      <c r="G1864" s="2" t="s">
        <v>17</v>
      </c>
      <c r="H1864" s="2"/>
      <c r="I1864" s="2"/>
      <c r="J1864" s="2"/>
      <c r="K1864" s="2"/>
      <c r="L1864" s="2"/>
      <c r="M1864" s="2"/>
      <c r="N1864" s="2"/>
      <c r="O1864" s="2"/>
      <c r="P1864" s="2"/>
      <c r="Q1864" s="2"/>
      <c r="R1864" s="2"/>
      <c r="S1864" s="2"/>
      <c r="T1864" s="2"/>
      <c r="U1864" s="2"/>
      <c r="V1864" s="2"/>
      <c r="W1864" s="2"/>
      <c r="X1864" s="2"/>
      <c r="Y1864" s="2"/>
    </row>
    <row r="1865" spans="1:25" x14ac:dyDescent="0.2">
      <c r="A1865">
        <v>2794</v>
      </c>
      <c r="B1865" t="s">
        <v>4232</v>
      </c>
      <c r="C1865" t="s">
        <v>18</v>
      </c>
      <c r="D1865" t="s">
        <v>4235</v>
      </c>
      <c r="E1865" t="s">
        <v>4236</v>
      </c>
      <c r="F1865" t="s">
        <v>248</v>
      </c>
      <c r="G1865" t="s">
        <v>17</v>
      </c>
      <c r="H1865" t="b">
        <v>1</v>
      </c>
      <c r="I1865" t="b">
        <v>1</v>
      </c>
      <c r="L1865" t="b">
        <v>1</v>
      </c>
      <c r="M1865" t="s">
        <v>4237</v>
      </c>
    </row>
    <row r="1866" spans="1:25" x14ac:dyDescent="0.2">
      <c r="A1866">
        <v>2795</v>
      </c>
      <c r="B1866" t="s">
        <v>4232</v>
      </c>
      <c r="C1866" t="s">
        <v>18</v>
      </c>
      <c r="D1866" t="s">
        <v>4238</v>
      </c>
      <c r="E1866" t="s">
        <v>4239</v>
      </c>
      <c r="F1866" t="s">
        <v>248</v>
      </c>
      <c r="G1866" t="s">
        <v>17</v>
      </c>
      <c r="H1866" t="b">
        <v>0</v>
      </c>
      <c r="I1866" t="b">
        <v>0</v>
      </c>
      <c r="L1866" t="b">
        <v>0</v>
      </c>
      <c r="M1866" t="s">
        <v>4240</v>
      </c>
    </row>
    <row r="1867" spans="1:25" x14ac:dyDescent="0.2">
      <c r="A1867">
        <v>2796</v>
      </c>
      <c r="B1867" t="s">
        <v>4232</v>
      </c>
      <c r="C1867" t="s">
        <v>18</v>
      </c>
      <c r="D1867" t="s">
        <v>4241</v>
      </c>
      <c r="E1867" t="s">
        <v>4242</v>
      </c>
      <c r="F1867" t="s">
        <v>670</v>
      </c>
      <c r="G1867" t="s">
        <v>638</v>
      </c>
      <c r="H1867" t="b">
        <v>0</v>
      </c>
      <c r="I1867" t="b">
        <v>0</v>
      </c>
      <c r="L1867" t="b">
        <v>0</v>
      </c>
      <c r="M1867" t="s">
        <v>4243</v>
      </c>
      <c r="N1867" t="s">
        <v>4244</v>
      </c>
    </row>
    <row r="1868" spans="1:25" x14ac:dyDescent="0.2">
      <c r="A1868">
        <v>2797</v>
      </c>
      <c r="B1868" t="s">
        <v>4232</v>
      </c>
      <c r="C1868" t="s">
        <v>18</v>
      </c>
      <c r="D1868" t="s">
        <v>4245</v>
      </c>
      <c r="E1868" t="s">
        <v>4246</v>
      </c>
      <c r="F1868" t="s">
        <v>248</v>
      </c>
      <c r="G1868" t="s">
        <v>17</v>
      </c>
      <c r="H1868" t="b">
        <v>0</v>
      </c>
      <c r="I1868" t="b">
        <v>0</v>
      </c>
      <c r="L1868" t="b">
        <v>0</v>
      </c>
      <c r="M1868" t="s">
        <v>4247</v>
      </c>
    </row>
    <row r="1869" spans="1:25" x14ac:dyDescent="0.2">
      <c r="A1869">
        <v>2798</v>
      </c>
      <c r="B1869" t="s">
        <v>4232</v>
      </c>
      <c r="C1869" t="s">
        <v>18</v>
      </c>
      <c r="D1869" t="s">
        <v>4248</v>
      </c>
      <c r="E1869" t="s">
        <v>377</v>
      </c>
      <c r="F1869" t="s">
        <v>168</v>
      </c>
      <c r="G1869" t="s">
        <v>24</v>
      </c>
      <c r="H1869" t="b">
        <v>0</v>
      </c>
      <c r="I1869" t="b">
        <v>0</v>
      </c>
      <c r="L1869" t="b">
        <v>0</v>
      </c>
      <c r="M1869" t="s">
        <v>4249</v>
      </c>
      <c r="N1869" t="s">
        <v>4250</v>
      </c>
    </row>
    <row r="1871" spans="1:25" x14ac:dyDescent="0.2">
      <c r="A1871" s="2">
        <v>280</v>
      </c>
      <c r="B1871" s="2" t="s">
        <v>4251</v>
      </c>
      <c r="C1871" s="2" t="s">
        <v>13</v>
      </c>
      <c r="D1871" s="2" t="s">
        <v>4252</v>
      </c>
      <c r="E1871" s="2" t="s">
        <v>2918</v>
      </c>
      <c r="F1871" s="2" t="s">
        <v>78</v>
      </c>
      <c r="G1871" s="2" t="s">
        <v>88</v>
      </c>
      <c r="H1871" s="2"/>
      <c r="I1871" s="2"/>
      <c r="J1871" s="2"/>
      <c r="K1871" s="2"/>
      <c r="L1871" s="2"/>
      <c r="M1871" s="2"/>
      <c r="N1871" s="2"/>
      <c r="O1871" s="2"/>
      <c r="P1871" s="2"/>
      <c r="Q1871" s="2"/>
      <c r="R1871" s="2"/>
      <c r="S1871" s="2"/>
      <c r="T1871" s="2"/>
      <c r="U1871" s="2"/>
      <c r="V1871" s="2"/>
      <c r="W1871" s="2"/>
      <c r="X1871" s="2"/>
      <c r="Y1871" s="2"/>
    </row>
    <row r="1872" spans="1:25" x14ac:dyDescent="0.2">
      <c r="A1872">
        <v>281</v>
      </c>
      <c r="B1872" t="s">
        <v>4251</v>
      </c>
      <c r="C1872" t="s">
        <v>18</v>
      </c>
      <c r="D1872" t="s">
        <v>4252</v>
      </c>
      <c r="E1872" t="s">
        <v>2918</v>
      </c>
      <c r="F1872" t="s">
        <v>78</v>
      </c>
      <c r="G1872" t="s">
        <v>88</v>
      </c>
      <c r="H1872" t="b">
        <v>1</v>
      </c>
      <c r="K1872" t="b">
        <v>1</v>
      </c>
      <c r="L1872" t="b">
        <v>1</v>
      </c>
      <c r="M1872" t="s">
        <v>4253</v>
      </c>
      <c r="N1872" t="s">
        <v>4254</v>
      </c>
    </row>
    <row r="1873" spans="1:25" x14ac:dyDescent="0.2">
      <c r="A1873">
        <v>282</v>
      </c>
      <c r="B1873" t="s">
        <v>4251</v>
      </c>
      <c r="C1873" t="s">
        <v>18</v>
      </c>
      <c r="D1873" t="s">
        <v>4255</v>
      </c>
      <c r="E1873" t="s">
        <v>4256</v>
      </c>
      <c r="F1873" t="s">
        <v>78</v>
      </c>
      <c r="G1873" t="s">
        <v>88</v>
      </c>
      <c r="H1873" t="b">
        <v>0</v>
      </c>
      <c r="K1873" t="b">
        <v>0</v>
      </c>
      <c r="L1873" t="b">
        <v>0</v>
      </c>
      <c r="M1873" t="s">
        <v>4257</v>
      </c>
    </row>
    <row r="1874" spans="1:25" x14ac:dyDescent="0.2">
      <c r="A1874">
        <v>283</v>
      </c>
      <c r="B1874" t="s">
        <v>4251</v>
      </c>
      <c r="C1874" t="s">
        <v>18</v>
      </c>
      <c r="D1874" t="s">
        <v>4258</v>
      </c>
      <c r="E1874" t="s">
        <v>4259</v>
      </c>
      <c r="F1874" t="s">
        <v>78</v>
      </c>
      <c r="G1874" t="s">
        <v>88</v>
      </c>
      <c r="H1874" t="b">
        <v>0</v>
      </c>
      <c r="K1874" t="b">
        <v>0</v>
      </c>
      <c r="L1874" t="b">
        <v>0</v>
      </c>
      <c r="M1874" t="s">
        <v>4260</v>
      </c>
      <c r="N1874" t="s">
        <v>4261</v>
      </c>
    </row>
    <row r="1875" spans="1:25" x14ac:dyDescent="0.2">
      <c r="A1875">
        <v>284</v>
      </c>
      <c r="B1875" t="s">
        <v>4251</v>
      </c>
      <c r="C1875" t="s">
        <v>18</v>
      </c>
      <c r="D1875" t="s">
        <v>4262</v>
      </c>
      <c r="E1875" t="s">
        <v>4263</v>
      </c>
      <c r="F1875" t="s">
        <v>78</v>
      </c>
      <c r="G1875" t="s">
        <v>88</v>
      </c>
      <c r="H1875" t="b">
        <v>0</v>
      </c>
      <c r="K1875" t="b">
        <v>0</v>
      </c>
      <c r="L1875" t="b">
        <v>0</v>
      </c>
      <c r="M1875" t="s">
        <v>4264</v>
      </c>
    </row>
    <row r="1876" spans="1:25" x14ac:dyDescent="0.2">
      <c r="A1876">
        <v>285</v>
      </c>
      <c r="B1876" t="s">
        <v>4251</v>
      </c>
      <c r="C1876" t="s">
        <v>18</v>
      </c>
      <c r="D1876" t="s">
        <v>4265</v>
      </c>
      <c r="E1876" t="s">
        <v>4266</v>
      </c>
      <c r="F1876" t="s">
        <v>78</v>
      </c>
      <c r="G1876" t="s">
        <v>88</v>
      </c>
      <c r="H1876" t="b">
        <v>0</v>
      </c>
      <c r="K1876" t="b">
        <v>0</v>
      </c>
      <c r="L1876" t="b">
        <v>0</v>
      </c>
      <c r="M1876" t="s">
        <v>4267</v>
      </c>
    </row>
    <row r="1878" spans="1:25" x14ac:dyDescent="0.2">
      <c r="A1878" s="2">
        <v>2800</v>
      </c>
      <c r="B1878" s="2" t="s">
        <v>4268</v>
      </c>
      <c r="C1878" s="2" t="s">
        <v>13</v>
      </c>
      <c r="D1878" s="2" t="s">
        <v>4269</v>
      </c>
      <c r="E1878" s="2" t="s">
        <v>4270</v>
      </c>
      <c r="F1878" s="2" t="s">
        <v>78</v>
      </c>
      <c r="G1878" s="2" t="s">
        <v>17</v>
      </c>
      <c r="H1878" s="2"/>
      <c r="I1878" s="2"/>
      <c r="J1878" s="2"/>
      <c r="K1878" s="2"/>
      <c r="L1878" s="2"/>
      <c r="M1878" s="2"/>
      <c r="N1878" s="2"/>
      <c r="O1878" s="2"/>
      <c r="P1878" s="2"/>
      <c r="Q1878" s="2"/>
      <c r="R1878" s="2"/>
      <c r="S1878" s="2"/>
      <c r="T1878" s="2"/>
      <c r="U1878" s="2"/>
      <c r="V1878" s="2"/>
      <c r="W1878" s="2"/>
      <c r="X1878" s="2"/>
      <c r="Y1878" s="2"/>
    </row>
    <row r="1879" spans="1:25" x14ac:dyDescent="0.2">
      <c r="A1879">
        <v>2801</v>
      </c>
      <c r="B1879" t="s">
        <v>4268</v>
      </c>
      <c r="C1879" t="s">
        <v>18</v>
      </c>
      <c r="D1879" t="s">
        <v>4269</v>
      </c>
      <c r="E1879" t="s">
        <v>4271</v>
      </c>
      <c r="F1879" t="s">
        <v>78</v>
      </c>
      <c r="G1879" t="s">
        <v>17</v>
      </c>
      <c r="H1879" t="b">
        <v>1</v>
      </c>
      <c r="K1879" t="b">
        <v>1</v>
      </c>
      <c r="L1879" t="b">
        <v>1</v>
      </c>
    </row>
    <row r="1880" spans="1:25" x14ac:dyDescent="0.2">
      <c r="A1880">
        <v>2802</v>
      </c>
      <c r="B1880" t="s">
        <v>4268</v>
      </c>
      <c r="C1880" t="s">
        <v>18</v>
      </c>
      <c r="D1880" t="s">
        <v>4272</v>
      </c>
      <c r="E1880" t="s">
        <v>4273</v>
      </c>
      <c r="F1880" t="s">
        <v>78</v>
      </c>
      <c r="G1880" t="s">
        <v>17</v>
      </c>
      <c r="H1880" t="b">
        <v>1</v>
      </c>
      <c r="K1880" t="b">
        <v>1</v>
      </c>
      <c r="L1880" t="b">
        <v>1</v>
      </c>
      <c r="M1880" t="s">
        <v>4274</v>
      </c>
    </row>
    <row r="1881" spans="1:25" x14ac:dyDescent="0.2">
      <c r="A1881">
        <v>2803</v>
      </c>
      <c r="B1881" t="s">
        <v>4268</v>
      </c>
      <c r="C1881" t="s">
        <v>18</v>
      </c>
      <c r="D1881" t="s">
        <v>4275</v>
      </c>
      <c r="E1881" t="s">
        <v>4276</v>
      </c>
      <c r="F1881" t="s">
        <v>78</v>
      </c>
      <c r="G1881" t="s">
        <v>17</v>
      </c>
      <c r="H1881" t="b">
        <v>0</v>
      </c>
      <c r="K1881" t="b">
        <v>0</v>
      </c>
      <c r="L1881" t="b">
        <v>0</v>
      </c>
      <c r="M1881" t="s">
        <v>4277</v>
      </c>
      <c r="N1881" t="s">
        <v>4278</v>
      </c>
    </row>
    <row r="1882" spans="1:25" x14ac:dyDescent="0.2">
      <c r="A1882">
        <v>2804</v>
      </c>
      <c r="B1882" t="s">
        <v>4268</v>
      </c>
      <c r="C1882" t="s">
        <v>18</v>
      </c>
      <c r="D1882" t="s">
        <v>4279</v>
      </c>
      <c r="E1882" t="s">
        <v>4280</v>
      </c>
      <c r="F1882" t="s">
        <v>78</v>
      </c>
      <c r="G1882" t="s">
        <v>17</v>
      </c>
      <c r="H1882" t="b">
        <v>0</v>
      </c>
      <c r="K1882" t="b">
        <v>0</v>
      </c>
      <c r="L1882" t="b">
        <v>0</v>
      </c>
    </row>
    <row r="1883" spans="1:25" x14ac:dyDescent="0.2">
      <c r="A1883">
        <v>2805</v>
      </c>
      <c r="B1883" t="s">
        <v>4268</v>
      </c>
      <c r="C1883" t="s">
        <v>18</v>
      </c>
      <c r="D1883" t="s">
        <v>4281</v>
      </c>
      <c r="E1883" t="s">
        <v>4282</v>
      </c>
      <c r="F1883" t="s">
        <v>78</v>
      </c>
      <c r="G1883" t="s">
        <v>17</v>
      </c>
      <c r="H1883" t="b">
        <v>0</v>
      </c>
      <c r="K1883" t="b">
        <v>0</v>
      </c>
      <c r="L1883" t="b">
        <v>0</v>
      </c>
      <c r="M1883" t="s">
        <v>4283</v>
      </c>
    </row>
    <row r="1885" spans="1:25" x14ac:dyDescent="0.2">
      <c r="A1885" s="2">
        <v>2807</v>
      </c>
      <c r="B1885" s="2" t="s">
        <v>4284</v>
      </c>
      <c r="C1885" s="2" t="s">
        <v>13</v>
      </c>
      <c r="D1885" s="2" t="s">
        <v>4285</v>
      </c>
      <c r="E1885" s="2" t="s">
        <v>4286</v>
      </c>
      <c r="F1885" s="2" t="s">
        <v>20</v>
      </c>
      <c r="G1885" s="2" t="s">
        <v>1047</v>
      </c>
      <c r="H1885" s="2"/>
      <c r="I1885" s="2"/>
      <c r="J1885" s="2"/>
      <c r="K1885" s="2"/>
      <c r="L1885" s="2"/>
      <c r="M1885" s="2"/>
      <c r="N1885" s="2"/>
      <c r="O1885" s="2"/>
      <c r="P1885" s="2"/>
      <c r="Q1885" s="2"/>
      <c r="R1885" s="2"/>
      <c r="S1885" s="2"/>
      <c r="T1885" s="2"/>
      <c r="U1885" s="2"/>
      <c r="V1885" s="2"/>
      <c r="W1885" s="2"/>
      <c r="X1885" s="2"/>
      <c r="Y1885" s="2"/>
    </row>
    <row r="1886" spans="1:25" x14ac:dyDescent="0.2">
      <c r="A1886">
        <v>2808</v>
      </c>
      <c r="B1886" t="s">
        <v>4284</v>
      </c>
      <c r="C1886" t="s">
        <v>18</v>
      </c>
      <c r="D1886" t="s">
        <v>4285</v>
      </c>
      <c r="E1886" t="s">
        <v>4286</v>
      </c>
      <c r="F1886" t="s">
        <v>20</v>
      </c>
      <c r="G1886" t="s">
        <v>1047</v>
      </c>
      <c r="H1886" t="b">
        <v>1</v>
      </c>
      <c r="I1886" t="b">
        <v>1</v>
      </c>
      <c r="L1886" t="b">
        <v>1</v>
      </c>
      <c r="M1886" t="s">
        <v>4287</v>
      </c>
      <c r="N1886" t="s">
        <v>4288</v>
      </c>
    </row>
    <row r="1887" spans="1:25" x14ac:dyDescent="0.2">
      <c r="A1887">
        <v>2809</v>
      </c>
      <c r="B1887" t="s">
        <v>4284</v>
      </c>
      <c r="C1887" t="s">
        <v>18</v>
      </c>
      <c r="D1887" t="s">
        <v>4289</v>
      </c>
      <c r="E1887" t="s">
        <v>4290</v>
      </c>
      <c r="F1887" t="s">
        <v>174</v>
      </c>
      <c r="G1887" t="s">
        <v>32</v>
      </c>
      <c r="H1887" t="b">
        <v>0</v>
      </c>
      <c r="I1887" t="b">
        <v>0</v>
      </c>
      <c r="L1887" t="b">
        <v>0</v>
      </c>
      <c r="M1887" t="s">
        <v>4291</v>
      </c>
    </row>
    <row r="1888" spans="1:25" x14ac:dyDescent="0.2">
      <c r="A1888">
        <v>2810</v>
      </c>
      <c r="B1888" t="s">
        <v>4284</v>
      </c>
      <c r="C1888" t="s">
        <v>18</v>
      </c>
      <c r="D1888" t="s">
        <v>4292</v>
      </c>
      <c r="E1888" t="s">
        <v>4293</v>
      </c>
      <c r="F1888" t="s">
        <v>174</v>
      </c>
      <c r="G1888" t="s">
        <v>32</v>
      </c>
      <c r="H1888" t="b">
        <v>0</v>
      </c>
      <c r="I1888" t="b">
        <v>0</v>
      </c>
      <c r="L1888" t="b">
        <v>0</v>
      </c>
      <c r="M1888" t="s">
        <v>4294</v>
      </c>
    </row>
    <row r="1889" spans="1:25" x14ac:dyDescent="0.2">
      <c r="A1889">
        <v>2811</v>
      </c>
      <c r="B1889" t="s">
        <v>4284</v>
      </c>
      <c r="C1889" t="s">
        <v>18</v>
      </c>
      <c r="D1889" t="s">
        <v>3112</v>
      </c>
      <c r="E1889" t="s">
        <v>3111</v>
      </c>
      <c r="F1889" t="s">
        <v>20</v>
      </c>
      <c r="G1889" t="s">
        <v>1047</v>
      </c>
      <c r="H1889" t="b">
        <v>0</v>
      </c>
      <c r="I1889" t="b">
        <v>0</v>
      </c>
      <c r="L1889" t="b">
        <v>0</v>
      </c>
      <c r="M1889" t="s">
        <v>3113</v>
      </c>
      <c r="N1889" t="s">
        <v>3114</v>
      </c>
    </row>
    <row r="1890" spans="1:25" x14ac:dyDescent="0.2">
      <c r="A1890">
        <v>2812</v>
      </c>
      <c r="B1890" t="s">
        <v>4284</v>
      </c>
      <c r="C1890" t="s">
        <v>18</v>
      </c>
      <c r="D1890" t="s">
        <v>4295</v>
      </c>
      <c r="E1890" t="s">
        <v>4296</v>
      </c>
      <c r="F1890" t="s">
        <v>159</v>
      </c>
      <c r="G1890" t="s">
        <v>130</v>
      </c>
      <c r="H1890" t="b">
        <v>0</v>
      </c>
      <c r="I1890" t="b">
        <v>0</v>
      </c>
      <c r="L1890" t="b">
        <v>0</v>
      </c>
      <c r="M1890" t="s">
        <v>4297</v>
      </c>
      <c r="N1890" t="s">
        <v>4298</v>
      </c>
    </row>
    <row r="1892" spans="1:25" x14ac:dyDescent="0.2">
      <c r="A1892" s="2">
        <v>2814</v>
      </c>
      <c r="B1892" s="2" t="s">
        <v>4299</v>
      </c>
      <c r="C1892" s="2" t="s">
        <v>13</v>
      </c>
      <c r="D1892" s="2" t="s">
        <v>4300</v>
      </c>
      <c r="E1892" s="2" t="s">
        <v>4301</v>
      </c>
      <c r="F1892" s="2" t="s">
        <v>205</v>
      </c>
      <c r="G1892" s="2" t="s">
        <v>252</v>
      </c>
      <c r="H1892" s="2"/>
      <c r="I1892" s="2"/>
      <c r="J1892" s="2"/>
      <c r="K1892" s="2"/>
      <c r="L1892" s="2"/>
      <c r="M1892" s="2"/>
      <c r="N1892" s="2"/>
      <c r="O1892" s="2"/>
      <c r="P1892" s="2"/>
      <c r="Q1892" s="2"/>
      <c r="R1892" s="2"/>
      <c r="S1892" s="2"/>
      <c r="T1892" s="2"/>
      <c r="U1892" s="2"/>
      <c r="V1892" s="2"/>
      <c r="W1892" s="2"/>
      <c r="X1892" s="2"/>
      <c r="Y1892" s="2"/>
    </row>
    <row r="1893" spans="1:25" x14ac:dyDescent="0.2">
      <c r="A1893">
        <v>2815</v>
      </c>
      <c r="B1893" t="s">
        <v>4299</v>
      </c>
      <c r="C1893" t="s">
        <v>18</v>
      </c>
      <c r="D1893" t="s">
        <v>4300</v>
      </c>
      <c r="E1893" t="s">
        <v>4302</v>
      </c>
      <c r="F1893" t="s">
        <v>205</v>
      </c>
      <c r="G1893" t="s">
        <v>252</v>
      </c>
      <c r="H1893" t="b">
        <v>1</v>
      </c>
      <c r="K1893" t="b">
        <v>1</v>
      </c>
      <c r="L1893" t="b">
        <v>1</v>
      </c>
      <c r="M1893" t="s">
        <v>4303</v>
      </c>
    </row>
    <row r="1894" spans="1:25" x14ac:dyDescent="0.2">
      <c r="A1894">
        <v>2816</v>
      </c>
      <c r="B1894" t="s">
        <v>4299</v>
      </c>
      <c r="C1894" t="s">
        <v>18</v>
      </c>
      <c r="D1894" t="s">
        <v>4304</v>
      </c>
      <c r="E1894" t="s">
        <v>4305</v>
      </c>
      <c r="F1894" t="s">
        <v>205</v>
      </c>
      <c r="G1894" t="s">
        <v>252</v>
      </c>
      <c r="H1894" t="b">
        <v>1</v>
      </c>
      <c r="K1894" t="b">
        <v>0</v>
      </c>
      <c r="L1894" t="b">
        <v>1</v>
      </c>
      <c r="M1894" t="s">
        <v>4306</v>
      </c>
    </row>
    <row r="1895" spans="1:25" x14ac:dyDescent="0.2">
      <c r="A1895">
        <v>2817</v>
      </c>
      <c r="B1895" t="s">
        <v>4299</v>
      </c>
      <c r="C1895" t="s">
        <v>18</v>
      </c>
      <c r="D1895" t="s">
        <v>4307</v>
      </c>
      <c r="E1895" t="s">
        <v>4308</v>
      </c>
      <c r="F1895" t="s">
        <v>420</v>
      </c>
      <c r="G1895" t="s">
        <v>252</v>
      </c>
      <c r="H1895" t="b">
        <v>0</v>
      </c>
      <c r="K1895" t="b">
        <v>0</v>
      </c>
      <c r="L1895" t="b">
        <v>0</v>
      </c>
      <c r="M1895" t="s">
        <v>4309</v>
      </c>
      <c r="N1895" t="s">
        <v>4310</v>
      </c>
    </row>
    <row r="1896" spans="1:25" x14ac:dyDescent="0.2">
      <c r="A1896">
        <v>2818</v>
      </c>
      <c r="B1896" t="s">
        <v>4299</v>
      </c>
      <c r="C1896" t="s">
        <v>18</v>
      </c>
      <c r="D1896" t="s">
        <v>4311</v>
      </c>
      <c r="E1896" t="s">
        <v>4312</v>
      </c>
      <c r="F1896" t="s">
        <v>574</v>
      </c>
      <c r="G1896" t="s">
        <v>252</v>
      </c>
      <c r="H1896" t="b">
        <v>0</v>
      </c>
      <c r="K1896" t="b">
        <v>0</v>
      </c>
      <c r="L1896" t="b">
        <v>0</v>
      </c>
      <c r="M1896" t="s">
        <v>4313</v>
      </c>
      <c r="N1896" t="s">
        <v>4314</v>
      </c>
    </row>
    <row r="1897" spans="1:25" x14ac:dyDescent="0.2">
      <c r="A1897">
        <v>2819</v>
      </c>
      <c r="B1897" t="s">
        <v>4299</v>
      </c>
      <c r="C1897" t="s">
        <v>18</v>
      </c>
      <c r="D1897" t="s">
        <v>4315</v>
      </c>
      <c r="E1897" t="s">
        <v>4316</v>
      </c>
      <c r="F1897" t="s">
        <v>654</v>
      </c>
      <c r="G1897" t="s">
        <v>252</v>
      </c>
      <c r="H1897" t="b">
        <v>0</v>
      </c>
      <c r="K1897" t="b">
        <v>0</v>
      </c>
      <c r="L1897" t="b">
        <v>0</v>
      </c>
      <c r="M1897" t="s">
        <v>4317</v>
      </c>
      <c r="N1897" t="s">
        <v>4318</v>
      </c>
    </row>
    <row r="1899" spans="1:25" x14ac:dyDescent="0.2">
      <c r="A1899" s="2">
        <v>2821</v>
      </c>
      <c r="B1899" s="2" t="s">
        <v>4319</v>
      </c>
      <c r="C1899" s="2" t="s">
        <v>13</v>
      </c>
      <c r="D1899" s="2" t="s">
        <v>4320</v>
      </c>
      <c r="E1899" s="2" t="s">
        <v>4321</v>
      </c>
      <c r="F1899" s="2" t="s">
        <v>1938</v>
      </c>
      <c r="G1899" s="2" t="s">
        <v>279</v>
      </c>
      <c r="H1899" s="2"/>
      <c r="I1899" s="2"/>
      <c r="J1899" s="2"/>
      <c r="K1899" s="2"/>
      <c r="L1899" s="2"/>
      <c r="M1899" s="2"/>
      <c r="N1899" s="2"/>
      <c r="O1899" s="2"/>
      <c r="P1899" s="2"/>
      <c r="Q1899" s="2"/>
      <c r="R1899" s="2"/>
      <c r="S1899" s="2"/>
      <c r="T1899" s="2"/>
      <c r="U1899" s="2"/>
      <c r="V1899" s="2"/>
      <c r="W1899" s="2"/>
      <c r="X1899" s="2"/>
      <c r="Y1899" s="2"/>
    </row>
    <row r="1900" spans="1:25" x14ac:dyDescent="0.2">
      <c r="A1900">
        <v>2822</v>
      </c>
      <c r="B1900" t="s">
        <v>4319</v>
      </c>
      <c r="C1900" t="s">
        <v>18</v>
      </c>
      <c r="D1900" t="s">
        <v>4322</v>
      </c>
      <c r="E1900" t="s">
        <v>4321</v>
      </c>
      <c r="F1900" t="s">
        <v>1938</v>
      </c>
      <c r="G1900" t="s">
        <v>280</v>
      </c>
      <c r="H1900" t="b">
        <v>1</v>
      </c>
      <c r="K1900" t="b">
        <v>1</v>
      </c>
      <c r="L1900" t="b">
        <v>1</v>
      </c>
      <c r="M1900" t="s">
        <v>4323</v>
      </c>
      <c r="N1900" t="s">
        <v>4324</v>
      </c>
    </row>
    <row r="1901" spans="1:25" x14ac:dyDescent="0.2">
      <c r="A1901">
        <v>2823</v>
      </c>
      <c r="B1901" t="s">
        <v>4319</v>
      </c>
      <c r="C1901" t="s">
        <v>18</v>
      </c>
      <c r="D1901" t="s">
        <v>4325</v>
      </c>
      <c r="E1901" t="s">
        <v>4326</v>
      </c>
      <c r="F1901" t="s">
        <v>1938</v>
      </c>
      <c r="G1901" t="s">
        <v>280</v>
      </c>
      <c r="H1901" t="b">
        <v>1</v>
      </c>
      <c r="K1901" t="b">
        <v>1</v>
      </c>
      <c r="L1901" t="b">
        <v>1</v>
      </c>
      <c r="M1901" t="s">
        <v>4327</v>
      </c>
    </row>
    <row r="1902" spans="1:25" x14ac:dyDescent="0.2">
      <c r="A1902">
        <v>2824</v>
      </c>
      <c r="B1902" t="s">
        <v>4319</v>
      </c>
      <c r="C1902" t="s">
        <v>18</v>
      </c>
      <c r="D1902" t="s">
        <v>4328</v>
      </c>
      <c r="E1902" t="s">
        <v>4329</v>
      </c>
      <c r="F1902" t="s">
        <v>1938</v>
      </c>
      <c r="G1902" t="s">
        <v>280</v>
      </c>
      <c r="H1902" t="b">
        <v>1</v>
      </c>
      <c r="K1902" t="b">
        <v>1</v>
      </c>
      <c r="L1902" t="b">
        <v>1</v>
      </c>
      <c r="M1902" t="s">
        <v>4330</v>
      </c>
      <c r="N1902" t="s">
        <v>4331</v>
      </c>
    </row>
    <row r="1903" spans="1:25" x14ac:dyDescent="0.2">
      <c r="A1903">
        <v>2825</v>
      </c>
      <c r="B1903" t="s">
        <v>4319</v>
      </c>
      <c r="C1903" t="s">
        <v>18</v>
      </c>
      <c r="D1903" t="s">
        <v>4332</v>
      </c>
      <c r="E1903" t="s">
        <v>4333</v>
      </c>
      <c r="F1903" t="s">
        <v>82</v>
      </c>
      <c r="G1903" t="s">
        <v>280</v>
      </c>
      <c r="H1903" t="b">
        <v>0</v>
      </c>
      <c r="K1903" t="b">
        <v>0</v>
      </c>
      <c r="L1903" t="b">
        <v>0</v>
      </c>
      <c r="M1903" t="s">
        <v>4334</v>
      </c>
    </row>
    <row r="1904" spans="1:25" x14ac:dyDescent="0.2">
      <c r="A1904">
        <v>2826</v>
      </c>
      <c r="B1904" t="s">
        <v>4319</v>
      </c>
      <c r="C1904" t="s">
        <v>18</v>
      </c>
      <c r="D1904" t="s">
        <v>4335</v>
      </c>
      <c r="E1904" t="s">
        <v>4336</v>
      </c>
      <c r="F1904" t="s">
        <v>4337</v>
      </c>
      <c r="G1904" t="s">
        <v>279</v>
      </c>
      <c r="H1904" t="b">
        <v>0</v>
      </c>
      <c r="K1904" t="b">
        <v>0</v>
      </c>
      <c r="L1904" t="b">
        <v>0</v>
      </c>
      <c r="M1904" t="s">
        <v>4338</v>
      </c>
      <c r="N1904" t="s">
        <v>4339</v>
      </c>
    </row>
    <row r="1906" spans="1:25" x14ac:dyDescent="0.2">
      <c r="A1906" s="2">
        <v>2835</v>
      </c>
      <c r="B1906" s="2" t="s">
        <v>4340</v>
      </c>
      <c r="C1906" s="2" t="s">
        <v>13</v>
      </c>
      <c r="D1906" s="2" t="s">
        <v>4341</v>
      </c>
      <c r="E1906" s="2" t="s">
        <v>4342</v>
      </c>
      <c r="F1906" s="2" t="s">
        <v>248</v>
      </c>
      <c r="G1906" s="2" t="s">
        <v>280</v>
      </c>
      <c r="H1906" s="2"/>
      <c r="I1906" s="2"/>
      <c r="J1906" s="2"/>
      <c r="K1906" s="2"/>
      <c r="L1906" s="2"/>
      <c r="M1906" s="2"/>
      <c r="N1906" s="2"/>
      <c r="O1906" s="2"/>
      <c r="P1906" s="2"/>
      <c r="Q1906" s="2"/>
      <c r="R1906" s="2"/>
      <c r="S1906" s="2"/>
      <c r="T1906" s="2"/>
      <c r="U1906" s="2"/>
      <c r="V1906" s="2"/>
      <c r="W1906" s="2"/>
      <c r="X1906" s="2"/>
      <c r="Y1906" s="2"/>
    </row>
    <row r="1907" spans="1:25" x14ac:dyDescent="0.2">
      <c r="A1907">
        <v>2836</v>
      </c>
      <c r="B1907" t="s">
        <v>4340</v>
      </c>
      <c r="C1907" t="s">
        <v>18</v>
      </c>
      <c r="D1907" t="s">
        <v>4341</v>
      </c>
      <c r="E1907" t="s">
        <v>4343</v>
      </c>
      <c r="F1907" t="s">
        <v>248</v>
      </c>
      <c r="G1907" t="s">
        <v>280</v>
      </c>
      <c r="H1907" t="b">
        <v>1</v>
      </c>
      <c r="I1907" t="b">
        <v>1</v>
      </c>
      <c r="L1907" t="b">
        <v>1</v>
      </c>
      <c r="M1907" t="s">
        <v>4344</v>
      </c>
      <c r="N1907" t="s">
        <v>4345</v>
      </c>
    </row>
    <row r="1908" spans="1:25" x14ac:dyDescent="0.2">
      <c r="A1908">
        <v>2837</v>
      </c>
      <c r="B1908" t="s">
        <v>4340</v>
      </c>
      <c r="C1908" t="s">
        <v>18</v>
      </c>
      <c r="D1908" t="s">
        <v>4346</v>
      </c>
      <c r="E1908" t="s">
        <v>4347</v>
      </c>
      <c r="F1908" t="s">
        <v>248</v>
      </c>
      <c r="G1908" t="s">
        <v>280</v>
      </c>
      <c r="H1908" t="b">
        <v>0</v>
      </c>
      <c r="I1908" t="b">
        <v>0</v>
      </c>
      <c r="L1908" t="b">
        <v>0</v>
      </c>
      <c r="M1908" t="s">
        <v>4348</v>
      </c>
      <c r="N1908" t="s">
        <v>4349</v>
      </c>
      <c r="O1908" t="s">
        <v>4350</v>
      </c>
      <c r="P1908" t="s">
        <v>4351</v>
      </c>
    </row>
    <row r="1909" spans="1:25" x14ac:dyDescent="0.2">
      <c r="A1909">
        <v>2838</v>
      </c>
      <c r="B1909" t="s">
        <v>4340</v>
      </c>
      <c r="C1909" t="s">
        <v>18</v>
      </c>
      <c r="D1909" t="s">
        <v>4352</v>
      </c>
      <c r="E1909" t="s">
        <v>4353</v>
      </c>
      <c r="F1909" t="s">
        <v>82</v>
      </c>
      <c r="G1909" t="s">
        <v>280</v>
      </c>
      <c r="H1909" t="b">
        <v>0</v>
      </c>
      <c r="I1909" t="b">
        <v>0</v>
      </c>
      <c r="L1909" t="b">
        <v>0</v>
      </c>
      <c r="M1909" t="s">
        <v>4354</v>
      </c>
    </row>
    <row r="1910" spans="1:25" x14ac:dyDescent="0.2">
      <c r="A1910">
        <v>2839</v>
      </c>
      <c r="B1910" t="s">
        <v>4340</v>
      </c>
      <c r="C1910" t="s">
        <v>18</v>
      </c>
      <c r="D1910" t="s">
        <v>4355</v>
      </c>
      <c r="E1910" t="s">
        <v>4353</v>
      </c>
      <c r="F1910" t="s">
        <v>78</v>
      </c>
      <c r="G1910" t="s">
        <v>280</v>
      </c>
      <c r="H1910" t="b">
        <v>0</v>
      </c>
      <c r="I1910" t="b">
        <v>0</v>
      </c>
      <c r="L1910" t="b">
        <v>0</v>
      </c>
      <c r="M1910" t="s">
        <v>4356</v>
      </c>
    </row>
    <row r="1911" spans="1:25" x14ac:dyDescent="0.2">
      <c r="A1911">
        <v>2840</v>
      </c>
      <c r="B1911" t="s">
        <v>4340</v>
      </c>
      <c r="C1911" t="s">
        <v>18</v>
      </c>
      <c r="D1911" t="s">
        <v>4357</v>
      </c>
      <c r="E1911" t="s">
        <v>4358</v>
      </c>
      <c r="F1911" t="s">
        <v>82</v>
      </c>
      <c r="G1911" t="s">
        <v>280</v>
      </c>
      <c r="H1911" t="b">
        <v>0</v>
      </c>
      <c r="I1911" t="b">
        <v>0</v>
      </c>
      <c r="L1911" t="b">
        <v>0</v>
      </c>
      <c r="M1911" t="s">
        <v>4359</v>
      </c>
    </row>
    <row r="1913" spans="1:25" x14ac:dyDescent="0.2">
      <c r="A1913" s="2">
        <v>2863</v>
      </c>
      <c r="B1913" s="2" t="s">
        <v>4360</v>
      </c>
      <c r="C1913" s="2" t="s">
        <v>13</v>
      </c>
      <c r="D1913" s="2" t="s">
        <v>4361</v>
      </c>
      <c r="E1913" s="2" t="s">
        <v>4362</v>
      </c>
      <c r="F1913" s="2" t="s">
        <v>159</v>
      </c>
      <c r="G1913" s="2" t="s">
        <v>201</v>
      </c>
      <c r="H1913" s="2"/>
      <c r="I1913" s="2"/>
      <c r="J1913" s="2"/>
      <c r="K1913" s="2"/>
      <c r="L1913" s="2"/>
      <c r="M1913" s="2"/>
      <c r="N1913" s="2"/>
      <c r="O1913" s="2"/>
      <c r="P1913" s="2"/>
      <c r="Q1913" s="2"/>
      <c r="R1913" s="2"/>
      <c r="S1913" s="2"/>
      <c r="T1913" s="2"/>
      <c r="U1913" s="2"/>
      <c r="V1913" s="2"/>
      <c r="W1913" s="2"/>
      <c r="X1913" s="2"/>
      <c r="Y1913" s="2"/>
    </row>
    <row r="1914" spans="1:25" x14ac:dyDescent="0.2">
      <c r="A1914">
        <v>2864</v>
      </c>
      <c r="B1914" t="s">
        <v>4360</v>
      </c>
      <c r="C1914" t="s">
        <v>18</v>
      </c>
      <c r="D1914" t="s">
        <v>208</v>
      </c>
      <c r="E1914" t="s">
        <v>209</v>
      </c>
      <c r="F1914" t="s">
        <v>159</v>
      </c>
      <c r="G1914" t="s">
        <v>201</v>
      </c>
      <c r="H1914" t="b">
        <v>1</v>
      </c>
      <c r="K1914" t="b">
        <v>1</v>
      </c>
      <c r="L1914" t="b">
        <v>1</v>
      </c>
      <c r="M1914" t="s">
        <v>4363</v>
      </c>
      <c r="N1914" t="s">
        <v>4364</v>
      </c>
    </row>
    <row r="1915" spans="1:25" x14ac:dyDescent="0.2">
      <c r="A1915">
        <v>2865</v>
      </c>
      <c r="B1915" t="s">
        <v>4360</v>
      </c>
      <c r="C1915" t="s">
        <v>18</v>
      </c>
      <c r="D1915" t="s">
        <v>203</v>
      </c>
      <c r="E1915" t="s">
        <v>204</v>
      </c>
      <c r="F1915" t="s">
        <v>205</v>
      </c>
      <c r="G1915" t="s">
        <v>201</v>
      </c>
      <c r="H1915" t="b">
        <v>0</v>
      </c>
      <c r="K1915" t="b">
        <v>0</v>
      </c>
      <c r="L1915" t="b">
        <v>0</v>
      </c>
      <c r="M1915" t="s">
        <v>4365</v>
      </c>
      <c r="N1915" t="s">
        <v>4366</v>
      </c>
    </row>
    <row r="1916" spans="1:25" x14ac:dyDescent="0.2">
      <c r="A1916">
        <v>2866</v>
      </c>
      <c r="B1916" t="s">
        <v>4360</v>
      </c>
      <c r="C1916" t="s">
        <v>18</v>
      </c>
      <c r="D1916" t="s">
        <v>206</v>
      </c>
      <c r="E1916" t="s">
        <v>207</v>
      </c>
      <c r="F1916" t="s">
        <v>205</v>
      </c>
      <c r="G1916" t="s">
        <v>201</v>
      </c>
      <c r="H1916" t="b">
        <v>0</v>
      </c>
      <c r="K1916" t="b">
        <v>0</v>
      </c>
      <c r="L1916" t="b">
        <v>0</v>
      </c>
      <c r="M1916" t="s">
        <v>4367</v>
      </c>
      <c r="N1916" t="s">
        <v>4368</v>
      </c>
    </row>
    <row r="1917" spans="1:25" x14ac:dyDescent="0.2">
      <c r="A1917">
        <v>2867</v>
      </c>
      <c r="B1917" t="s">
        <v>4360</v>
      </c>
      <c r="C1917" t="s">
        <v>18</v>
      </c>
      <c r="D1917" t="s">
        <v>4369</v>
      </c>
      <c r="E1917" t="s">
        <v>4370</v>
      </c>
      <c r="F1917" t="s">
        <v>82</v>
      </c>
      <c r="G1917" t="s">
        <v>201</v>
      </c>
      <c r="H1917" t="b">
        <v>0</v>
      </c>
      <c r="K1917" t="b">
        <v>0</v>
      </c>
      <c r="L1917" t="b">
        <v>0</v>
      </c>
      <c r="M1917" t="s">
        <v>4371</v>
      </c>
    </row>
    <row r="1918" spans="1:25" x14ac:dyDescent="0.2">
      <c r="A1918">
        <v>2868</v>
      </c>
      <c r="B1918" t="s">
        <v>4360</v>
      </c>
      <c r="C1918" t="s">
        <v>18</v>
      </c>
      <c r="D1918" t="s">
        <v>198</v>
      </c>
      <c r="E1918" t="s">
        <v>202</v>
      </c>
      <c r="F1918" t="s">
        <v>200</v>
      </c>
      <c r="G1918" t="s">
        <v>201</v>
      </c>
      <c r="H1918" t="b">
        <v>0</v>
      </c>
      <c r="K1918" t="b">
        <v>0</v>
      </c>
      <c r="L1918" t="b">
        <v>0</v>
      </c>
      <c r="M1918" t="s">
        <v>4372</v>
      </c>
    </row>
    <row r="1920" spans="1:25" x14ac:dyDescent="0.2">
      <c r="A1920" s="2">
        <v>2870</v>
      </c>
      <c r="B1920" s="2" t="s">
        <v>4373</v>
      </c>
      <c r="C1920" s="2" t="s">
        <v>13</v>
      </c>
      <c r="D1920" s="2" t="s">
        <v>203</v>
      </c>
      <c r="E1920" s="2" t="s">
        <v>4374</v>
      </c>
      <c r="F1920" s="2" t="s">
        <v>205</v>
      </c>
      <c r="G1920" s="2" t="s">
        <v>201</v>
      </c>
      <c r="H1920" s="2"/>
      <c r="I1920" s="2"/>
      <c r="J1920" s="2"/>
      <c r="K1920" s="2"/>
      <c r="L1920" s="2"/>
      <c r="M1920" s="2"/>
      <c r="N1920" s="2"/>
      <c r="O1920" s="2"/>
      <c r="P1920" s="2"/>
      <c r="Q1920" s="2"/>
      <c r="R1920" s="2"/>
      <c r="S1920" s="2"/>
      <c r="T1920" s="2"/>
      <c r="U1920" s="2"/>
      <c r="V1920" s="2"/>
      <c r="W1920" s="2"/>
      <c r="X1920" s="2"/>
      <c r="Y1920" s="2"/>
    </row>
    <row r="1921" spans="1:25" x14ac:dyDescent="0.2">
      <c r="A1921">
        <v>2871</v>
      </c>
      <c r="B1921" t="s">
        <v>4373</v>
      </c>
      <c r="C1921" t="s">
        <v>18</v>
      </c>
      <c r="D1921" t="s">
        <v>203</v>
      </c>
      <c r="E1921" t="s">
        <v>204</v>
      </c>
      <c r="F1921" t="s">
        <v>205</v>
      </c>
      <c r="G1921" t="s">
        <v>201</v>
      </c>
      <c r="H1921" t="b">
        <v>1</v>
      </c>
      <c r="I1921" t="b">
        <v>1</v>
      </c>
      <c r="L1921" t="b">
        <v>1</v>
      </c>
      <c r="M1921" t="s">
        <v>4365</v>
      </c>
      <c r="N1921" t="s">
        <v>4366</v>
      </c>
    </row>
    <row r="1922" spans="1:25" x14ac:dyDescent="0.2">
      <c r="A1922">
        <v>2872</v>
      </c>
      <c r="B1922" t="s">
        <v>4373</v>
      </c>
      <c r="C1922" t="s">
        <v>18</v>
      </c>
      <c r="D1922" t="s">
        <v>206</v>
      </c>
      <c r="E1922" t="s">
        <v>207</v>
      </c>
      <c r="F1922" t="s">
        <v>205</v>
      </c>
      <c r="G1922" t="s">
        <v>201</v>
      </c>
      <c r="H1922" t="b">
        <v>1</v>
      </c>
      <c r="I1922" t="b">
        <v>1</v>
      </c>
      <c r="L1922" t="b">
        <v>1</v>
      </c>
      <c r="M1922" t="s">
        <v>4367</v>
      </c>
      <c r="N1922" t="s">
        <v>4368</v>
      </c>
    </row>
    <row r="1923" spans="1:25" x14ac:dyDescent="0.2">
      <c r="A1923">
        <v>2873</v>
      </c>
      <c r="B1923" t="s">
        <v>4373</v>
      </c>
      <c r="C1923" t="s">
        <v>18</v>
      </c>
      <c r="D1923" t="s">
        <v>198</v>
      </c>
      <c r="E1923" t="s">
        <v>202</v>
      </c>
      <c r="F1923" t="s">
        <v>200</v>
      </c>
      <c r="G1923" t="s">
        <v>201</v>
      </c>
      <c r="H1923" t="b">
        <v>0</v>
      </c>
      <c r="I1923" t="b">
        <v>0</v>
      </c>
      <c r="L1923" t="b">
        <v>0</v>
      </c>
      <c r="M1923" t="s">
        <v>4372</v>
      </c>
    </row>
    <row r="1924" spans="1:25" x14ac:dyDescent="0.2">
      <c r="A1924">
        <v>2874</v>
      </c>
      <c r="B1924" t="s">
        <v>4373</v>
      </c>
      <c r="C1924" t="s">
        <v>18</v>
      </c>
      <c r="D1924" t="s">
        <v>208</v>
      </c>
      <c r="E1924" t="s">
        <v>209</v>
      </c>
      <c r="F1924" t="s">
        <v>159</v>
      </c>
      <c r="G1924" t="s">
        <v>201</v>
      </c>
      <c r="H1924" t="b">
        <v>0</v>
      </c>
      <c r="I1924" t="b">
        <v>0</v>
      </c>
      <c r="L1924" t="b">
        <v>0</v>
      </c>
      <c r="M1924" t="s">
        <v>4363</v>
      </c>
      <c r="N1924" t="s">
        <v>4364</v>
      </c>
    </row>
    <row r="1925" spans="1:25" x14ac:dyDescent="0.2">
      <c r="A1925">
        <v>2875</v>
      </c>
      <c r="B1925" t="s">
        <v>4373</v>
      </c>
      <c r="C1925" t="s">
        <v>18</v>
      </c>
      <c r="D1925" t="s">
        <v>4375</v>
      </c>
      <c r="E1925" t="s">
        <v>4376</v>
      </c>
      <c r="F1925" t="s">
        <v>159</v>
      </c>
      <c r="G1925" t="s">
        <v>201</v>
      </c>
      <c r="H1925" t="b">
        <v>0</v>
      </c>
      <c r="I1925" t="b">
        <v>0</v>
      </c>
      <c r="L1925" t="b">
        <v>0</v>
      </c>
      <c r="M1925" t="s">
        <v>4377</v>
      </c>
      <c r="N1925" t="s">
        <v>4378</v>
      </c>
    </row>
    <row r="1927" spans="1:25" x14ac:dyDescent="0.2">
      <c r="A1927" s="2">
        <v>2898</v>
      </c>
      <c r="B1927" s="2" t="s">
        <v>4379</v>
      </c>
      <c r="C1927" s="2" t="s">
        <v>13</v>
      </c>
      <c r="D1927" s="2" t="s">
        <v>210</v>
      </c>
      <c r="E1927" s="2" t="s">
        <v>4380</v>
      </c>
      <c r="F1927" s="2" t="s">
        <v>159</v>
      </c>
      <c r="G1927" s="2" t="s">
        <v>201</v>
      </c>
      <c r="H1927" s="2"/>
      <c r="I1927" s="2"/>
      <c r="J1927" s="2"/>
      <c r="K1927" s="2"/>
      <c r="L1927" s="2"/>
      <c r="M1927" s="2"/>
      <c r="N1927" s="2"/>
      <c r="O1927" s="2"/>
      <c r="P1927" s="2"/>
      <c r="Q1927" s="2"/>
      <c r="R1927" s="2"/>
      <c r="S1927" s="2"/>
      <c r="T1927" s="2"/>
      <c r="U1927" s="2"/>
      <c r="V1927" s="2"/>
      <c r="W1927" s="2"/>
      <c r="X1927" s="2"/>
      <c r="Y1927" s="2"/>
    </row>
    <row r="1928" spans="1:25" x14ac:dyDescent="0.2">
      <c r="A1928">
        <v>2899</v>
      </c>
      <c r="B1928" t="s">
        <v>4379</v>
      </c>
      <c r="C1928" t="s">
        <v>18</v>
      </c>
      <c r="D1928" t="s">
        <v>210</v>
      </c>
      <c r="E1928" t="s">
        <v>211</v>
      </c>
      <c r="F1928" t="s">
        <v>159</v>
      </c>
      <c r="G1928" t="s">
        <v>201</v>
      </c>
      <c r="H1928" t="b">
        <v>1</v>
      </c>
      <c r="K1928" t="b">
        <v>1</v>
      </c>
      <c r="L1928" t="b">
        <v>1</v>
      </c>
      <c r="M1928" t="s">
        <v>4381</v>
      </c>
      <c r="N1928" t="s">
        <v>4382</v>
      </c>
    </row>
    <row r="1929" spans="1:25" x14ac:dyDescent="0.2">
      <c r="A1929">
        <v>2900</v>
      </c>
      <c r="B1929" t="s">
        <v>4379</v>
      </c>
      <c r="C1929" t="s">
        <v>18</v>
      </c>
      <c r="D1929" t="s">
        <v>4369</v>
      </c>
      <c r="E1929" t="s">
        <v>4370</v>
      </c>
      <c r="F1929" t="s">
        <v>82</v>
      </c>
      <c r="G1929" t="s">
        <v>201</v>
      </c>
      <c r="H1929" t="b">
        <v>0</v>
      </c>
      <c r="K1929" t="b">
        <v>0</v>
      </c>
      <c r="L1929" t="b">
        <v>0</v>
      </c>
      <c r="M1929" t="s">
        <v>4371</v>
      </c>
    </row>
    <row r="1930" spans="1:25" x14ac:dyDescent="0.2">
      <c r="A1930">
        <v>2901</v>
      </c>
      <c r="B1930" t="s">
        <v>4379</v>
      </c>
      <c r="C1930" t="s">
        <v>18</v>
      </c>
      <c r="D1930" t="s">
        <v>2857</v>
      </c>
      <c r="E1930" t="s">
        <v>2858</v>
      </c>
      <c r="F1930" t="s">
        <v>159</v>
      </c>
      <c r="G1930" t="s">
        <v>201</v>
      </c>
      <c r="H1930" t="b">
        <v>0</v>
      </c>
      <c r="K1930" t="b">
        <v>0</v>
      </c>
      <c r="L1930" t="b">
        <v>0</v>
      </c>
      <c r="M1930" t="s">
        <v>2859</v>
      </c>
      <c r="N1930" t="s">
        <v>2860</v>
      </c>
    </row>
    <row r="1931" spans="1:25" x14ac:dyDescent="0.2">
      <c r="A1931">
        <v>2902</v>
      </c>
      <c r="B1931" t="s">
        <v>4379</v>
      </c>
      <c r="C1931" t="s">
        <v>18</v>
      </c>
      <c r="D1931" t="s">
        <v>4383</v>
      </c>
      <c r="E1931" t="s">
        <v>4384</v>
      </c>
      <c r="F1931" t="s">
        <v>1837</v>
      </c>
      <c r="G1931" t="s">
        <v>201</v>
      </c>
      <c r="H1931" t="b">
        <v>0</v>
      </c>
      <c r="K1931" t="b">
        <v>0</v>
      </c>
      <c r="L1931" t="b">
        <v>0</v>
      </c>
      <c r="M1931" t="s">
        <v>4385</v>
      </c>
      <c r="N1931" t="s">
        <v>4386</v>
      </c>
    </row>
    <row r="1932" spans="1:25" x14ac:dyDescent="0.2">
      <c r="A1932">
        <v>2903</v>
      </c>
      <c r="B1932" t="s">
        <v>4379</v>
      </c>
      <c r="C1932" t="s">
        <v>18</v>
      </c>
      <c r="D1932" t="s">
        <v>4387</v>
      </c>
      <c r="E1932" t="s">
        <v>4388</v>
      </c>
      <c r="F1932" t="s">
        <v>159</v>
      </c>
      <c r="G1932" t="s">
        <v>201</v>
      </c>
      <c r="H1932" t="b">
        <v>0</v>
      </c>
      <c r="K1932" t="b">
        <v>0</v>
      </c>
      <c r="L1932" t="b">
        <v>0</v>
      </c>
      <c r="M1932" t="s">
        <v>4389</v>
      </c>
      <c r="N1932" t="s">
        <v>4390</v>
      </c>
    </row>
    <row r="1934" spans="1:25" x14ac:dyDescent="0.2">
      <c r="A1934" s="2">
        <v>2905</v>
      </c>
      <c r="B1934" s="2" t="s">
        <v>4391</v>
      </c>
      <c r="C1934" s="2" t="s">
        <v>13</v>
      </c>
      <c r="D1934" s="2" t="s">
        <v>4392</v>
      </c>
      <c r="E1934" s="2" t="s">
        <v>4393</v>
      </c>
      <c r="F1934" s="2" t="s">
        <v>159</v>
      </c>
      <c r="G1934" s="2" t="s">
        <v>201</v>
      </c>
      <c r="H1934" s="2"/>
      <c r="I1934" s="2"/>
      <c r="J1934" s="2"/>
      <c r="K1934" s="2"/>
      <c r="L1934" s="2"/>
      <c r="M1934" s="2"/>
      <c r="N1934" s="2"/>
      <c r="O1934" s="2"/>
      <c r="P1934" s="2"/>
      <c r="Q1934" s="2"/>
      <c r="R1934" s="2"/>
      <c r="S1934" s="2"/>
      <c r="T1934" s="2"/>
      <c r="U1934" s="2"/>
      <c r="V1934" s="2"/>
      <c r="W1934" s="2"/>
      <c r="X1934" s="2"/>
      <c r="Y1934" s="2"/>
    </row>
    <row r="1935" spans="1:25" x14ac:dyDescent="0.2">
      <c r="A1935">
        <v>2906</v>
      </c>
      <c r="B1935" t="s">
        <v>4391</v>
      </c>
      <c r="C1935" t="s">
        <v>18</v>
      </c>
      <c r="D1935" t="s">
        <v>4392</v>
      </c>
      <c r="E1935" t="s">
        <v>4394</v>
      </c>
      <c r="F1935" t="s">
        <v>159</v>
      </c>
      <c r="G1935" t="s">
        <v>4395</v>
      </c>
      <c r="H1935" t="b">
        <v>1</v>
      </c>
      <c r="K1935" t="b">
        <v>1</v>
      </c>
      <c r="L1935" t="b">
        <v>1</v>
      </c>
      <c r="M1935" t="s">
        <v>4396</v>
      </c>
      <c r="N1935" t="s">
        <v>4397</v>
      </c>
    </row>
    <row r="1936" spans="1:25" x14ac:dyDescent="0.2">
      <c r="A1936">
        <v>2907</v>
      </c>
      <c r="B1936" t="s">
        <v>4391</v>
      </c>
      <c r="C1936" t="s">
        <v>18</v>
      </c>
      <c r="D1936" t="s">
        <v>4398</v>
      </c>
      <c r="E1936" t="s">
        <v>4399</v>
      </c>
      <c r="F1936" t="s">
        <v>159</v>
      </c>
      <c r="G1936" t="s">
        <v>1114</v>
      </c>
      <c r="H1936" t="b">
        <v>0</v>
      </c>
      <c r="K1936" t="b">
        <v>0</v>
      </c>
      <c r="L1936" t="b">
        <v>0</v>
      </c>
      <c r="M1936" t="s">
        <v>4400</v>
      </c>
      <c r="N1936" t="s">
        <v>4401</v>
      </c>
    </row>
    <row r="1937" spans="1:25" x14ac:dyDescent="0.2">
      <c r="A1937">
        <v>2908</v>
      </c>
      <c r="B1937" t="s">
        <v>4391</v>
      </c>
      <c r="C1937" t="s">
        <v>18</v>
      </c>
      <c r="D1937" t="s">
        <v>1112</v>
      </c>
      <c r="E1937" t="s">
        <v>1113</v>
      </c>
      <c r="F1937" t="s">
        <v>159</v>
      </c>
      <c r="G1937" t="s">
        <v>1114</v>
      </c>
      <c r="H1937" t="b">
        <v>0</v>
      </c>
      <c r="K1937" t="b">
        <v>0</v>
      </c>
      <c r="L1937" t="b">
        <v>0</v>
      </c>
      <c r="M1937" t="s">
        <v>1115</v>
      </c>
    </row>
    <row r="1938" spans="1:25" x14ac:dyDescent="0.2">
      <c r="A1938">
        <v>2909</v>
      </c>
      <c r="B1938" t="s">
        <v>4391</v>
      </c>
      <c r="C1938" t="s">
        <v>18</v>
      </c>
      <c r="D1938" t="s">
        <v>4402</v>
      </c>
      <c r="E1938" t="s">
        <v>4403</v>
      </c>
      <c r="F1938" t="s">
        <v>82</v>
      </c>
      <c r="G1938" t="s">
        <v>1114</v>
      </c>
      <c r="H1938" t="b">
        <v>0</v>
      </c>
      <c r="K1938" t="b">
        <v>0</v>
      </c>
      <c r="L1938" t="b">
        <v>0</v>
      </c>
    </row>
    <row r="1939" spans="1:25" x14ac:dyDescent="0.2">
      <c r="A1939">
        <v>2910</v>
      </c>
      <c r="B1939" t="s">
        <v>4391</v>
      </c>
      <c r="C1939" t="s">
        <v>18</v>
      </c>
      <c r="D1939" t="s">
        <v>4404</v>
      </c>
      <c r="E1939" t="s">
        <v>4405</v>
      </c>
      <c r="F1939" t="s">
        <v>1837</v>
      </c>
      <c r="G1939" t="s">
        <v>1114</v>
      </c>
      <c r="H1939" t="b">
        <v>0</v>
      </c>
      <c r="K1939" t="b">
        <v>0</v>
      </c>
      <c r="L1939" t="b">
        <v>0</v>
      </c>
      <c r="M1939" t="s">
        <v>4406</v>
      </c>
      <c r="N1939" t="s">
        <v>4407</v>
      </c>
    </row>
    <row r="1941" spans="1:25" x14ac:dyDescent="0.2">
      <c r="A1941" s="2">
        <v>2919</v>
      </c>
      <c r="B1941" s="2" t="s">
        <v>4408</v>
      </c>
      <c r="C1941" s="2" t="s">
        <v>13</v>
      </c>
      <c r="D1941" s="2" t="s">
        <v>4409</v>
      </c>
      <c r="E1941" s="2" t="s">
        <v>4410</v>
      </c>
      <c r="F1941" s="2" t="s">
        <v>82</v>
      </c>
      <c r="G1941" s="2" t="s">
        <v>265</v>
      </c>
      <c r="H1941" s="2"/>
      <c r="I1941" s="2"/>
      <c r="J1941" s="2"/>
      <c r="K1941" s="2"/>
      <c r="L1941" s="2"/>
      <c r="M1941" s="2"/>
      <c r="N1941" s="2"/>
      <c r="O1941" s="2"/>
      <c r="P1941" s="2"/>
      <c r="Q1941" s="2"/>
      <c r="R1941" s="2"/>
      <c r="S1941" s="2"/>
      <c r="T1941" s="2"/>
      <c r="U1941" s="2"/>
      <c r="V1941" s="2"/>
      <c r="W1941" s="2"/>
      <c r="X1941" s="2"/>
      <c r="Y1941" s="2"/>
    </row>
    <row r="1942" spans="1:25" x14ac:dyDescent="0.2">
      <c r="A1942">
        <v>2920</v>
      </c>
      <c r="B1942" t="s">
        <v>4408</v>
      </c>
      <c r="C1942" t="s">
        <v>18</v>
      </c>
      <c r="D1942" t="s">
        <v>3903</v>
      </c>
      <c r="E1942" t="s">
        <v>3904</v>
      </c>
      <c r="F1942" t="s">
        <v>159</v>
      </c>
      <c r="G1942" t="s">
        <v>265</v>
      </c>
      <c r="H1942" t="b">
        <v>1</v>
      </c>
      <c r="I1942" t="b">
        <v>1</v>
      </c>
      <c r="L1942" t="b">
        <v>1</v>
      </c>
      <c r="M1942" t="s">
        <v>3905</v>
      </c>
      <c r="N1942" t="s">
        <v>3906</v>
      </c>
      <c r="O1942" t="s">
        <v>3907</v>
      </c>
      <c r="P1942" t="s">
        <v>3908</v>
      </c>
    </row>
    <row r="1943" spans="1:25" x14ac:dyDescent="0.2">
      <c r="A1943">
        <v>2921</v>
      </c>
      <c r="B1943" t="s">
        <v>4408</v>
      </c>
      <c r="C1943" t="s">
        <v>18</v>
      </c>
      <c r="D1943" t="s">
        <v>3909</v>
      </c>
      <c r="E1943" t="s">
        <v>3910</v>
      </c>
      <c r="F1943" t="s">
        <v>159</v>
      </c>
      <c r="G1943" t="s">
        <v>265</v>
      </c>
      <c r="H1943" t="b">
        <v>0</v>
      </c>
      <c r="I1943" t="b">
        <v>0</v>
      </c>
      <c r="L1943" t="b">
        <v>0</v>
      </c>
      <c r="M1943" t="s">
        <v>3911</v>
      </c>
      <c r="N1943" t="s">
        <v>3912</v>
      </c>
    </row>
    <row r="1944" spans="1:25" x14ac:dyDescent="0.2">
      <c r="A1944">
        <v>2922</v>
      </c>
      <c r="B1944" t="s">
        <v>4408</v>
      </c>
      <c r="C1944" t="s">
        <v>18</v>
      </c>
      <c r="D1944" t="s">
        <v>3913</v>
      </c>
      <c r="E1944" t="s">
        <v>3914</v>
      </c>
      <c r="F1944" t="s">
        <v>1837</v>
      </c>
      <c r="G1944" t="s">
        <v>265</v>
      </c>
      <c r="H1944" t="b">
        <v>0</v>
      </c>
      <c r="I1944" t="b">
        <v>0</v>
      </c>
      <c r="L1944" t="b">
        <v>0</v>
      </c>
      <c r="M1944" t="s">
        <v>3915</v>
      </c>
      <c r="N1944" t="s">
        <v>3916</v>
      </c>
    </row>
    <row r="1945" spans="1:25" x14ac:dyDescent="0.2">
      <c r="A1945">
        <v>2923</v>
      </c>
      <c r="B1945" t="s">
        <v>4408</v>
      </c>
      <c r="C1945" t="s">
        <v>18</v>
      </c>
      <c r="D1945" t="s">
        <v>4411</v>
      </c>
      <c r="E1945" t="s">
        <v>4412</v>
      </c>
      <c r="F1945" t="s">
        <v>82</v>
      </c>
      <c r="G1945" t="s">
        <v>265</v>
      </c>
      <c r="H1945" t="b">
        <v>0</v>
      </c>
      <c r="I1945" t="b">
        <v>0</v>
      </c>
      <c r="L1945" t="b">
        <v>0</v>
      </c>
    </row>
    <row r="1946" spans="1:25" x14ac:dyDescent="0.2">
      <c r="A1946">
        <v>2924</v>
      </c>
      <c r="B1946" t="s">
        <v>4408</v>
      </c>
      <c r="C1946" t="s">
        <v>18</v>
      </c>
      <c r="D1946" t="s">
        <v>4413</v>
      </c>
      <c r="E1946" t="s">
        <v>4414</v>
      </c>
      <c r="F1946" t="s">
        <v>82</v>
      </c>
      <c r="G1946" t="s">
        <v>265</v>
      </c>
      <c r="H1946" t="b">
        <v>0</v>
      </c>
      <c r="I1946" t="b">
        <v>0</v>
      </c>
      <c r="L1946" t="b">
        <v>0</v>
      </c>
    </row>
    <row r="1948" spans="1:25" x14ac:dyDescent="0.2">
      <c r="A1948" s="2">
        <v>2961</v>
      </c>
      <c r="B1948" s="2" t="s">
        <v>4415</v>
      </c>
      <c r="C1948" s="2" t="s">
        <v>13</v>
      </c>
      <c r="D1948" s="2" t="s">
        <v>4050</v>
      </c>
      <c r="E1948" s="2" t="s">
        <v>4416</v>
      </c>
      <c r="F1948" s="2" t="s">
        <v>1404</v>
      </c>
      <c r="G1948" s="2" t="s">
        <v>88</v>
      </c>
      <c r="H1948" s="2"/>
      <c r="I1948" s="2"/>
      <c r="J1948" s="2"/>
      <c r="K1948" s="2"/>
      <c r="L1948" s="2"/>
      <c r="M1948" s="2"/>
      <c r="N1948" s="2"/>
      <c r="O1948" s="2"/>
      <c r="P1948" s="2"/>
      <c r="Q1948" s="2"/>
      <c r="R1948" s="2"/>
      <c r="S1948" s="2"/>
      <c r="T1948" s="2"/>
      <c r="U1948" s="2"/>
      <c r="V1948" s="2"/>
      <c r="W1948" s="2"/>
      <c r="X1948" s="2"/>
      <c r="Y1948" s="2"/>
    </row>
    <row r="1949" spans="1:25" x14ac:dyDescent="0.2">
      <c r="A1949">
        <v>2962</v>
      </c>
      <c r="B1949" t="s">
        <v>4415</v>
      </c>
      <c r="C1949" t="s">
        <v>18</v>
      </c>
      <c r="D1949" t="s">
        <v>4050</v>
      </c>
      <c r="E1949" t="s">
        <v>4051</v>
      </c>
      <c r="F1949" t="s">
        <v>1404</v>
      </c>
      <c r="G1949" t="s">
        <v>88</v>
      </c>
      <c r="H1949" t="b">
        <v>1</v>
      </c>
      <c r="K1949" t="b">
        <v>1</v>
      </c>
      <c r="L1949" t="b">
        <v>1</v>
      </c>
      <c r="M1949" t="s">
        <v>4052</v>
      </c>
      <c r="N1949" t="s">
        <v>4053</v>
      </c>
      <c r="O1949" t="s">
        <v>4054</v>
      </c>
      <c r="P1949" t="s">
        <v>4055</v>
      </c>
    </row>
    <row r="1950" spans="1:25" x14ac:dyDescent="0.2">
      <c r="A1950">
        <v>2963</v>
      </c>
      <c r="B1950" t="s">
        <v>4415</v>
      </c>
      <c r="C1950" t="s">
        <v>18</v>
      </c>
      <c r="D1950" t="s">
        <v>4047</v>
      </c>
      <c r="E1950" t="s">
        <v>4048</v>
      </c>
      <c r="F1950" t="s">
        <v>151</v>
      </c>
      <c r="G1950" t="s">
        <v>24</v>
      </c>
      <c r="H1950" t="b">
        <v>0</v>
      </c>
      <c r="K1950" t="b">
        <v>0</v>
      </c>
      <c r="L1950" t="b">
        <v>0</v>
      </c>
      <c r="M1950" t="s">
        <v>4049</v>
      </c>
    </row>
    <row r="1951" spans="1:25" x14ac:dyDescent="0.2">
      <c r="A1951">
        <v>2964</v>
      </c>
      <c r="B1951" t="s">
        <v>4415</v>
      </c>
      <c r="C1951" t="s">
        <v>18</v>
      </c>
      <c r="D1951" t="s">
        <v>4038</v>
      </c>
      <c r="E1951" t="s">
        <v>4040</v>
      </c>
      <c r="F1951" t="s">
        <v>151</v>
      </c>
      <c r="G1951" t="s">
        <v>24</v>
      </c>
      <c r="H1951" t="b">
        <v>0</v>
      </c>
      <c r="K1951" t="b">
        <v>0</v>
      </c>
      <c r="L1951" t="b">
        <v>0</v>
      </c>
      <c r="M1951" t="s">
        <v>4041</v>
      </c>
      <c r="N1951" t="s">
        <v>4042</v>
      </c>
    </row>
    <row r="1952" spans="1:25" x14ac:dyDescent="0.2">
      <c r="A1952">
        <v>2965</v>
      </c>
      <c r="B1952" t="s">
        <v>4415</v>
      </c>
      <c r="C1952" t="s">
        <v>18</v>
      </c>
      <c r="D1952" t="s">
        <v>4043</v>
      </c>
      <c r="E1952" t="s">
        <v>4044</v>
      </c>
      <c r="F1952" t="s">
        <v>151</v>
      </c>
      <c r="G1952" t="s">
        <v>24</v>
      </c>
      <c r="H1952" t="b">
        <v>0</v>
      </c>
      <c r="K1952" t="b">
        <v>0</v>
      </c>
      <c r="L1952" t="b">
        <v>0</v>
      </c>
      <c r="M1952" t="s">
        <v>4045</v>
      </c>
      <c r="N1952" t="s">
        <v>4046</v>
      </c>
    </row>
    <row r="1953" spans="1:25" x14ac:dyDescent="0.2">
      <c r="A1953">
        <v>2966</v>
      </c>
      <c r="B1953" t="s">
        <v>4415</v>
      </c>
      <c r="C1953" t="s">
        <v>18</v>
      </c>
      <c r="D1953" t="s">
        <v>4417</v>
      </c>
      <c r="E1953" t="s">
        <v>4418</v>
      </c>
      <c r="F1953" t="s">
        <v>151</v>
      </c>
      <c r="G1953" t="s">
        <v>24</v>
      </c>
      <c r="H1953" t="b">
        <v>0</v>
      </c>
      <c r="K1953" t="b">
        <v>0</v>
      </c>
      <c r="L1953" t="b">
        <v>0</v>
      </c>
      <c r="M1953" t="s">
        <v>4419</v>
      </c>
      <c r="N1953" t="s">
        <v>4420</v>
      </c>
    </row>
    <row r="1955" spans="1:25" x14ac:dyDescent="0.2">
      <c r="A1955" s="2">
        <v>2968</v>
      </c>
      <c r="B1955" s="2" t="s">
        <v>4421</v>
      </c>
      <c r="C1955" s="2" t="s">
        <v>13</v>
      </c>
      <c r="D1955" s="2" t="s">
        <v>4422</v>
      </c>
      <c r="E1955" s="2" t="s">
        <v>4423</v>
      </c>
      <c r="F1955" s="2" t="s">
        <v>144</v>
      </c>
      <c r="G1955" s="2" t="s">
        <v>94</v>
      </c>
      <c r="H1955" s="2"/>
      <c r="I1955" s="2"/>
      <c r="J1955" s="2"/>
      <c r="K1955" s="2"/>
      <c r="L1955" s="2"/>
      <c r="M1955" s="2"/>
      <c r="N1955" s="2"/>
      <c r="O1955" s="2"/>
      <c r="P1955" s="2"/>
      <c r="Q1955" s="2"/>
      <c r="R1955" s="2"/>
      <c r="S1955" s="2"/>
      <c r="T1955" s="2"/>
      <c r="U1955" s="2"/>
      <c r="V1955" s="2"/>
      <c r="W1955" s="2"/>
      <c r="X1955" s="2"/>
      <c r="Y1955" s="2"/>
    </row>
    <row r="1956" spans="1:25" x14ac:dyDescent="0.2">
      <c r="A1956">
        <v>2969</v>
      </c>
      <c r="B1956" t="s">
        <v>4421</v>
      </c>
      <c r="C1956" t="s">
        <v>18</v>
      </c>
      <c r="D1956" t="s">
        <v>4422</v>
      </c>
      <c r="E1956" t="s">
        <v>3656</v>
      </c>
      <c r="F1956" t="s">
        <v>144</v>
      </c>
      <c r="G1956" t="s">
        <v>94</v>
      </c>
      <c r="H1956" t="b">
        <v>1</v>
      </c>
      <c r="K1956" t="b">
        <v>1</v>
      </c>
      <c r="L1956" t="b">
        <v>1</v>
      </c>
      <c r="M1956" t="s">
        <v>4424</v>
      </c>
      <c r="N1956" t="s">
        <v>4425</v>
      </c>
    </row>
    <row r="1957" spans="1:25" x14ac:dyDescent="0.2">
      <c r="A1957">
        <v>2970</v>
      </c>
      <c r="B1957" t="s">
        <v>4421</v>
      </c>
      <c r="C1957" t="s">
        <v>18</v>
      </c>
      <c r="D1957" t="s">
        <v>4426</v>
      </c>
      <c r="E1957" t="s">
        <v>1612</v>
      </c>
      <c r="F1957" t="s">
        <v>144</v>
      </c>
      <c r="G1957" t="s">
        <v>94</v>
      </c>
      <c r="H1957" t="b">
        <v>1</v>
      </c>
      <c r="K1957" t="b">
        <v>1</v>
      </c>
      <c r="L1957" t="b">
        <v>1</v>
      </c>
      <c r="M1957" t="s">
        <v>4427</v>
      </c>
    </row>
    <row r="1958" spans="1:25" x14ac:dyDescent="0.2">
      <c r="A1958">
        <v>2971</v>
      </c>
      <c r="B1958" t="s">
        <v>4421</v>
      </c>
      <c r="C1958" t="s">
        <v>18</v>
      </c>
      <c r="D1958" t="s">
        <v>4428</v>
      </c>
      <c r="E1958" t="s">
        <v>4429</v>
      </c>
      <c r="F1958" t="s">
        <v>78</v>
      </c>
      <c r="G1958" t="s">
        <v>88</v>
      </c>
      <c r="H1958" t="b">
        <v>0</v>
      </c>
      <c r="K1958" t="b">
        <v>0</v>
      </c>
      <c r="L1958" t="b">
        <v>0</v>
      </c>
    </row>
    <row r="1959" spans="1:25" x14ac:dyDescent="0.2">
      <c r="A1959">
        <v>2972</v>
      </c>
      <c r="B1959" t="s">
        <v>4421</v>
      </c>
      <c r="C1959" t="s">
        <v>18</v>
      </c>
      <c r="D1959" t="s">
        <v>4430</v>
      </c>
      <c r="E1959" t="s">
        <v>4431</v>
      </c>
      <c r="F1959" t="s">
        <v>78</v>
      </c>
      <c r="G1959" t="s">
        <v>88</v>
      </c>
      <c r="H1959" t="b">
        <v>0</v>
      </c>
      <c r="K1959" t="b">
        <v>0</v>
      </c>
      <c r="L1959" t="b">
        <v>0</v>
      </c>
    </row>
    <row r="1960" spans="1:25" x14ac:dyDescent="0.2">
      <c r="A1960">
        <v>2973</v>
      </c>
      <c r="B1960" t="s">
        <v>4421</v>
      </c>
      <c r="C1960" t="s">
        <v>18</v>
      </c>
      <c r="D1960" t="s">
        <v>4432</v>
      </c>
      <c r="E1960" t="s">
        <v>4433</v>
      </c>
      <c r="F1960" t="s">
        <v>78</v>
      </c>
      <c r="G1960" t="s">
        <v>1867</v>
      </c>
      <c r="H1960" t="b">
        <v>0</v>
      </c>
      <c r="K1960" t="b">
        <v>0</v>
      </c>
      <c r="L1960" t="b">
        <v>0</v>
      </c>
    </row>
    <row r="1962" spans="1:25" x14ac:dyDescent="0.2">
      <c r="A1962" s="2">
        <v>2982</v>
      </c>
      <c r="B1962" s="2" t="s">
        <v>4434</v>
      </c>
      <c r="C1962" s="2" t="s">
        <v>13</v>
      </c>
      <c r="D1962" s="2" t="s">
        <v>4435</v>
      </c>
      <c r="E1962" s="2" t="s">
        <v>4436</v>
      </c>
      <c r="F1962" s="2" t="s">
        <v>316</v>
      </c>
      <c r="G1962" s="2" t="s">
        <v>252</v>
      </c>
      <c r="H1962" s="2"/>
      <c r="I1962" s="2"/>
      <c r="J1962" s="2"/>
      <c r="K1962" s="2"/>
      <c r="L1962" s="2"/>
      <c r="M1962" s="2"/>
      <c r="N1962" s="2"/>
      <c r="O1962" s="2"/>
      <c r="P1962" s="2"/>
      <c r="Q1962" s="2"/>
      <c r="R1962" s="2"/>
      <c r="S1962" s="2"/>
      <c r="T1962" s="2"/>
      <c r="U1962" s="2"/>
      <c r="V1962" s="2"/>
      <c r="W1962" s="2"/>
      <c r="X1962" s="2"/>
      <c r="Y1962" s="2"/>
    </row>
    <row r="1963" spans="1:25" x14ac:dyDescent="0.2">
      <c r="A1963">
        <v>2983</v>
      </c>
      <c r="B1963" t="s">
        <v>4434</v>
      </c>
      <c r="C1963" t="s">
        <v>18</v>
      </c>
      <c r="D1963" t="s">
        <v>4435</v>
      </c>
      <c r="E1963" t="s">
        <v>4436</v>
      </c>
      <c r="F1963" t="s">
        <v>316</v>
      </c>
      <c r="G1963" t="s">
        <v>252</v>
      </c>
      <c r="H1963" t="b">
        <v>1</v>
      </c>
      <c r="I1963" t="b">
        <v>1</v>
      </c>
      <c r="L1963" t="b">
        <v>1</v>
      </c>
      <c r="M1963" t="s">
        <v>4437</v>
      </c>
      <c r="N1963" t="s">
        <v>4438</v>
      </c>
    </row>
    <row r="1964" spans="1:25" x14ac:dyDescent="0.2">
      <c r="A1964">
        <v>2984</v>
      </c>
      <c r="B1964" t="s">
        <v>4434</v>
      </c>
      <c r="C1964" t="s">
        <v>18</v>
      </c>
      <c r="D1964" t="s">
        <v>1549</v>
      </c>
      <c r="E1964" t="s">
        <v>1550</v>
      </c>
      <c r="F1964" t="s">
        <v>205</v>
      </c>
      <c r="G1964" t="s">
        <v>252</v>
      </c>
      <c r="H1964" t="b">
        <v>0</v>
      </c>
      <c r="I1964" t="b">
        <v>0</v>
      </c>
      <c r="L1964" t="b">
        <v>0</v>
      </c>
      <c r="M1964" t="s">
        <v>1551</v>
      </c>
    </row>
    <row r="1965" spans="1:25" x14ac:dyDescent="0.2">
      <c r="A1965">
        <v>2985</v>
      </c>
      <c r="B1965" t="s">
        <v>4434</v>
      </c>
      <c r="C1965" t="s">
        <v>18</v>
      </c>
      <c r="D1965" t="s">
        <v>3795</v>
      </c>
      <c r="E1965" t="s">
        <v>195</v>
      </c>
      <c r="F1965" t="s">
        <v>654</v>
      </c>
      <c r="G1965" t="s">
        <v>252</v>
      </c>
      <c r="H1965" t="b">
        <v>0</v>
      </c>
      <c r="I1965" t="b">
        <v>0</v>
      </c>
      <c r="L1965" t="b">
        <v>0</v>
      </c>
      <c r="M1965" t="s">
        <v>3797</v>
      </c>
      <c r="N1965" t="s">
        <v>3798</v>
      </c>
    </row>
    <row r="1966" spans="1:25" x14ac:dyDescent="0.2">
      <c r="A1966">
        <v>2986</v>
      </c>
      <c r="B1966" t="s">
        <v>4434</v>
      </c>
      <c r="C1966" t="s">
        <v>18</v>
      </c>
      <c r="D1966" t="s">
        <v>3799</v>
      </c>
      <c r="E1966" t="s">
        <v>3800</v>
      </c>
      <c r="F1966" t="s">
        <v>654</v>
      </c>
      <c r="G1966" t="s">
        <v>252</v>
      </c>
      <c r="H1966" t="b">
        <v>0</v>
      </c>
      <c r="I1966" t="b">
        <v>0</v>
      </c>
      <c r="L1966" t="b">
        <v>0</v>
      </c>
      <c r="M1966" t="s">
        <v>3801</v>
      </c>
      <c r="N1966" t="s">
        <v>3802</v>
      </c>
    </row>
    <row r="1967" spans="1:25" x14ac:dyDescent="0.2">
      <c r="A1967">
        <v>2987</v>
      </c>
      <c r="B1967" t="s">
        <v>4434</v>
      </c>
      <c r="C1967" t="s">
        <v>18</v>
      </c>
      <c r="D1967" t="s">
        <v>4439</v>
      </c>
      <c r="E1967" t="s">
        <v>4440</v>
      </c>
      <c r="F1967" t="s">
        <v>23</v>
      </c>
      <c r="G1967" t="s">
        <v>252</v>
      </c>
      <c r="H1967" t="b">
        <v>0</v>
      </c>
      <c r="I1967" t="b">
        <v>0</v>
      </c>
      <c r="L1967" t="b">
        <v>0</v>
      </c>
    </row>
    <row r="1969" spans="1:25" x14ac:dyDescent="0.2">
      <c r="A1969" s="2">
        <v>2989</v>
      </c>
      <c r="B1969" s="2" t="s">
        <v>4441</v>
      </c>
      <c r="C1969" s="2" t="s">
        <v>13</v>
      </c>
      <c r="D1969" s="2" t="s">
        <v>4442</v>
      </c>
      <c r="E1969" s="2" t="s">
        <v>4443</v>
      </c>
      <c r="F1969" s="2" t="s">
        <v>23</v>
      </c>
      <c r="G1969" s="2" t="s">
        <v>32</v>
      </c>
      <c r="H1969" s="2"/>
      <c r="I1969" s="2"/>
      <c r="J1969" s="2"/>
      <c r="K1969" s="2"/>
      <c r="L1969" s="2"/>
      <c r="M1969" s="2"/>
      <c r="N1969" s="2"/>
      <c r="O1969" s="2"/>
      <c r="P1969" s="2"/>
      <c r="Q1969" s="2"/>
      <c r="R1969" s="2"/>
      <c r="S1969" s="2"/>
      <c r="T1969" s="2"/>
      <c r="U1969" s="2"/>
      <c r="V1969" s="2"/>
      <c r="W1969" s="2"/>
      <c r="X1969" s="2"/>
      <c r="Y1969" s="2"/>
    </row>
    <row r="1970" spans="1:25" x14ac:dyDescent="0.2">
      <c r="A1970">
        <v>2990</v>
      </c>
      <c r="B1970" t="s">
        <v>4441</v>
      </c>
      <c r="C1970" t="s">
        <v>18</v>
      </c>
      <c r="D1970" t="s">
        <v>4442</v>
      </c>
      <c r="E1970" t="s">
        <v>431</v>
      </c>
      <c r="F1970" t="s">
        <v>23</v>
      </c>
      <c r="G1970" t="s">
        <v>32</v>
      </c>
      <c r="H1970" t="b">
        <v>1</v>
      </c>
      <c r="I1970" t="b">
        <v>1</v>
      </c>
      <c r="L1970" t="b">
        <v>1</v>
      </c>
      <c r="M1970" t="s">
        <v>4444</v>
      </c>
      <c r="N1970" t="s">
        <v>4445</v>
      </c>
    </row>
    <row r="1971" spans="1:25" x14ac:dyDescent="0.2">
      <c r="A1971">
        <v>2991</v>
      </c>
      <c r="B1971" t="s">
        <v>4441</v>
      </c>
      <c r="C1971" t="s">
        <v>18</v>
      </c>
      <c r="D1971" t="s">
        <v>4446</v>
      </c>
      <c r="E1971" t="s">
        <v>4447</v>
      </c>
      <c r="F1971" t="s">
        <v>23</v>
      </c>
      <c r="G1971" t="s">
        <v>32</v>
      </c>
      <c r="H1971" t="b">
        <v>1</v>
      </c>
      <c r="I1971" t="b">
        <v>1</v>
      </c>
      <c r="L1971" t="b">
        <v>1</v>
      </c>
      <c r="M1971" t="s">
        <v>4448</v>
      </c>
    </row>
    <row r="1972" spans="1:25" x14ac:dyDescent="0.2">
      <c r="A1972">
        <v>2992</v>
      </c>
      <c r="B1972" t="s">
        <v>4441</v>
      </c>
      <c r="C1972" t="s">
        <v>18</v>
      </c>
      <c r="D1972" t="s">
        <v>4449</v>
      </c>
      <c r="E1972" t="s">
        <v>4450</v>
      </c>
      <c r="F1972" t="s">
        <v>23</v>
      </c>
      <c r="G1972" t="s">
        <v>32</v>
      </c>
      <c r="H1972" t="b">
        <v>0</v>
      </c>
      <c r="I1972" t="b">
        <v>0</v>
      </c>
      <c r="L1972" t="b">
        <v>0</v>
      </c>
    </row>
    <row r="1973" spans="1:25" x14ac:dyDescent="0.2">
      <c r="A1973">
        <v>2993</v>
      </c>
      <c r="B1973" t="s">
        <v>4441</v>
      </c>
      <c r="C1973" t="s">
        <v>18</v>
      </c>
      <c r="D1973" t="s">
        <v>4451</v>
      </c>
      <c r="E1973" t="s">
        <v>4452</v>
      </c>
      <c r="F1973" t="s">
        <v>23</v>
      </c>
      <c r="G1973" t="s">
        <v>32</v>
      </c>
      <c r="H1973" t="b">
        <v>0</v>
      </c>
      <c r="I1973" t="b">
        <v>0</v>
      </c>
      <c r="L1973" t="b">
        <v>0</v>
      </c>
    </row>
    <row r="1974" spans="1:25" x14ac:dyDescent="0.2">
      <c r="A1974">
        <v>2994</v>
      </c>
      <c r="B1974" t="s">
        <v>4441</v>
      </c>
      <c r="C1974" t="s">
        <v>18</v>
      </c>
      <c r="D1974" t="s">
        <v>4453</v>
      </c>
      <c r="E1974" t="s">
        <v>4454</v>
      </c>
      <c r="F1974" t="s">
        <v>23</v>
      </c>
      <c r="G1974" t="s">
        <v>32</v>
      </c>
      <c r="H1974" t="b">
        <v>0</v>
      </c>
      <c r="I1974" t="b">
        <v>0</v>
      </c>
      <c r="L1974" t="b">
        <v>0</v>
      </c>
    </row>
    <row r="1976" spans="1:25" x14ac:dyDescent="0.2">
      <c r="A1976" s="2">
        <v>3010</v>
      </c>
      <c r="B1976" s="2" t="s">
        <v>4455</v>
      </c>
      <c r="C1976" s="2" t="s">
        <v>13</v>
      </c>
      <c r="D1976" s="2" t="s">
        <v>4456</v>
      </c>
      <c r="E1976" s="2" t="s">
        <v>4457</v>
      </c>
      <c r="F1976" s="2" t="s">
        <v>159</v>
      </c>
      <c r="G1976" s="2" t="s">
        <v>265</v>
      </c>
      <c r="H1976" s="2"/>
      <c r="I1976" s="2"/>
      <c r="J1976" s="2"/>
      <c r="K1976" s="2"/>
      <c r="L1976" s="2"/>
      <c r="M1976" s="2"/>
      <c r="N1976" s="2"/>
      <c r="O1976" s="2"/>
      <c r="P1976" s="2"/>
      <c r="Q1976" s="2"/>
      <c r="R1976" s="2"/>
      <c r="S1976" s="2"/>
      <c r="T1976" s="2"/>
      <c r="U1976" s="2"/>
      <c r="V1976" s="2"/>
      <c r="W1976" s="2"/>
      <c r="X1976" s="2"/>
      <c r="Y1976" s="2"/>
    </row>
    <row r="1977" spans="1:25" x14ac:dyDescent="0.2">
      <c r="A1977">
        <v>3011</v>
      </c>
      <c r="B1977" t="s">
        <v>4455</v>
      </c>
      <c r="C1977" t="s">
        <v>18</v>
      </c>
      <c r="D1977" t="s">
        <v>4456</v>
      </c>
      <c r="E1977" t="s">
        <v>4457</v>
      </c>
      <c r="F1977" t="s">
        <v>82</v>
      </c>
      <c r="G1977" t="s">
        <v>265</v>
      </c>
      <c r="H1977" t="b">
        <v>1</v>
      </c>
      <c r="K1977" t="b">
        <v>1</v>
      </c>
      <c r="L1977" t="b">
        <v>1</v>
      </c>
      <c r="M1977" t="s">
        <v>4458</v>
      </c>
      <c r="N1977" t="s">
        <v>4459</v>
      </c>
    </row>
    <row r="1978" spans="1:25" x14ac:dyDescent="0.2">
      <c r="A1978">
        <v>3012</v>
      </c>
      <c r="B1978" t="s">
        <v>4455</v>
      </c>
      <c r="C1978" t="s">
        <v>18</v>
      </c>
      <c r="D1978" t="s">
        <v>4460</v>
      </c>
      <c r="E1978" t="s">
        <v>1319</v>
      </c>
      <c r="F1978" t="s">
        <v>159</v>
      </c>
      <c r="G1978" t="s">
        <v>265</v>
      </c>
      <c r="H1978" t="b">
        <v>0</v>
      </c>
      <c r="K1978" t="b">
        <v>0</v>
      </c>
      <c r="L1978" t="b">
        <v>0</v>
      </c>
      <c r="M1978" t="s">
        <v>4461</v>
      </c>
      <c r="N1978" t="s">
        <v>4462</v>
      </c>
    </row>
    <row r="1979" spans="1:25" x14ac:dyDescent="0.2">
      <c r="A1979">
        <v>3013</v>
      </c>
      <c r="B1979" t="s">
        <v>4455</v>
      </c>
      <c r="C1979" t="s">
        <v>18</v>
      </c>
      <c r="D1979" t="s">
        <v>4463</v>
      </c>
      <c r="E1979" t="s">
        <v>339</v>
      </c>
      <c r="F1979" t="s">
        <v>159</v>
      </c>
      <c r="G1979" t="s">
        <v>265</v>
      </c>
      <c r="H1979" t="b">
        <v>0</v>
      </c>
      <c r="K1979" t="b">
        <v>0</v>
      </c>
      <c r="L1979" t="b">
        <v>0</v>
      </c>
      <c r="M1979" t="s">
        <v>4464</v>
      </c>
      <c r="N1979" t="s">
        <v>4465</v>
      </c>
    </row>
    <row r="1980" spans="1:25" x14ac:dyDescent="0.2">
      <c r="A1980">
        <v>3014</v>
      </c>
      <c r="B1980" t="s">
        <v>4455</v>
      </c>
      <c r="C1980" t="s">
        <v>18</v>
      </c>
      <c r="D1980" t="s">
        <v>4466</v>
      </c>
      <c r="E1980" t="s">
        <v>4467</v>
      </c>
      <c r="F1980" t="s">
        <v>1837</v>
      </c>
      <c r="G1980" t="s">
        <v>265</v>
      </c>
      <c r="H1980" t="b">
        <v>0</v>
      </c>
      <c r="K1980" t="b">
        <v>0</v>
      </c>
      <c r="L1980" t="b">
        <v>0</v>
      </c>
      <c r="M1980" t="s">
        <v>4468</v>
      </c>
      <c r="N1980" t="s">
        <v>4469</v>
      </c>
    </row>
    <row r="1981" spans="1:25" x14ac:dyDescent="0.2">
      <c r="A1981">
        <v>3015</v>
      </c>
      <c r="B1981" t="s">
        <v>4455</v>
      </c>
      <c r="C1981" t="s">
        <v>18</v>
      </c>
      <c r="D1981" t="s">
        <v>4470</v>
      </c>
      <c r="E1981" t="s">
        <v>4471</v>
      </c>
      <c r="F1981" t="s">
        <v>23</v>
      </c>
      <c r="G1981" t="s">
        <v>265</v>
      </c>
      <c r="H1981" t="b">
        <v>0</v>
      </c>
      <c r="K1981" t="b">
        <v>0</v>
      </c>
      <c r="L1981" t="b">
        <v>0</v>
      </c>
      <c r="M1981" t="s">
        <v>4472</v>
      </c>
      <c r="N1981" t="s">
        <v>4473</v>
      </c>
    </row>
    <row r="1983" spans="1:25" x14ac:dyDescent="0.2">
      <c r="A1983" s="2">
        <v>3038</v>
      </c>
      <c r="B1983" s="2" t="s">
        <v>4474</v>
      </c>
      <c r="C1983" s="2" t="s">
        <v>13</v>
      </c>
      <c r="D1983" s="2" t="s">
        <v>4475</v>
      </c>
      <c r="E1983" s="2" t="s">
        <v>4476</v>
      </c>
      <c r="F1983" s="2" t="s">
        <v>270</v>
      </c>
      <c r="G1983" s="2" t="s">
        <v>252</v>
      </c>
      <c r="H1983" s="2"/>
      <c r="I1983" s="2"/>
      <c r="J1983" s="2"/>
      <c r="K1983" s="2"/>
      <c r="L1983" s="2"/>
      <c r="M1983" s="2"/>
      <c r="N1983" s="2"/>
      <c r="O1983" s="2"/>
      <c r="P1983" s="2"/>
      <c r="Q1983" s="2"/>
      <c r="R1983" s="2"/>
      <c r="S1983" s="2"/>
      <c r="T1983" s="2"/>
      <c r="U1983" s="2"/>
      <c r="V1983" s="2"/>
      <c r="W1983" s="2"/>
      <c r="X1983" s="2"/>
      <c r="Y1983" s="2"/>
    </row>
    <row r="1984" spans="1:25" x14ac:dyDescent="0.2">
      <c r="A1984">
        <v>3039</v>
      </c>
      <c r="B1984" t="s">
        <v>4474</v>
      </c>
      <c r="C1984" t="s">
        <v>18</v>
      </c>
      <c r="D1984" t="s">
        <v>4475</v>
      </c>
      <c r="E1984" t="s">
        <v>4476</v>
      </c>
      <c r="F1984" t="s">
        <v>270</v>
      </c>
      <c r="G1984" t="s">
        <v>252</v>
      </c>
      <c r="H1984" t="b">
        <v>1</v>
      </c>
      <c r="K1984" t="b">
        <v>1</v>
      </c>
      <c r="L1984" t="b">
        <v>1</v>
      </c>
      <c r="M1984" t="s">
        <v>4477</v>
      </c>
      <c r="N1984" t="s">
        <v>745</v>
      </c>
    </row>
    <row r="1985" spans="1:25" x14ac:dyDescent="0.2">
      <c r="A1985">
        <v>3040</v>
      </c>
      <c r="B1985" t="s">
        <v>4474</v>
      </c>
      <c r="C1985" t="s">
        <v>18</v>
      </c>
      <c r="D1985" t="s">
        <v>4478</v>
      </c>
      <c r="E1985" t="s">
        <v>658</v>
      </c>
      <c r="F1985" t="s">
        <v>270</v>
      </c>
      <c r="G1985" t="s">
        <v>252</v>
      </c>
      <c r="H1985" t="b">
        <v>0</v>
      </c>
      <c r="K1985" t="b">
        <v>0</v>
      </c>
      <c r="L1985" t="b">
        <v>0</v>
      </c>
      <c r="M1985" t="s">
        <v>4479</v>
      </c>
    </row>
    <row r="1986" spans="1:25" x14ac:dyDescent="0.2">
      <c r="A1986">
        <v>3041</v>
      </c>
      <c r="B1986" t="s">
        <v>4474</v>
      </c>
      <c r="C1986" t="s">
        <v>18</v>
      </c>
      <c r="D1986" t="s">
        <v>4480</v>
      </c>
      <c r="E1986" t="s">
        <v>4481</v>
      </c>
      <c r="F1986" t="s">
        <v>270</v>
      </c>
      <c r="G1986" t="s">
        <v>252</v>
      </c>
      <c r="H1986" t="b">
        <v>0</v>
      </c>
      <c r="K1986" t="b">
        <v>0</v>
      </c>
      <c r="L1986" t="b">
        <v>0</v>
      </c>
    </row>
    <row r="1987" spans="1:25" x14ac:dyDescent="0.2">
      <c r="A1987">
        <v>3042</v>
      </c>
      <c r="B1987" t="s">
        <v>4474</v>
      </c>
      <c r="C1987" t="s">
        <v>18</v>
      </c>
      <c r="D1987" t="s">
        <v>4482</v>
      </c>
      <c r="E1987" t="s">
        <v>4483</v>
      </c>
      <c r="F1987" t="s">
        <v>78</v>
      </c>
      <c r="G1987" t="s">
        <v>252</v>
      </c>
      <c r="H1987" t="b">
        <v>0</v>
      </c>
      <c r="K1987" t="b">
        <v>0</v>
      </c>
      <c r="L1987" t="b">
        <v>0</v>
      </c>
      <c r="M1987" t="s">
        <v>4484</v>
      </c>
    </row>
    <row r="1988" spans="1:25" x14ac:dyDescent="0.2">
      <c r="A1988">
        <v>3043</v>
      </c>
      <c r="B1988" t="s">
        <v>4474</v>
      </c>
      <c r="C1988" t="s">
        <v>18</v>
      </c>
      <c r="D1988" t="s">
        <v>1958</v>
      </c>
      <c r="E1988" t="s">
        <v>1960</v>
      </c>
      <c r="F1988" t="s">
        <v>27</v>
      </c>
      <c r="G1988" t="s">
        <v>17</v>
      </c>
      <c r="H1988" t="b">
        <v>0</v>
      </c>
      <c r="K1988" t="b">
        <v>0</v>
      </c>
      <c r="L1988" t="b">
        <v>0</v>
      </c>
      <c r="M1988" t="s">
        <v>1961</v>
      </c>
      <c r="N1988" t="s">
        <v>1962</v>
      </c>
    </row>
    <row r="1990" spans="1:25" x14ac:dyDescent="0.2">
      <c r="A1990" s="2">
        <v>3073</v>
      </c>
      <c r="B1990" s="2" t="s">
        <v>4485</v>
      </c>
      <c r="C1990" s="2" t="s">
        <v>13</v>
      </c>
      <c r="D1990" s="2" t="s">
        <v>268</v>
      </c>
      <c r="E1990" s="2" t="s">
        <v>4486</v>
      </c>
      <c r="F1990" s="2" t="s">
        <v>270</v>
      </c>
      <c r="G1990" s="2" t="s">
        <v>265</v>
      </c>
      <c r="H1990" s="2"/>
      <c r="I1990" s="2"/>
      <c r="J1990" s="2"/>
      <c r="K1990" s="2"/>
      <c r="L1990" s="2"/>
      <c r="M1990" s="2"/>
      <c r="N1990" s="2"/>
      <c r="O1990" s="2"/>
      <c r="P1990" s="2"/>
      <c r="Q1990" s="2"/>
      <c r="R1990" s="2"/>
      <c r="S1990" s="2"/>
      <c r="T1990" s="2"/>
      <c r="U1990" s="2"/>
      <c r="V1990" s="2"/>
      <c r="W1990" s="2"/>
      <c r="X1990" s="2"/>
      <c r="Y1990" s="2"/>
    </row>
    <row r="1991" spans="1:25" x14ac:dyDescent="0.2">
      <c r="A1991">
        <v>3074</v>
      </c>
      <c r="B1991" t="s">
        <v>4485</v>
      </c>
      <c r="C1991" t="s">
        <v>18</v>
      </c>
      <c r="D1991" t="s">
        <v>268</v>
      </c>
      <c r="E1991" t="s">
        <v>269</v>
      </c>
      <c r="F1991" t="s">
        <v>270</v>
      </c>
      <c r="G1991" t="s">
        <v>265</v>
      </c>
      <c r="H1991" t="b">
        <v>1</v>
      </c>
      <c r="I1991" t="b">
        <v>1</v>
      </c>
      <c r="L1991" t="b">
        <v>1</v>
      </c>
      <c r="M1991" t="s">
        <v>4487</v>
      </c>
      <c r="N1991" t="s">
        <v>4488</v>
      </c>
    </row>
    <row r="1992" spans="1:25" x14ac:dyDescent="0.2">
      <c r="A1992">
        <v>3075</v>
      </c>
      <c r="B1992" t="s">
        <v>4485</v>
      </c>
      <c r="C1992" t="s">
        <v>18</v>
      </c>
      <c r="D1992" t="s">
        <v>4489</v>
      </c>
      <c r="E1992" t="s">
        <v>4490</v>
      </c>
      <c r="F1992" t="s">
        <v>1404</v>
      </c>
      <c r="G1992" t="s">
        <v>265</v>
      </c>
      <c r="H1992" t="b">
        <v>0</v>
      </c>
      <c r="I1992" t="b">
        <v>0</v>
      </c>
      <c r="L1992" t="b">
        <v>0</v>
      </c>
    </row>
    <row r="1993" spans="1:25" x14ac:dyDescent="0.2">
      <c r="A1993">
        <v>3076</v>
      </c>
      <c r="B1993" t="s">
        <v>4485</v>
      </c>
      <c r="C1993" t="s">
        <v>18</v>
      </c>
      <c r="D1993" t="s">
        <v>266</v>
      </c>
      <c r="E1993" t="s">
        <v>267</v>
      </c>
      <c r="F1993" t="s">
        <v>205</v>
      </c>
      <c r="G1993" t="s">
        <v>265</v>
      </c>
      <c r="H1993" t="b">
        <v>0</v>
      </c>
      <c r="I1993" t="b">
        <v>0</v>
      </c>
      <c r="L1993" t="b">
        <v>0</v>
      </c>
      <c r="M1993" t="s">
        <v>4491</v>
      </c>
      <c r="N1993" t="s">
        <v>4492</v>
      </c>
    </row>
    <row r="1994" spans="1:25" x14ac:dyDescent="0.2">
      <c r="A1994">
        <v>3077</v>
      </c>
      <c r="B1994" t="s">
        <v>4485</v>
      </c>
      <c r="C1994" t="s">
        <v>18</v>
      </c>
      <c r="D1994" t="s">
        <v>4493</v>
      </c>
      <c r="E1994" t="s">
        <v>4494</v>
      </c>
      <c r="F1994" t="s">
        <v>248</v>
      </c>
      <c r="G1994" t="s">
        <v>265</v>
      </c>
      <c r="H1994" t="b">
        <v>0</v>
      </c>
      <c r="I1994" t="b">
        <v>0</v>
      </c>
      <c r="L1994" t="b">
        <v>0</v>
      </c>
    </row>
    <row r="1995" spans="1:25" x14ac:dyDescent="0.2">
      <c r="A1995">
        <v>3078</v>
      </c>
      <c r="B1995" t="s">
        <v>4485</v>
      </c>
      <c r="C1995" t="s">
        <v>18</v>
      </c>
      <c r="D1995" t="s">
        <v>271</v>
      </c>
      <c r="E1995" t="s">
        <v>272</v>
      </c>
      <c r="F1995" t="s">
        <v>78</v>
      </c>
      <c r="G1995" t="s">
        <v>134</v>
      </c>
      <c r="H1995" t="b">
        <v>0</v>
      </c>
      <c r="I1995" t="b">
        <v>0</v>
      </c>
      <c r="L1995" t="b">
        <v>0</v>
      </c>
    </row>
    <row r="1997" spans="1:25" x14ac:dyDescent="0.2">
      <c r="A1997" s="2">
        <v>308</v>
      </c>
      <c r="B1997" s="2" t="s">
        <v>4495</v>
      </c>
      <c r="C1997" s="2" t="s">
        <v>13</v>
      </c>
      <c r="D1997" s="2" t="s">
        <v>4496</v>
      </c>
      <c r="E1997" s="2" t="s">
        <v>4497</v>
      </c>
      <c r="F1997" s="2" t="s">
        <v>248</v>
      </c>
      <c r="G1997" s="2" t="s">
        <v>502</v>
      </c>
      <c r="H1997" s="2"/>
      <c r="I1997" s="2"/>
      <c r="J1997" s="2"/>
      <c r="K1997" s="2"/>
      <c r="L1997" s="2"/>
      <c r="M1997" s="2"/>
      <c r="N1997" s="2"/>
      <c r="O1997" s="2"/>
      <c r="P1997" s="2"/>
      <c r="Q1997" s="2"/>
      <c r="R1997" s="2"/>
      <c r="S1997" s="2"/>
      <c r="T1997" s="2"/>
      <c r="U1997" s="2"/>
      <c r="V1997" s="2"/>
      <c r="W1997" s="2"/>
      <c r="X1997" s="2"/>
      <c r="Y1997" s="2"/>
    </row>
    <row r="1998" spans="1:25" x14ac:dyDescent="0.2">
      <c r="A1998">
        <v>309</v>
      </c>
      <c r="B1998" t="s">
        <v>4495</v>
      </c>
      <c r="C1998" t="s">
        <v>18</v>
      </c>
      <c r="D1998" t="s">
        <v>4496</v>
      </c>
      <c r="E1998" t="s">
        <v>4498</v>
      </c>
      <c r="F1998" t="s">
        <v>248</v>
      </c>
      <c r="G1998" t="s">
        <v>502</v>
      </c>
      <c r="H1998" t="b">
        <v>1</v>
      </c>
      <c r="K1998" t="b">
        <v>1</v>
      </c>
      <c r="L1998" t="b">
        <v>1</v>
      </c>
      <c r="M1998" t="s">
        <v>4499</v>
      </c>
      <c r="N1998" t="s">
        <v>4500</v>
      </c>
    </row>
    <row r="1999" spans="1:25" x14ac:dyDescent="0.2">
      <c r="A1999">
        <v>310</v>
      </c>
      <c r="B1999" t="s">
        <v>4495</v>
      </c>
      <c r="C1999" t="s">
        <v>18</v>
      </c>
      <c r="D1999" t="s">
        <v>4501</v>
      </c>
      <c r="E1999" t="s">
        <v>4502</v>
      </c>
      <c r="F1999" t="s">
        <v>248</v>
      </c>
      <c r="G1999" t="s">
        <v>502</v>
      </c>
      <c r="H1999" t="b">
        <v>1</v>
      </c>
      <c r="K1999" t="b">
        <v>1</v>
      </c>
      <c r="L1999" t="b">
        <v>1</v>
      </c>
      <c r="M1999" t="s">
        <v>4503</v>
      </c>
      <c r="N1999" t="s">
        <v>4504</v>
      </c>
    </row>
    <row r="2000" spans="1:25" x14ac:dyDescent="0.2">
      <c r="A2000">
        <v>311</v>
      </c>
      <c r="B2000" t="s">
        <v>4495</v>
      </c>
      <c r="C2000" t="s">
        <v>18</v>
      </c>
      <c r="D2000" t="s">
        <v>4505</v>
      </c>
      <c r="E2000" t="s">
        <v>4506</v>
      </c>
      <c r="F2000" t="s">
        <v>248</v>
      </c>
      <c r="G2000" t="s">
        <v>17</v>
      </c>
      <c r="H2000" t="b">
        <v>0</v>
      </c>
      <c r="K2000" t="b">
        <v>0</v>
      </c>
      <c r="L2000" t="b">
        <v>0</v>
      </c>
      <c r="M2000" t="s">
        <v>4507</v>
      </c>
    </row>
    <row r="2001" spans="1:25" x14ac:dyDescent="0.2">
      <c r="A2001">
        <v>312</v>
      </c>
      <c r="B2001" t="s">
        <v>4495</v>
      </c>
      <c r="C2001" t="s">
        <v>18</v>
      </c>
      <c r="D2001" t="s">
        <v>4508</v>
      </c>
      <c r="E2001" t="s">
        <v>4509</v>
      </c>
      <c r="F2001" t="s">
        <v>248</v>
      </c>
      <c r="G2001" t="s">
        <v>17</v>
      </c>
      <c r="H2001" t="b">
        <v>0</v>
      </c>
      <c r="K2001" t="b">
        <v>0</v>
      </c>
      <c r="L2001" t="b">
        <v>0</v>
      </c>
      <c r="M2001" t="s">
        <v>4510</v>
      </c>
    </row>
    <row r="2002" spans="1:25" x14ac:dyDescent="0.2">
      <c r="A2002">
        <v>313</v>
      </c>
      <c r="B2002" t="s">
        <v>4495</v>
      </c>
      <c r="C2002" t="s">
        <v>18</v>
      </c>
      <c r="D2002" t="s">
        <v>4511</v>
      </c>
      <c r="E2002" t="s">
        <v>4512</v>
      </c>
      <c r="F2002" t="s">
        <v>122</v>
      </c>
      <c r="G2002" t="s">
        <v>502</v>
      </c>
      <c r="H2002" t="b">
        <v>0</v>
      </c>
      <c r="K2002" t="b">
        <v>0</v>
      </c>
      <c r="L2002" t="b">
        <v>0</v>
      </c>
      <c r="M2002" t="s">
        <v>4513</v>
      </c>
      <c r="N2002" t="s">
        <v>4514</v>
      </c>
    </row>
    <row r="2004" spans="1:25" x14ac:dyDescent="0.2">
      <c r="A2004" s="2">
        <v>3087</v>
      </c>
      <c r="B2004" s="2" t="s">
        <v>4515</v>
      </c>
      <c r="C2004" s="2" t="s">
        <v>13</v>
      </c>
      <c r="D2004" s="2" t="s">
        <v>4516</v>
      </c>
      <c r="E2004" s="2" t="s">
        <v>4517</v>
      </c>
      <c r="F2004" s="2" t="s">
        <v>420</v>
      </c>
      <c r="G2004" s="2" t="s">
        <v>88</v>
      </c>
      <c r="H2004" s="2"/>
      <c r="I2004" s="2"/>
      <c r="J2004" s="2"/>
      <c r="K2004" s="2"/>
      <c r="L2004" s="2"/>
      <c r="M2004" s="2"/>
      <c r="N2004" s="2"/>
      <c r="O2004" s="2"/>
      <c r="P2004" s="2"/>
      <c r="Q2004" s="2"/>
      <c r="R2004" s="2"/>
      <c r="S2004" s="2"/>
      <c r="T2004" s="2"/>
      <c r="U2004" s="2"/>
      <c r="V2004" s="2"/>
      <c r="W2004" s="2"/>
      <c r="X2004" s="2"/>
      <c r="Y2004" s="2"/>
    </row>
    <row r="2005" spans="1:25" x14ac:dyDescent="0.2">
      <c r="A2005">
        <v>3088</v>
      </c>
      <c r="B2005" t="s">
        <v>4515</v>
      </c>
      <c r="C2005" t="s">
        <v>18</v>
      </c>
      <c r="D2005" t="s">
        <v>4516</v>
      </c>
      <c r="E2005" t="s">
        <v>4517</v>
      </c>
      <c r="F2005" t="s">
        <v>420</v>
      </c>
      <c r="G2005" t="s">
        <v>88</v>
      </c>
      <c r="H2005" t="b">
        <v>1</v>
      </c>
      <c r="K2005" t="b">
        <v>1</v>
      </c>
      <c r="L2005" t="b">
        <v>1</v>
      </c>
      <c r="M2005" t="s">
        <v>4518</v>
      </c>
      <c r="N2005" t="s">
        <v>4519</v>
      </c>
      <c r="O2005" t="s">
        <v>4520</v>
      </c>
      <c r="P2005" t="s">
        <v>4521</v>
      </c>
    </row>
    <row r="2006" spans="1:25" x14ac:dyDescent="0.2">
      <c r="A2006">
        <v>3089</v>
      </c>
      <c r="B2006" t="s">
        <v>4515</v>
      </c>
      <c r="C2006" t="s">
        <v>18</v>
      </c>
      <c r="D2006" t="s">
        <v>4522</v>
      </c>
      <c r="E2006" t="s">
        <v>4523</v>
      </c>
      <c r="F2006" t="s">
        <v>420</v>
      </c>
      <c r="G2006" t="s">
        <v>88</v>
      </c>
      <c r="H2006" t="b">
        <v>0</v>
      </c>
      <c r="K2006" t="b">
        <v>0</v>
      </c>
      <c r="L2006" t="b">
        <v>0</v>
      </c>
      <c r="M2006" t="s">
        <v>4524</v>
      </c>
    </row>
    <row r="2007" spans="1:25" x14ac:dyDescent="0.2">
      <c r="A2007">
        <v>3090</v>
      </c>
      <c r="B2007" t="s">
        <v>4515</v>
      </c>
      <c r="C2007" t="s">
        <v>18</v>
      </c>
      <c r="D2007" t="s">
        <v>4525</v>
      </c>
      <c r="E2007" t="s">
        <v>4526</v>
      </c>
      <c r="F2007" t="s">
        <v>2388</v>
      </c>
      <c r="G2007" t="s">
        <v>252</v>
      </c>
      <c r="H2007" t="b">
        <v>0</v>
      </c>
      <c r="K2007" t="b">
        <v>0</v>
      </c>
      <c r="L2007" t="b">
        <v>0</v>
      </c>
      <c r="M2007" t="s">
        <v>4527</v>
      </c>
      <c r="N2007" t="s">
        <v>4528</v>
      </c>
    </row>
    <row r="2008" spans="1:25" x14ac:dyDescent="0.2">
      <c r="A2008">
        <v>3091</v>
      </c>
      <c r="B2008" t="s">
        <v>4515</v>
      </c>
      <c r="C2008" t="s">
        <v>18</v>
      </c>
      <c r="D2008" t="s">
        <v>4529</v>
      </c>
      <c r="E2008" t="s">
        <v>4530</v>
      </c>
      <c r="F2008" t="s">
        <v>420</v>
      </c>
      <c r="G2008" t="s">
        <v>88</v>
      </c>
      <c r="H2008" t="b">
        <v>0</v>
      </c>
      <c r="K2008" t="b">
        <v>0</v>
      </c>
      <c r="L2008" t="b">
        <v>0</v>
      </c>
      <c r="M2008" t="s">
        <v>4531</v>
      </c>
      <c r="N2008" t="s">
        <v>4532</v>
      </c>
    </row>
    <row r="2009" spans="1:25" x14ac:dyDescent="0.2">
      <c r="A2009">
        <v>3092</v>
      </c>
      <c r="B2009" t="s">
        <v>4515</v>
      </c>
      <c r="C2009" t="s">
        <v>18</v>
      </c>
      <c r="D2009" t="s">
        <v>4533</v>
      </c>
      <c r="E2009" t="s">
        <v>4534</v>
      </c>
      <c r="F2009" t="s">
        <v>159</v>
      </c>
      <c r="G2009" t="s">
        <v>88</v>
      </c>
      <c r="H2009" t="b">
        <v>0</v>
      </c>
      <c r="K2009" t="b">
        <v>0</v>
      </c>
      <c r="L2009" t="b">
        <v>0</v>
      </c>
      <c r="M2009" t="s">
        <v>4535</v>
      </c>
      <c r="N2009" t="s">
        <v>4536</v>
      </c>
    </row>
    <row r="2011" spans="1:25" x14ac:dyDescent="0.2">
      <c r="A2011" s="2">
        <v>3101</v>
      </c>
      <c r="B2011" s="2" t="s">
        <v>4537</v>
      </c>
      <c r="C2011" s="2" t="s">
        <v>13</v>
      </c>
      <c r="D2011" s="2" t="s">
        <v>4538</v>
      </c>
      <c r="E2011" s="2" t="s">
        <v>4539</v>
      </c>
      <c r="F2011" s="2" t="s">
        <v>369</v>
      </c>
      <c r="G2011" s="2" t="s">
        <v>17</v>
      </c>
      <c r="H2011" s="2"/>
      <c r="I2011" s="2"/>
      <c r="J2011" s="2"/>
      <c r="K2011" s="2"/>
      <c r="L2011" s="2"/>
      <c r="M2011" s="2"/>
      <c r="N2011" s="2"/>
      <c r="O2011" s="2"/>
      <c r="P2011" s="2"/>
      <c r="Q2011" s="2"/>
      <c r="R2011" s="2"/>
      <c r="S2011" s="2"/>
      <c r="T2011" s="2"/>
      <c r="U2011" s="2"/>
      <c r="V2011" s="2"/>
      <c r="W2011" s="2"/>
      <c r="X2011" s="2"/>
      <c r="Y2011" s="2"/>
    </row>
    <row r="2012" spans="1:25" x14ac:dyDescent="0.2">
      <c r="A2012">
        <v>3102</v>
      </c>
      <c r="B2012" t="s">
        <v>4537</v>
      </c>
      <c r="C2012" t="s">
        <v>18</v>
      </c>
      <c r="D2012" t="s">
        <v>4538</v>
      </c>
      <c r="E2012" t="s">
        <v>4539</v>
      </c>
      <c r="F2012" t="s">
        <v>369</v>
      </c>
      <c r="G2012" t="s">
        <v>17</v>
      </c>
      <c r="H2012" t="b">
        <v>1</v>
      </c>
      <c r="K2012" t="b">
        <v>1</v>
      </c>
      <c r="L2012" t="b">
        <v>1</v>
      </c>
      <c r="M2012" t="s">
        <v>4540</v>
      </c>
      <c r="N2012" t="s">
        <v>4541</v>
      </c>
    </row>
    <row r="2013" spans="1:25" x14ac:dyDescent="0.2">
      <c r="A2013">
        <v>3103</v>
      </c>
      <c r="B2013" t="s">
        <v>4537</v>
      </c>
      <c r="C2013" t="s">
        <v>18</v>
      </c>
      <c r="D2013" t="s">
        <v>4542</v>
      </c>
      <c r="E2013" t="s">
        <v>4543</v>
      </c>
      <c r="F2013" t="s">
        <v>369</v>
      </c>
      <c r="G2013" t="s">
        <v>17</v>
      </c>
      <c r="H2013" t="b">
        <v>0</v>
      </c>
      <c r="K2013" t="b">
        <v>0</v>
      </c>
      <c r="L2013" t="b">
        <v>0</v>
      </c>
      <c r="M2013" t="s">
        <v>4544</v>
      </c>
      <c r="N2013" t="s">
        <v>4545</v>
      </c>
    </row>
    <row r="2014" spans="1:25" x14ac:dyDescent="0.2">
      <c r="A2014">
        <v>3104</v>
      </c>
      <c r="B2014" t="s">
        <v>4537</v>
      </c>
      <c r="C2014" t="s">
        <v>18</v>
      </c>
      <c r="D2014" t="s">
        <v>1361</v>
      </c>
      <c r="E2014" t="s">
        <v>1362</v>
      </c>
      <c r="F2014" t="s">
        <v>369</v>
      </c>
      <c r="G2014" t="s">
        <v>17</v>
      </c>
      <c r="H2014" t="b">
        <v>0</v>
      </c>
      <c r="K2014" t="b">
        <v>0</v>
      </c>
      <c r="L2014" t="b">
        <v>0</v>
      </c>
      <c r="M2014" t="s">
        <v>1363</v>
      </c>
    </row>
    <row r="2015" spans="1:25" x14ac:dyDescent="0.2">
      <c r="A2015">
        <v>3105</v>
      </c>
      <c r="B2015" t="s">
        <v>4537</v>
      </c>
      <c r="C2015" t="s">
        <v>18</v>
      </c>
      <c r="D2015" t="s">
        <v>4546</v>
      </c>
      <c r="E2015" t="s">
        <v>4547</v>
      </c>
      <c r="F2015" t="s">
        <v>670</v>
      </c>
      <c r="G2015" t="s">
        <v>17</v>
      </c>
      <c r="H2015" t="b">
        <v>0</v>
      </c>
      <c r="K2015" t="b">
        <v>0</v>
      </c>
      <c r="L2015" t="b">
        <v>0</v>
      </c>
      <c r="M2015" t="s">
        <v>4548</v>
      </c>
      <c r="N2015" t="s">
        <v>4549</v>
      </c>
    </row>
    <row r="2016" spans="1:25" x14ac:dyDescent="0.2">
      <c r="A2016">
        <v>3106</v>
      </c>
      <c r="B2016" t="s">
        <v>4537</v>
      </c>
      <c r="C2016" t="s">
        <v>18</v>
      </c>
      <c r="D2016" t="s">
        <v>4550</v>
      </c>
      <c r="E2016" t="s">
        <v>4551</v>
      </c>
      <c r="F2016" t="s">
        <v>369</v>
      </c>
      <c r="G2016" t="s">
        <v>17</v>
      </c>
      <c r="H2016" t="b">
        <v>0</v>
      </c>
      <c r="K2016" t="b">
        <v>0</v>
      </c>
      <c r="L2016" t="b">
        <v>0</v>
      </c>
      <c r="M2016" t="s">
        <v>4552</v>
      </c>
    </row>
    <row r="2018" spans="1:25" x14ac:dyDescent="0.2">
      <c r="A2018" s="2">
        <v>3150</v>
      </c>
      <c r="B2018" s="2" t="s">
        <v>4553</v>
      </c>
      <c r="C2018" s="2" t="s">
        <v>13</v>
      </c>
      <c r="D2018" s="2" t="s">
        <v>4554</v>
      </c>
      <c r="E2018" s="2" t="s">
        <v>4555</v>
      </c>
      <c r="F2018" s="2" t="s">
        <v>270</v>
      </c>
      <c r="G2018" s="2" t="s">
        <v>88</v>
      </c>
      <c r="H2018" s="2"/>
      <c r="I2018" s="2"/>
      <c r="J2018" s="2"/>
      <c r="K2018" s="2"/>
      <c r="L2018" s="2"/>
      <c r="M2018" s="2"/>
      <c r="N2018" s="2"/>
      <c r="O2018" s="2"/>
      <c r="P2018" s="2"/>
      <c r="Q2018" s="2"/>
      <c r="R2018" s="2"/>
      <c r="S2018" s="2"/>
      <c r="T2018" s="2"/>
      <c r="U2018" s="2"/>
      <c r="V2018" s="2"/>
      <c r="W2018" s="2"/>
      <c r="X2018" s="2"/>
      <c r="Y2018" s="2"/>
    </row>
    <row r="2019" spans="1:25" x14ac:dyDescent="0.2">
      <c r="A2019">
        <v>3151</v>
      </c>
      <c r="B2019" t="s">
        <v>4553</v>
      </c>
      <c r="C2019" t="s">
        <v>18</v>
      </c>
      <c r="D2019" t="s">
        <v>4554</v>
      </c>
      <c r="E2019" t="s">
        <v>2424</v>
      </c>
      <c r="F2019" t="s">
        <v>270</v>
      </c>
      <c r="G2019" t="s">
        <v>88</v>
      </c>
      <c r="H2019" t="b">
        <v>1</v>
      </c>
      <c r="I2019" t="b">
        <v>1</v>
      </c>
      <c r="L2019" t="b">
        <v>1</v>
      </c>
      <c r="M2019" t="s">
        <v>4556</v>
      </c>
    </row>
    <row r="2020" spans="1:25" x14ac:dyDescent="0.2">
      <c r="A2020">
        <v>3152</v>
      </c>
      <c r="B2020" t="s">
        <v>4553</v>
      </c>
      <c r="C2020" t="s">
        <v>18</v>
      </c>
      <c r="D2020" t="s">
        <v>4557</v>
      </c>
      <c r="E2020" t="s">
        <v>4558</v>
      </c>
      <c r="F2020" t="s">
        <v>270</v>
      </c>
      <c r="G2020" t="s">
        <v>88</v>
      </c>
      <c r="H2020" t="b">
        <v>1</v>
      </c>
      <c r="I2020" t="b">
        <v>0</v>
      </c>
      <c r="L2020" t="b">
        <v>1</v>
      </c>
      <c r="M2020" t="s">
        <v>4559</v>
      </c>
    </row>
    <row r="2021" spans="1:25" x14ac:dyDescent="0.2">
      <c r="A2021">
        <v>3153</v>
      </c>
      <c r="B2021" t="s">
        <v>4553</v>
      </c>
      <c r="C2021" t="s">
        <v>18</v>
      </c>
      <c r="D2021" t="s">
        <v>4560</v>
      </c>
      <c r="E2021" t="s">
        <v>4561</v>
      </c>
      <c r="F2021" t="s">
        <v>270</v>
      </c>
      <c r="G2021" t="s">
        <v>280</v>
      </c>
      <c r="H2021" t="b">
        <v>0</v>
      </c>
      <c r="I2021" t="b">
        <v>0</v>
      </c>
      <c r="L2021" t="b">
        <v>0</v>
      </c>
    </row>
    <row r="2022" spans="1:25" x14ac:dyDescent="0.2">
      <c r="A2022">
        <v>3154</v>
      </c>
      <c r="B2022" t="s">
        <v>4553</v>
      </c>
      <c r="C2022" t="s">
        <v>18</v>
      </c>
      <c r="D2022" t="s">
        <v>4562</v>
      </c>
      <c r="E2022" t="s">
        <v>4563</v>
      </c>
      <c r="F2022" t="s">
        <v>270</v>
      </c>
      <c r="G2022" t="s">
        <v>417</v>
      </c>
      <c r="H2022" t="b">
        <v>0</v>
      </c>
      <c r="I2022" t="b">
        <v>0</v>
      </c>
      <c r="L2022" t="b">
        <v>0</v>
      </c>
      <c r="M2022" t="s">
        <v>4564</v>
      </c>
      <c r="N2022" t="s">
        <v>4565</v>
      </c>
    </row>
    <row r="2023" spans="1:25" x14ac:dyDescent="0.2">
      <c r="A2023">
        <v>3155</v>
      </c>
      <c r="B2023" t="s">
        <v>4553</v>
      </c>
      <c r="C2023" t="s">
        <v>18</v>
      </c>
      <c r="D2023" t="s">
        <v>4566</v>
      </c>
      <c r="E2023" t="s">
        <v>4567</v>
      </c>
      <c r="F2023" t="s">
        <v>270</v>
      </c>
      <c r="G2023" t="s">
        <v>417</v>
      </c>
      <c r="H2023" t="b">
        <v>0</v>
      </c>
      <c r="I2023" t="b">
        <v>0</v>
      </c>
      <c r="L2023" t="b">
        <v>0</v>
      </c>
      <c r="M2023" t="s">
        <v>4568</v>
      </c>
    </row>
    <row r="2025" spans="1:25" x14ac:dyDescent="0.2">
      <c r="A2025" s="2">
        <v>3171</v>
      </c>
      <c r="B2025" s="2" t="s">
        <v>4569</v>
      </c>
      <c r="C2025" s="2" t="s">
        <v>13</v>
      </c>
      <c r="D2025" s="2" t="s">
        <v>4570</v>
      </c>
      <c r="E2025" s="2" t="s">
        <v>4571</v>
      </c>
      <c r="F2025" s="2" t="s">
        <v>174</v>
      </c>
      <c r="G2025" s="2" t="s">
        <v>17</v>
      </c>
      <c r="H2025" s="2"/>
      <c r="I2025" s="2"/>
      <c r="J2025" s="2"/>
      <c r="K2025" s="2"/>
      <c r="L2025" s="2"/>
      <c r="M2025" s="2"/>
      <c r="N2025" s="2"/>
      <c r="O2025" s="2"/>
      <c r="P2025" s="2"/>
      <c r="Q2025" s="2"/>
      <c r="R2025" s="2"/>
      <c r="S2025" s="2"/>
      <c r="T2025" s="2"/>
      <c r="U2025" s="2"/>
      <c r="V2025" s="2"/>
      <c r="W2025" s="2"/>
      <c r="X2025" s="2"/>
      <c r="Y2025" s="2"/>
    </row>
    <row r="2026" spans="1:25" x14ac:dyDescent="0.2">
      <c r="A2026">
        <v>3172</v>
      </c>
      <c r="B2026" t="s">
        <v>4569</v>
      </c>
      <c r="C2026" t="s">
        <v>18</v>
      </c>
      <c r="D2026" t="s">
        <v>4570</v>
      </c>
      <c r="E2026" t="s">
        <v>4571</v>
      </c>
      <c r="F2026" t="s">
        <v>174</v>
      </c>
      <c r="G2026" t="s">
        <v>17</v>
      </c>
      <c r="H2026" t="b">
        <v>1</v>
      </c>
      <c r="K2026" t="b">
        <v>1</v>
      </c>
      <c r="L2026" t="b">
        <v>1</v>
      </c>
      <c r="M2026" t="s">
        <v>4572</v>
      </c>
      <c r="N2026" t="s">
        <v>4573</v>
      </c>
    </row>
    <row r="2027" spans="1:25" x14ac:dyDescent="0.2">
      <c r="A2027">
        <v>3173</v>
      </c>
      <c r="B2027" t="s">
        <v>4569</v>
      </c>
      <c r="C2027" t="s">
        <v>18</v>
      </c>
      <c r="D2027" t="s">
        <v>4574</v>
      </c>
      <c r="E2027" t="s">
        <v>4575</v>
      </c>
      <c r="F2027" t="s">
        <v>174</v>
      </c>
      <c r="G2027" t="s">
        <v>17</v>
      </c>
      <c r="H2027" t="b">
        <v>0</v>
      </c>
      <c r="K2027" t="b">
        <v>0</v>
      </c>
      <c r="L2027" t="b">
        <v>0</v>
      </c>
      <c r="M2027" t="s">
        <v>4576</v>
      </c>
      <c r="N2027" t="s">
        <v>4577</v>
      </c>
    </row>
    <row r="2028" spans="1:25" x14ac:dyDescent="0.2">
      <c r="A2028">
        <v>3174</v>
      </c>
      <c r="B2028" t="s">
        <v>4569</v>
      </c>
      <c r="C2028" t="s">
        <v>18</v>
      </c>
      <c r="D2028" t="s">
        <v>4578</v>
      </c>
      <c r="E2028" t="s">
        <v>4579</v>
      </c>
      <c r="F2028" t="s">
        <v>174</v>
      </c>
      <c r="G2028" t="s">
        <v>17</v>
      </c>
      <c r="H2028" t="b">
        <v>0</v>
      </c>
      <c r="K2028" t="b">
        <v>0</v>
      </c>
      <c r="L2028" t="b">
        <v>0</v>
      </c>
      <c r="M2028" t="s">
        <v>4580</v>
      </c>
      <c r="N2028" t="s">
        <v>4581</v>
      </c>
    </row>
    <row r="2029" spans="1:25" x14ac:dyDescent="0.2">
      <c r="A2029">
        <v>3175</v>
      </c>
      <c r="B2029" t="s">
        <v>4569</v>
      </c>
      <c r="C2029" t="s">
        <v>18</v>
      </c>
      <c r="D2029" t="s">
        <v>4582</v>
      </c>
      <c r="E2029" t="s">
        <v>4583</v>
      </c>
      <c r="F2029" t="s">
        <v>78</v>
      </c>
      <c r="G2029" t="s">
        <v>17</v>
      </c>
      <c r="H2029" t="b">
        <v>0</v>
      </c>
      <c r="K2029" t="b">
        <v>0</v>
      </c>
      <c r="L2029" t="b">
        <v>0</v>
      </c>
      <c r="M2029" t="s">
        <v>4584</v>
      </c>
      <c r="N2029" t="s">
        <v>745</v>
      </c>
    </row>
    <row r="2030" spans="1:25" x14ac:dyDescent="0.2">
      <c r="A2030">
        <v>3176</v>
      </c>
      <c r="B2030" t="s">
        <v>4569</v>
      </c>
      <c r="C2030" t="s">
        <v>18</v>
      </c>
      <c r="D2030" t="s">
        <v>4585</v>
      </c>
      <c r="E2030" t="s">
        <v>4586</v>
      </c>
      <c r="F2030" t="s">
        <v>174</v>
      </c>
      <c r="G2030" t="s">
        <v>17</v>
      </c>
      <c r="H2030" t="b">
        <v>0</v>
      </c>
      <c r="K2030" t="b">
        <v>0</v>
      </c>
      <c r="L2030" t="b">
        <v>0</v>
      </c>
      <c r="M2030" t="s">
        <v>4587</v>
      </c>
      <c r="N2030" t="s">
        <v>4588</v>
      </c>
    </row>
    <row r="2032" spans="1:25" x14ac:dyDescent="0.2">
      <c r="A2032" s="2">
        <v>3185</v>
      </c>
      <c r="B2032" s="2" t="s">
        <v>4589</v>
      </c>
      <c r="C2032" s="2" t="s">
        <v>13</v>
      </c>
      <c r="D2032" s="2" t="s">
        <v>4590</v>
      </c>
      <c r="E2032" s="2" t="s">
        <v>4591</v>
      </c>
      <c r="F2032" s="2" t="s">
        <v>122</v>
      </c>
      <c r="G2032" s="2" t="s">
        <v>62</v>
      </c>
      <c r="H2032" s="2"/>
      <c r="I2032" s="2"/>
      <c r="J2032" s="2"/>
      <c r="K2032" s="2"/>
      <c r="L2032" s="2"/>
      <c r="M2032" s="2"/>
      <c r="N2032" s="2"/>
      <c r="O2032" s="2"/>
      <c r="P2032" s="2"/>
      <c r="Q2032" s="2"/>
      <c r="R2032" s="2"/>
      <c r="S2032" s="2"/>
      <c r="T2032" s="2"/>
      <c r="U2032" s="2"/>
      <c r="V2032" s="2"/>
      <c r="W2032" s="2"/>
      <c r="X2032" s="2"/>
      <c r="Y2032" s="2"/>
    </row>
    <row r="2033" spans="1:25" x14ac:dyDescent="0.2">
      <c r="A2033">
        <v>3186</v>
      </c>
      <c r="B2033" t="s">
        <v>4589</v>
      </c>
      <c r="C2033" t="s">
        <v>18</v>
      </c>
      <c r="D2033" t="s">
        <v>4590</v>
      </c>
      <c r="E2033" t="s">
        <v>4591</v>
      </c>
      <c r="F2033" t="s">
        <v>122</v>
      </c>
      <c r="G2033" t="s">
        <v>62</v>
      </c>
      <c r="H2033" t="b">
        <v>1</v>
      </c>
      <c r="I2033" t="b">
        <v>1</v>
      </c>
      <c r="L2033" t="b">
        <v>1</v>
      </c>
      <c r="M2033" t="s">
        <v>4592</v>
      </c>
      <c r="N2033" t="s">
        <v>4593</v>
      </c>
    </row>
    <row r="2034" spans="1:25" x14ac:dyDescent="0.2">
      <c r="A2034">
        <v>3187</v>
      </c>
      <c r="B2034" t="s">
        <v>4589</v>
      </c>
      <c r="C2034" t="s">
        <v>18</v>
      </c>
      <c r="D2034" t="s">
        <v>4594</v>
      </c>
      <c r="E2034" t="s">
        <v>4595</v>
      </c>
      <c r="F2034" t="s">
        <v>122</v>
      </c>
      <c r="G2034" t="s">
        <v>62</v>
      </c>
      <c r="H2034" t="b">
        <v>0</v>
      </c>
      <c r="I2034" t="b">
        <v>0</v>
      </c>
      <c r="L2034" t="b">
        <v>0</v>
      </c>
      <c r="M2034" t="s">
        <v>4596</v>
      </c>
      <c r="N2034" t="s">
        <v>4597</v>
      </c>
    </row>
    <row r="2035" spans="1:25" x14ac:dyDescent="0.2">
      <c r="A2035">
        <v>3188</v>
      </c>
      <c r="B2035" t="s">
        <v>4589</v>
      </c>
      <c r="C2035" t="s">
        <v>18</v>
      </c>
      <c r="D2035" t="s">
        <v>4598</v>
      </c>
      <c r="E2035" t="s">
        <v>4599</v>
      </c>
      <c r="F2035" t="s">
        <v>122</v>
      </c>
      <c r="G2035" t="s">
        <v>62</v>
      </c>
      <c r="H2035" t="b">
        <v>0</v>
      </c>
      <c r="I2035" t="b">
        <v>0</v>
      </c>
      <c r="L2035" t="b">
        <v>0</v>
      </c>
    </row>
    <row r="2036" spans="1:25" x14ac:dyDescent="0.2">
      <c r="A2036">
        <v>3189</v>
      </c>
      <c r="B2036" t="s">
        <v>4589</v>
      </c>
      <c r="C2036" t="s">
        <v>18</v>
      </c>
      <c r="D2036" t="s">
        <v>4600</v>
      </c>
      <c r="E2036" t="s">
        <v>4601</v>
      </c>
      <c r="F2036" t="s">
        <v>122</v>
      </c>
      <c r="G2036" t="s">
        <v>62</v>
      </c>
      <c r="H2036" t="b">
        <v>0</v>
      </c>
      <c r="I2036" t="b">
        <v>0</v>
      </c>
      <c r="L2036" t="b">
        <v>0</v>
      </c>
    </row>
    <row r="2037" spans="1:25" x14ac:dyDescent="0.2">
      <c r="A2037">
        <v>3190</v>
      </c>
      <c r="B2037" t="s">
        <v>4589</v>
      </c>
      <c r="C2037" t="s">
        <v>18</v>
      </c>
      <c r="D2037" t="s">
        <v>4602</v>
      </c>
      <c r="E2037" t="s">
        <v>4603</v>
      </c>
      <c r="F2037" t="s">
        <v>785</v>
      </c>
      <c r="G2037" t="s">
        <v>62</v>
      </c>
      <c r="H2037" t="b">
        <v>0</v>
      </c>
      <c r="I2037" t="b">
        <v>0</v>
      </c>
      <c r="L2037" t="b">
        <v>0</v>
      </c>
    </row>
    <row r="2039" spans="1:25" x14ac:dyDescent="0.2">
      <c r="A2039" s="2">
        <v>3192</v>
      </c>
      <c r="B2039" s="2" t="s">
        <v>4604</v>
      </c>
      <c r="C2039" s="2" t="s">
        <v>13</v>
      </c>
      <c r="D2039" s="2" t="s">
        <v>4605</v>
      </c>
      <c r="E2039" s="2" t="s">
        <v>4606</v>
      </c>
      <c r="F2039" s="2" t="s">
        <v>200</v>
      </c>
      <c r="G2039" s="2" t="s">
        <v>88</v>
      </c>
      <c r="H2039" s="2"/>
      <c r="I2039" s="2"/>
      <c r="J2039" s="2"/>
      <c r="K2039" s="2"/>
      <c r="L2039" s="2"/>
      <c r="M2039" s="2"/>
      <c r="N2039" s="2"/>
      <c r="O2039" s="2"/>
      <c r="P2039" s="2"/>
      <c r="Q2039" s="2"/>
      <c r="R2039" s="2"/>
      <c r="S2039" s="2"/>
      <c r="T2039" s="2"/>
      <c r="U2039" s="2"/>
      <c r="V2039" s="2"/>
      <c r="W2039" s="2"/>
      <c r="X2039" s="2"/>
      <c r="Y2039" s="2"/>
    </row>
    <row r="2040" spans="1:25" x14ac:dyDescent="0.2">
      <c r="A2040">
        <v>3193</v>
      </c>
      <c r="B2040" t="s">
        <v>4604</v>
      </c>
      <c r="C2040" t="s">
        <v>18</v>
      </c>
      <c r="D2040" t="s">
        <v>4605</v>
      </c>
      <c r="E2040" t="s">
        <v>1214</v>
      </c>
      <c r="F2040" t="s">
        <v>200</v>
      </c>
      <c r="G2040" t="s">
        <v>88</v>
      </c>
      <c r="H2040" t="b">
        <v>1</v>
      </c>
      <c r="I2040" t="b">
        <v>1</v>
      </c>
      <c r="L2040" t="b">
        <v>1</v>
      </c>
      <c r="M2040" t="s">
        <v>4607</v>
      </c>
    </row>
    <row r="2041" spans="1:25" x14ac:dyDescent="0.2">
      <c r="A2041">
        <v>3194</v>
      </c>
      <c r="B2041" t="s">
        <v>4604</v>
      </c>
      <c r="C2041" t="s">
        <v>18</v>
      </c>
      <c r="D2041" t="s">
        <v>4608</v>
      </c>
      <c r="E2041" t="s">
        <v>4064</v>
      </c>
      <c r="F2041" t="s">
        <v>200</v>
      </c>
      <c r="G2041" t="s">
        <v>88</v>
      </c>
      <c r="H2041" t="b">
        <v>1</v>
      </c>
      <c r="I2041" t="b">
        <v>1</v>
      </c>
      <c r="L2041" t="b">
        <v>1</v>
      </c>
      <c r="M2041" t="s">
        <v>4609</v>
      </c>
    </row>
    <row r="2042" spans="1:25" x14ac:dyDescent="0.2">
      <c r="A2042">
        <v>3195</v>
      </c>
      <c r="B2042" t="s">
        <v>4604</v>
      </c>
      <c r="C2042" t="s">
        <v>18</v>
      </c>
      <c r="D2042" t="s">
        <v>4610</v>
      </c>
      <c r="E2042" t="s">
        <v>4611</v>
      </c>
      <c r="F2042" t="s">
        <v>82</v>
      </c>
      <c r="G2042" t="s">
        <v>88</v>
      </c>
      <c r="H2042" t="b">
        <v>0</v>
      </c>
      <c r="I2042" t="b">
        <v>0</v>
      </c>
      <c r="L2042" t="b">
        <v>0</v>
      </c>
    </row>
    <row r="2043" spans="1:25" x14ac:dyDescent="0.2">
      <c r="A2043">
        <v>3196</v>
      </c>
      <c r="B2043" t="s">
        <v>4604</v>
      </c>
      <c r="C2043" t="s">
        <v>18</v>
      </c>
      <c r="D2043" t="s">
        <v>4612</v>
      </c>
      <c r="E2043" t="s">
        <v>2011</v>
      </c>
      <c r="F2043" t="s">
        <v>200</v>
      </c>
      <c r="G2043" t="s">
        <v>88</v>
      </c>
      <c r="H2043" t="b">
        <v>0</v>
      </c>
      <c r="I2043" t="b">
        <v>0</v>
      </c>
      <c r="L2043" t="b">
        <v>0</v>
      </c>
      <c r="M2043" t="s">
        <v>4613</v>
      </c>
      <c r="N2043" t="s">
        <v>4614</v>
      </c>
    </row>
    <row r="2044" spans="1:25" x14ac:dyDescent="0.2">
      <c r="A2044">
        <v>3197</v>
      </c>
      <c r="B2044" t="s">
        <v>4604</v>
      </c>
      <c r="C2044" t="s">
        <v>18</v>
      </c>
      <c r="D2044" t="s">
        <v>3150</v>
      </c>
      <c r="E2044" t="s">
        <v>3151</v>
      </c>
      <c r="F2044" t="s">
        <v>1898</v>
      </c>
      <c r="G2044" t="s">
        <v>879</v>
      </c>
      <c r="H2044" t="b">
        <v>0</v>
      </c>
      <c r="I2044" t="b">
        <v>0</v>
      </c>
      <c r="L2044" t="b">
        <v>0</v>
      </c>
      <c r="M2044" t="s">
        <v>3152</v>
      </c>
      <c r="N2044" t="s">
        <v>3153</v>
      </c>
    </row>
    <row r="2046" spans="1:25" x14ac:dyDescent="0.2">
      <c r="A2046" s="2">
        <v>3199</v>
      </c>
      <c r="B2046" s="2" t="s">
        <v>4615</v>
      </c>
      <c r="C2046" s="2" t="s">
        <v>13</v>
      </c>
      <c r="D2046" s="2" t="s">
        <v>4616</v>
      </c>
      <c r="E2046" s="2" t="s">
        <v>4617</v>
      </c>
      <c r="F2046" s="2" t="s">
        <v>151</v>
      </c>
      <c r="G2046" s="2" t="s">
        <v>62</v>
      </c>
      <c r="H2046" s="2"/>
      <c r="I2046" s="2"/>
      <c r="J2046" s="2"/>
      <c r="K2046" s="2"/>
      <c r="L2046" s="2"/>
      <c r="M2046" s="2"/>
      <c r="N2046" s="2"/>
      <c r="O2046" s="2"/>
      <c r="P2046" s="2"/>
      <c r="Q2046" s="2"/>
      <c r="R2046" s="2"/>
      <c r="S2046" s="2"/>
      <c r="T2046" s="2"/>
      <c r="U2046" s="2"/>
      <c r="V2046" s="2"/>
      <c r="W2046" s="2"/>
      <c r="X2046" s="2"/>
      <c r="Y2046" s="2"/>
    </row>
    <row r="2047" spans="1:25" x14ac:dyDescent="0.2">
      <c r="A2047">
        <v>3200</v>
      </c>
      <c r="B2047" t="s">
        <v>4615</v>
      </c>
      <c r="C2047" t="s">
        <v>18</v>
      </c>
      <c r="D2047" t="s">
        <v>4616</v>
      </c>
      <c r="E2047" t="s">
        <v>4617</v>
      </c>
      <c r="F2047" t="s">
        <v>151</v>
      </c>
      <c r="G2047" t="s">
        <v>62</v>
      </c>
      <c r="H2047" t="b">
        <v>1</v>
      </c>
      <c r="I2047" t="b">
        <v>1</v>
      </c>
      <c r="L2047" t="b">
        <v>1</v>
      </c>
      <c r="M2047" t="s">
        <v>4618</v>
      </c>
      <c r="N2047" t="s">
        <v>4619</v>
      </c>
    </row>
    <row r="2048" spans="1:25" x14ac:dyDescent="0.2">
      <c r="A2048">
        <v>3201</v>
      </c>
      <c r="B2048" t="s">
        <v>4615</v>
      </c>
      <c r="C2048" t="s">
        <v>18</v>
      </c>
      <c r="D2048" t="s">
        <v>4620</v>
      </c>
      <c r="E2048" t="s">
        <v>4621</v>
      </c>
      <c r="F2048" t="s">
        <v>151</v>
      </c>
      <c r="G2048" t="s">
        <v>417</v>
      </c>
      <c r="H2048" t="b">
        <v>0</v>
      </c>
      <c r="I2048" t="b">
        <v>0</v>
      </c>
      <c r="L2048" t="b">
        <v>0</v>
      </c>
      <c r="M2048" t="s">
        <v>4622</v>
      </c>
      <c r="N2048" t="s">
        <v>4623</v>
      </c>
    </row>
    <row r="2049" spans="1:25" x14ac:dyDescent="0.2">
      <c r="A2049">
        <v>3202</v>
      </c>
      <c r="B2049" t="s">
        <v>4615</v>
      </c>
      <c r="C2049" t="s">
        <v>18</v>
      </c>
      <c r="D2049" t="s">
        <v>1272</v>
      </c>
      <c r="E2049" t="s">
        <v>1273</v>
      </c>
      <c r="F2049" t="s">
        <v>151</v>
      </c>
      <c r="G2049" t="s">
        <v>62</v>
      </c>
      <c r="H2049" t="b">
        <v>0</v>
      </c>
      <c r="I2049" t="b">
        <v>0</v>
      </c>
      <c r="L2049" t="b">
        <v>0</v>
      </c>
      <c r="M2049" t="s">
        <v>1274</v>
      </c>
    </row>
    <row r="2050" spans="1:25" x14ac:dyDescent="0.2">
      <c r="A2050">
        <v>3203</v>
      </c>
      <c r="B2050" t="s">
        <v>4615</v>
      </c>
      <c r="C2050" t="s">
        <v>18</v>
      </c>
      <c r="D2050" t="s">
        <v>4624</v>
      </c>
      <c r="E2050" t="s">
        <v>4625</v>
      </c>
      <c r="F2050" t="s">
        <v>151</v>
      </c>
      <c r="G2050" t="s">
        <v>24</v>
      </c>
      <c r="H2050" t="b">
        <v>0</v>
      </c>
      <c r="I2050" t="b">
        <v>0</v>
      </c>
      <c r="L2050" t="b">
        <v>0</v>
      </c>
    </row>
    <row r="2051" spans="1:25" x14ac:dyDescent="0.2">
      <c r="A2051">
        <v>3204</v>
      </c>
      <c r="B2051" t="s">
        <v>4615</v>
      </c>
      <c r="C2051" t="s">
        <v>18</v>
      </c>
      <c r="D2051" t="s">
        <v>4626</v>
      </c>
      <c r="E2051" t="s">
        <v>4627</v>
      </c>
      <c r="F2051" t="s">
        <v>151</v>
      </c>
      <c r="G2051" t="s">
        <v>62</v>
      </c>
      <c r="H2051" t="b">
        <v>0</v>
      </c>
      <c r="I2051" t="b">
        <v>0</v>
      </c>
      <c r="L2051" t="b">
        <v>0</v>
      </c>
      <c r="M2051" t="s">
        <v>4628</v>
      </c>
    </row>
    <row r="2053" spans="1:25" x14ac:dyDescent="0.2">
      <c r="A2053" s="2">
        <v>3206</v>
      </c>
      <c r="B2053" s="2" t="s">
        <v>4629</v>
      </c>
      <c r="C2053" s="2" t="s">
        <v>13</v>
      </c>
      <c r="D2053" s="2" t="s">
        <v>4630</v>
      </c>
      <c r="E2053" s="2" t="s">
        <v>4631</v>
      </c>
      <c r="F2053" s="2" t="s">
        <v>1617</v>
      </c>
      <c r="G2053" s="2" t="s">
        <v>62</v>
      </c>
      <c r="H2053" s="2"/>
      <c r="I2053" s="2"/>
      <c r="J2053" s="2"/>
      <c r="K2053" s="2"/>
      <c r="L2053" s="2"/>
      <c r="M2053" s="2"/>
      <c r="N2053" s="2"/>
      <c r="O2053" s="2"/>
      <c r="P2053" s="2"/>
      <c r="Q2053" s="2"/>
      <c r="R2053" s="2"/>
      <c r="S2053" s="2"/>
      <c r="T2053" s="2"/>
      <c r="U2053" s="2"/>
      <c r="V2053" s="2"/>
      <c r="W2053" s="2"/>
      <c r="X2053" s="2"/>
      <c r="Y2053" s="2"/>
    </row>
    <row r="2054" spans="1:25" x14ac:dyDescent="0.2">
      <c r="A2054">
        <v>3207</v>
      </c>
      <c r="B2054" t="s">
        <v>4629</v>
      </c>
      <c r="C2054" t="s">
        <v>18</v>
      </c>
      <c r="D2054" t="s">
        <v>4630</v>
      </c>
      <c r="E2054" t="s">
        <v>4632</v>
      </c>
      <c r="F2054" t="s">
        <v>1617</v>
      </c>
      <c r="G2054" t="s">
        <v>62</v>
      </c>
      <c r="H2054" t="b">
        <v>1</v>
      </c>
      <c r="K2054" t="b">
        <v>1</v>
      </c>
      <c r="L2054" t="b">
        <v>1</v>
      </c>
      <c r="M2054" t="s">
        <v>4633</v>
      </c>
      <c r="N2054" t="s">
        <v>4634</v>
      </c>
    </row>
    <row r="2055" spans="1:25" x14ac:dyDescent="0.2">
      <c r="A2055">
        <v>3208</v>
      </c>
      <c r="B2055" t="s">
        <v>4629</v>
      </c>
      <c r="C2055" t="s">
        <v>18</v>
      </c>
      <c r="D2055" t="s">
        <v>4635</v>
      </c>
      <c r="E2055" t="s">
        <v>3377</v>
      </c>
      <c r="F2055" t="s">
        <v>1617</v>
      </c>
      <c r="G2055" t="s">
        <v>62</v>
      </c>
      <c r="H2055" t="b">
        <v>1</v>
      </c>
      <c r="K2055" t="b">
        <v>1</v>
      </c>
      <c r="L2055" t="b">
        <v>1</v>
      </c>
      <c r="M2055" t="s">
        <v>4636</v>
      </c>
    </row>
    <row r="2056" spans="1:25" x14ac:dyDescent="0.2">
      <c r="A2056">
        <v>3209</v>
      </c>
      <c r="B2056" t="s">
        <v>4629</v>
      </c>
      <c r="C2056" t="s">
        <v>18</v>
      </c>
      <c r="D2056" t="s">
        <v>4637</v>
      </c>
      <c r="E2056" t="s">
        <v>4638</v>
      </c>
      <c r="F2056" t="s">
        <v>151</v>
      </c>
      <c r="G2056" t="s">
        <v>62</v>
      </c>
      <c r="H2056" t="b">
        <v>0</v>
      </c>
      <c r="K2056" t="b">
        <v>0</v>
      </c>
      <c r="L2056" t="b">
        <v>0</v>
      </c>
      <c r="M2056" t="s">
        <v>4639</v>
      </c>
      <c r="N2056" t="s">
        <v>4640</v>
      </c>
      <c r="O2056" t="s">
        <v>4641</v>
      </c>
      <c r="P2056" t="s">
        <v>4642</v>
      </c>
    </row>
    <row r="2057" spans="1:25" x14ac:dyDescent="0.2">
      <c r="A2057">
        <v>3210</v>
      </c>
      <c r="B2057" t="s">
        <v>4629</v>
      </c>
      <c r="C2057" t="s">
        <v>18</v>
      </c>
      <c r="D2057" t="s">
        <v>1293</v>
      </c>
      <c r="E2057" t="s">
        <v>1294</v>
      </c>
      <c r="F2057" t="s">
        <v>151</v>
      </c>
      <c r="G2057" t="s">
        <v>62</v>
      </c>
      <c r="H2057" t="b">
        <v>0</v>
      </c>
      <c r="K2057" t="b">
        <v>0</v>
      </c>
      <c r="L2057" t="b">
        <v>0</v>
      </c>
      <c r="M2057" t="s">
        <v>1295</v>
      </c>
    </row>
    <row r="2058" spans="1:25" x14ac:dyDescent="0.2">
      <c r="A2058">
        <v>3211</v>
      </c>
      <c r="B2058" t="s">
        <v>4629</v>
      </c>
      <c r="C2058" t="s">
        <v>18</v>
      </c>
      <c r="D2058" t="s">
        <v>4643</v>
      </c>
      <c r="E2058" t="s">
        <v>4644</v>
      </c>
      <c r="F2058" t="s">
        <v>87</v>
      </c>
      <c r="G2058" t="s">
        <v>62</v>
      </c>
      <c r="H2058" t="b">
        <v>0</v>
      </c>
      <c r="K2058" t="b">
        <v>0</v>
      </c>
      <c r="L2058" t="b">
        <v>0</v>
      </c>
      <c r="M2058" t="s">
        <v>4645</v>
      </c>
    </row>
    <row r="2060" spans="1:25" x14ac:dyDescent="0.2">
      <c r="A2060" s="2">
        <v>3220</v>
      </c>
      <c r="B2060" s="2" t="s">
        <v>4646</v>
      </c>
      <c r="C2060" s="2" t="s">
        <v>13</v>
      </c>
      <c r="D2060" s="2" t="s">
        <v>4647</v>
      </c>
      <c r="E2060" s="2" t="s">
        <v>4648</v>
      </c>
      <c r="F2060" s="2" t="s">
        <v>785</v>
      </c>
      <c r="G2060" s="2" t="s">
        <v>62</v>
      </c>
      <c r="H2060" s="2"/>
      <c r="I2060" s="2"/>
      <c r="J2060" s="2"/>
      <c r="K2060" s="2"/>
      <c r="L2060" s="2"/>
      <c r="M2060" s="2"/>
      <c r="N2060" s="2"/>
      <c r="O2060" s="2"/>
      <c r="P2060" s="2"/>
      <c r="Q2060" s="2"/>
      <c r="R2060" s="2"/>
      <c r="S2060" s="2"/>
      <c r="T2060" s="2"/>
      <c r="U2060" s="2"/>
      <c r="V2060" s="2"/>
      <c r="W2060" s="2"/>
      <c r="X2060" s="2"/>
      <c r="Y2060" s="2"/>
    </row>
    <row r="2061" spans="1:25" x14ac:dyDescent="0.2">
      <c r="A2061">
        <v>3221</v>
      </c>
      <c r="B2061" t="s">
        <v>4646</v>
      </c>
      <c r="C2061" t="s">
        <v>18</v>
      </c>
      <c r="D2061" t="s">
        <v>4649</v>
      </c>
      <c r="E2061" t="s">
        <v>939</v>
      </c>
      <c r="F2061" t="s">
        <v>785</v>
      </c>
      <c r="G2061" t="s">
        <v>62</v>
      </c>
      <c r="H2061" t="b">
        <v>1</v>
      </c>
      <c r="K2061" t="b">
        <v>1</v>
      </c>
      <c r="L2061" t="b">
        <v>1</v>
      </c>
      <c r="M2061" t="s">
        <v>4650</v>
      </c>
    </row>
    <row r="2062" spans="1:25" x14ac:dyDescent="0.2">
      <c r="A2062">
        <v>3222</v>
      </c>
      <c r="B2062" t="s">
        <v>4646</v>
      </c>
      <c r="C2062" t="s">
        <v>18</v>
      </c>
      <c r="D2062" t="s">
        <v>4651</v>
      </c>
      <c r="E2062" t="s">
        <v>4652</v>
      </c>
      <c r="F2062" t="s">
        <v>785</v>
      </c>
      <c r="G2062" t="s">
        <v>62</v>
      </c>
      <c r="H2062" t="b">
        <v>0</v>
      </c>
      <c r="K2062" t="b">
        <v>0</v>
      </c>
      <c r="L2062" t="b">
        <v>0</v>
      </c>
      <c r="M2062" t="s">
        <v>4653</v>
      </c>
      <c r="N2062" t="s">
        <v>4654</v>
      </c>
    </row>
    <row r="2063" spans="1:25" x14ac:dyDescent="0.2">
      <c r="A2063">
        <v>3223</v>
      </c>
      <c r="B2063" t="s">
        <v>4646</v>
      </c>
      <c r="C2063" t="s">
        <v>18</v>
      </c>
      <c r="D2063" t="s">
        <v>4655</v>
      </c>
      <c r="E2063" t="s">
        <v>4656</v>
      </c>
      <c r="F2063" t="s">
        <v>785</v>
      </c>
      <c r="G2063" t="s">
        <v>62</v>
      </c>
      <c r="H2063" t="b">
        <v>0</v>
      </c>
      <c r="K2063" t="b">
        <v>0</v>
      </c>
      <c r="L2063" t="b">
        <v>0</v>
      </c>
      <c r="M2063" t="s">
        <v>4657</v>
      </c>
      <c r="N2063" t="s">
        <v>4658</v>
      </c>
    </row>
    <row r="2064" spans="1:25" x14ac:dyDescent="0.2">
      <c r="A2064">
        <v>3224</v>
      </c>
      <c r="B2064" t="s">
        <v>4646</v>
      </c>
      <c r="C2064" t="s">
        <v>18</v>
      </c>
      <c r="D2064" t="s">
        <v>4659</v>
      </c>
      <c r="E2064" t="s">
        <v>4660</v>
      </c>
      <c r="F2064" t="s">
        <v>785</v>
      </c>
      <c r="G2064" t="s">
        <v>62</v>
      </c>
      <c r="H2064" t="b">
        <v>0</v>
      </c>
      <c r="K2064" t="b">
        <v>0</v>
      </c>
      <c r="L2064" t="b">
        <v>0</v>
      </c>
    </row>
    <row r="2065" spans="1:25" x14ac:dyDescent="0.2">
      <c r="A2065">
        <v>3225</v>
      </c>
      <c r="B2065" t="s">
        <v>4646</v>
      </c>
      <c r="C2065" t="s">
        <v>18</v>
      </c>
      <c r="D2065" t="s">
        <v>4661</v>
      </c>
      <c r="E2065" t="s">
        <v>4662</v>
      </c>
      <c r="F2065" t="s">
        <v>785</v>
      </c>
      <c r="G2065" t="s">
        <v>62</v>
      </c>
      <c r="H2065" t="b">
        <v>0</v>
      </c>
      <c r="K2065" t="b">
        <v>0</v>
      </c>
      <c r="L2065" t="b">
        <v>0</v>
      </c>
      <c r="M2065" t="s">
        <v>4663</v>
      </c>
      <c r="N2065" t="s">
        <v>4664</v>
      </c>
    </row>
    <row r="2067" spans="1:25" x14ac:dyDescent="0.2">
      <c r="A2067" s="2">
        <v>3234</v>
      </c>
      <c r="B2067" s="2" t="s">
        <v>4665</v>
      </c>
      <c r="C2067" s="2" t="s">
        <v>13</v>
      </c>
      <c r="D2067" s="2" t="s">
        <v>4666</v>
      </c>
      <c r="E2067" s="2" t="s">
        <v>4667</v>
      </c>
      <c r="F2067" s="2" t="s">
        <v>456</v>
      </c>
      <c r="G2067" s="2" t="s">
        <v>62</v>
      </c>
      <c r="H2067" s="2"/>
      <c r="I2067" s="2"/>
      <c r="J2067" s="2"/>
      <c r="K2067" s="2"/>
      <c r="L2067" s="2"/>
      <c r="M2067" s="2"/>
      <c r="N2067" s="2"/>
      <c r="O2067" s="2"/>
      <c r="P2067" s="2"/>
      <c r="Q2067" s="2"/>
      <c r="R2067" s="2"/>
      <c r="S2067" s="2"/>
      <c r="T2067" s="2"/>
      <c r="U2067" s="2"/>
      <c r="V2067" s="2"/>
      <c r="W2067" s="2"/>
      <c r="X2067" s="2"/>
      <c r="Y2067" s="2"/>
    </row>
    <row r="2068" spans="1:25" x14ac:dyDescent="0.2">
      <c r="A2068">
        <v>3235</v>
      </c>
      <c r="B2068" t="s">
        <v>4665</v>
      </c>
      <c r="C2068" t="s">
        <v>18</v>
      </c>
      <c r="D2068" t="s">
        <v>4668</v>
      </c>
      <c r="E2068" t="s">
        <v>4667</v>
      </c>
      <c r="F2068" t="s">
        <v>456</v>
      </c>
      <c r="G2068" t="s">
        <v>62</v>
      </c>
      <c r="H2068" t="b">
        <v>1</v>
      </c>
      <c r="K2068" t="b">
        <v>1</v>
      </c>
      <c r="L2068" t="b">
        <v>1</v>
      </c>
      <c r="M2068" t="s">
        <v>4669</v>
      </c>
      <c r="N2068" t="s">
        <v>4670</v>
      </c>
    </row>
    <row r="2069" spans="1:25" x14ac:dyDescent="0.2">
      <c r="A2069">
        <v>3236</v>
      </c>
      <c r="B2069" t="s">
        <v>4665</v>
      </c>
      <c r="C2069" t="s">
        <v>18</v>
      </c>
      <c r="D2069" t="s">
        <v>4671</v>
      </c>
      <c r="E2069" t="s">
        <v>4672</v>
      </c>
      <c r="F2069" t="s">
        <v>1153</v>
      </c>
      <c r="G2069" t="s">
        <v>62</v>
      </c>
      <c r="H2069" t="b">
        <v>0</v>
      </c>
      <c r="K2069" t="b">
        <v>0</v>
      </c>
      <c r="L2069" t="b">
        <v>0</v>
      </c>
      <c r="M2069" t="s">
        <v>4673</v>
      </c>
    </row>
    <row r="2070" spans="1:25" x14ac:dyDescent="0.2">
      <c r="A2070">
        <v>3237</v>
      </c>
      <c r="B2070" t="s">
        <v>4665</v>
      </c>
      <c r="C2070" t="s">
        <v>18</v>
      </c>
      <c r="D2070" t="s">
        <v>4674</v>
      </c>
      <c r="E2070" t="s">
        <v>4675</v>
      </c>
      <c r="F2070" t="s">
        <v>1153</v>
      </c>
      <c r="G2070" t="s">
        <v>62</v>
      </c>
      <c r="H2070" t="b">
        <v>0</v>
      </c>
      <c r="K2070" t="b">
        <v>0</v>
      </c>
      <c r="L2070" t="b">
        <v>0</v>
      </c>
    </row>
    <row r="2071" spans="1:25" x14ac:dyDescent="0.2">
      <c r="A2071">
        <v>3238</v>
      </c>
      <c r="B2071" t="s">
        <v>4665</v>
      </c>
      <c r="C2071" t="s">
        <v>18</v>
      </c>
      <c r="D2071" t="s">
        <v>4676</v>
      </c>
      <c r="E2071" t="s">
        <v>4677</v>
      </c>
      <c r="F2071" t="s">
        <v>1153</v>
      </c>
      <c r="G2071" t="s">
        <v>62</v>
      </c>
      <c r="H2071" t="b">
        <v>0</v>
      </c>
      <c r="K2071" t="b">
        <v>0</v>
      </c>
      <c r="L2071" t="b">
        <v>0</v>
      </c>
    </row>
    <row r="2072" spans="1:25" x14ac:dyDescent="0.2">
      <c r="A2072">
        <v>3239</v>
      </c>
      <c r="B2072" t="s">
        <v>4665</v>
      </c>
      <c r="C2072" t="s">
        <v>18</v>
      </c>
      <c r="D2072" t="s">
        <v>4678</v>
      </c>
      <c r="E2072" t="s">
        <v>4679</v>
      </c>
      <c r="F2072" t="s">
        <v>456</v>
      </c>
      <c r="G2072" t="s">
        <v>62</v>
      </c>
      <c r="H2072" t="b">
        <v>0</v>
      </c>
      <c r="K2072" t="b">
        <v>0</v>
      </c>
      <c r="L2072" t="b">
        <v>0</v>
      </c>
      <c r="M2072" t="s">
        <v>4680</v>
      </c>
    </row>
    <row r="2074" spans="1:25" x14ac:dyDescent="0.2">
      <c r="A2074" s="2">
        <v>3255</v>
      </c>
      <c r="B2074" s="2" t="s">
        <v>4681</v>
      </c>
      <c r="C2074" s="2" t="s">
        <v>13</v>
      </c>
      <c r="D2074" s="2" t="s">
        <v>4682</v>
      </c>
      <c r="E2074" s="2" t="s">
        <v>4683</v>
      </c>
      <c r="F2074" s="2" t="s">
        <v>264</v>
      </c>
      <c r="G2074" s="2" t="s">
        <v>252</v>
      </c>
      <c r="H2074" s="2"/>
      <c r="I2074" s="2"/>
      <c r="J2074" s="2"/>
      <c r="K2074" s="2"/>
      <c r="L2074" s="2"/>
      <c r="M2074" s="2"/>
      <c r="N2074" s="2"/>
      <c r="O2074" s="2"/>
      <c r="P2074" s="2"/>
      <c r="Q2074" s="2"/>
      <c r="R2074" s="2"/>
      <c r="S2074" s="2"/>
      <c r="T2074" s="2"/>
      <c r="U2074" s="2"/>
      <c r="V2074" s="2"/>
      <c r="W2074" s="2"/>
      <c r="X2074" s="2"/>
      <c r="Y2074" s="2"/>
    </row>
    <row r="2075" spans="1:25" x14ac:dyDescent="0.2">
      <c r="A2075">
        <v>3256</v>
      </c>
      <c r="B2075" t="s">
        <v>4681</v>
      </c>
      <c r="C2075" t="s">
        <v>18</v>
      </c>
      <c r="D2075" t="s">
        <v>4682</v>
      </c>
      <c r="E2075" t="s">
        <v>4683</v>
      </c>
      <c r="F2075" t="s">
        <v>264</v>
      </c>
      <c r="G2075" t="s">
        <v>252</v>
      </c>
      <c r="H2075" t="b">
        <v>1</v>
      </c>
      <c r="I2075" t="b">
        <v>1</v>
      </c>
      <c r="L2075" t="b">
        <v>1</v>
      </c>
      <c r="M2075" t="s">
        <v>4684</v>
      </c>
      <c r="N2075" t="s">
        <v>4685</v>
      </c>
      <c r="O2075" t="s">
        <v>4686</v>
      </c>
    </row>
    <row r="2076" spans="1:25" x14ac:dyDescent="0.2">
      <c r="A2076">
        <v>3257</v>
      </c>
      <c r="B2076" t="s">
        <v>4681</v>
      </c>
      <c r="C2076" t="s">
        <v>18</v>
      </c>
      <c r="D2076" t="s">
        <v>4687</v>
      </c>
      <c r="E2076" t="s">
        <v>4688</v>
      </c>
      <c r="F2076" t="s">
        <v>510</v>
      </c>
      <c r="G2076" t="s">
        <v>252</v>
      </c>
      <c r="H2076" t="b">
        <v>0</v>
      </c>
      <c r="I2076" t="b">
        <v>0</v>
      </c>
      <c r="L2076" t="b">
        <v>0</v>
      </c>
      <c r="M2076" t="s">
        <v>4689</v>
      </c>
      <c r="N2076" t="s">
        <v>4690</v>
      </c>
    </row>
    <row r="2077" spans="1:25" x14ac:dyDescent="0.2">
      <c r="A2077">
        <v>3258</v>
      </c>
      <c r="B2077" t="s">
        <v>4681</v>
      </c>
      <c r="C2077" t="s">
        <v>18</v>
      </c>
      <c r="D2077" t="s">
        <v>4691</v>
      </c>
      <c r="E2077" t="s">
        <v>4692</v>
      </c>
      <c r="F2077" t="s">
        <v>264</v>
      </c>
      <c r="G2077" t="s">
        <v>62</v>
      </c>
      <c r="H2077" t="b">
        <v>0</v>
      </c>
      <c r="I2077" t="b">
        <v>0</v>
      </c>
      <c r="L2077" t="b">
        <v>0</v>
      </c>
      <c r="M2077" t="s">
        <v>4693</v>
      </c>
    </row>
    <row r="2078" spans="1:25" x14ac:dyDescent="0.2">
      <c r="A2078">
        <v>3259</v>
      </c>
      <c r="B2078" t="s">
        <v>4681</v>
      </c>
      <c r="C2078" t="s">
        <v>18</v>
      </c>
      <c r="D2078" t="s">
        <v>3045</v>
      </c>
      <c r="E2078" t="s">
        <v>2267</v>
      </c>
      <c r="F2078" t="s">
        <v>1077</v>
      </c>
      <c r="G2078" t="s">
        <v>252</v>
      </c>
      <c r="H2078" t="b">
        <v>0</v>
      </c>
      <c r="I2078" t="b">
        <v>0</v>
      </c>
      <c r="L2078" t="b">
        <v>0</v>
      </c>
      <c r="M2078" t="s">
        <v>3046</v>
      </c>
      <c r="N2078" t="s">
        <v>3047</v>
      </c>
    </row>
    <row r="2079" spans="1:25" x14ac:dyDescent="0.2">
      <c r="A2079">
        <v>3260</v>
      </c>
      <c r="B2079" t="s">
        <v>4681</v>
      </c>
      <c r="C2079" t="s">
        <v>18</v>
      </c>
      <c r="D2079" t="s">
        <v>4694</v>
      </c>
      <c r="E2079" t="s">
        <v>4695</v>
      </c>
      <c r="F2079" t="s">
        <v>264</v>
      </c>
      <c r="G2079" t="s">
        <v>62</v>
      </c>
      <c r="H2079" t="b">
        <v>0</v>
      </c>
      <c r="I2079" t="b">
        <v>0</v>
      </c>
      <c r="L2079" t="b">
        <v>0</v>
      </c>
    </row>
    <row r="2081" spans="1:25" x14ac:dyDescent="0.2">
      <c r="A2081" s="2">
        <v>3276</v>
      </c>
      <c r="B2081" s="2" t="s">
        <v>4696</v>
      </c>
      <c r="C2081" s="2" t="s">
        <v>13</v>
      </c>
      <c r="D2081" s="2" t="s">
        <v>4697</v>
      </c>
      <c r="E2081" s="2" t="s">
        <v>4698</v>
      </c>
      <c r="F2081" s="2" t="s">
        <v>168</v>
      </c>
      <c r="G2081" s="2" t="s">
        <v>17</v>
      </c>
      <c r="H2081" s="2"/>
      <c r="I2081" s="2"/>
      <c r="J2081" s="2"/>
      <c r="K2081" s="2"/>
      <c r="L2081" s="2"/>
      <c r="M2081" s="2"/>
      <c r="N2081" s="2"/>
      <c r="O2081" s="2"/>
      <c r="P2081" s="2"/>
      <c r="Q2081" s="2"/>
      <c r="R2081" s="2"/>
      <c r="S2081" s="2"/>
      <c r="T2081" s="2"/>
      <c r="U2081" s="2"/>
      <c r="V2081" s="2"/>
      <c r="W2081" s="2"/>
      <c r="X2081" s="2"/>
      <c r="Y2081" s="2"/>
    </row>
    <row r="2082" spans="1:25" x14ac:dyDescent="0.2">
      <c r="A2082">
        <v>3277</v>
      </c>
      <c r="B2082" t="s">
        <v>4696</v>
      </c>
      <c r="C2082" t="s">
        <v>18</v>
      </c>
      <c r="D2082" t="s">
        <v>4697</v>
      </c>
      <c r="E2082" t="s">
        <v>595</v>
      </c>
      <c r="F2082" t="s">
        <v>168</v>
      </c>
      <c r="G2082" t="s">
        <v>17</v>
      </c>
      <c r="H2082" t="b">
        <v>1</v>
      </c>
      <c r="K2082" t="b">
        <v>1</v>
      </c>
      <c r="L2082" t="b">
        <v>1</v>
      </c>
      <c r="M2082" t="s">
        <v>4699</v>
      </c>
    </row>
    <row r="2083" spans="1:25" x14ac:dyDescent="0.2">
      <c r="A2083">
        <v>3278</v>
      </c>
      <c r="B2083" t="s">
        <v>4696</v>
      </c>
      <c r="C2083" t="s">
        <v>18</v>
      </c>
      <c r="D2083" t="s">
        <v>4700</v>
      </c>
      <c r="E2083" t="s">
        <v>4701</v>
      </c>
      <c r="F2083" t="s">
        <v>456</v>
      </c>
      <c r="G2083" t="s">
        <v>17</v>
      </c>
      <c r="H2083" t="b">
        <v>0</v>
      </c>
      <c r="K2083" t="b">
        <v>0</v>
      </c>
      <c r="L2083" t="b">
        <v>0</v>
      </c>
      <c r="M2083" t="s">
        <v>4702</v>
      </c>
      <c r="N2083" t="s">
        <v>4703</v>
      </c>
    </row>
    <row r="2084" spans="1:25" x14ac:dyDescent="0.2">
      <c r="A2084">
        <v>3279</v>
      </c>
      <c r="B2084" t="s">
        <v>4696</v>
      </c>
      <c r="C2084" t="s">
        <v>18</v>
      </c>
      <c r="D2084" t="s">
        <v>4704</v>
      </c>
      <c r="E2084" t="s">
        <v>4705</v>
      </c>
      <c r="F2084" t="s">
        <v>205</v>
      </c>
      <c r="G2084" t="s">
        <v>17</v>
      </c>
      <c r="H2084" t="b">
        <v>0</v>
      </c>
      <c r="K2084" t="b">
        <v>0</v>
      </c>
      <c r="L2084" t="b">
        <v>0</v>
      </c>
      <c r="M2084" t="s">
        <v>4706</v>
      </c>
      <c r="N2084" t="s">
        <v>745</v>
      </c>
    </row>
    <row r="2085" spans="1:25" x14ac:dyDescent="0.2">
      <c r="A2085">
        <v>3280</v>
      </c>
      <c r="B2085" t="s">
        <v>4696</v>
      </c>
      <c r="C2085" t="s">
        <v>18</v>
      </c>
      <c r="D2085" t="s">
        <v>4707</v>
      </c>
      <c r="E2085" t="s">
        <v>4708</v>
      </c>
      <c r="F2085" t="s">
        <v>168</v>
      </c>
      <c r="G2085" t="s">
        <v>17</v>
      </c>
      <c r="H2085" t="b">
        <v>0</v>
      </c>
      <c r="K2085" t="b">
        <v>0</v>
      </c>
      <c r="L2085" t="b">
        <v>0</v>
      </c>
    </row>
    <row r="2086" spans="1:25" x14ac:dyDescent="0.2">
      <c r="A2086">
        <v>3281</v>
      </c>
      <c r="B2086" t="s">
        <v>4696</v>
      </c>
      <c r="C2086" t="s">
        <v>18</v>
      </c>
      <c r="D2086" t="s">
        <v>4709</v>
      </c>
      <c r="E2086" t="s">
        <v>4710</v>
      </c>
      <c r="F2086" t="s">
        <v>168</v>
      </c>
      <c r="G2086" t="s">
        <v>17</v>
      </c>
      <c r="H2086" t="b">
        <v>0</v>
      </c>
      <c r="K2086" t="b">
        <v>0</v>
      </c>
      <c r="L2086" t="b">
        <v>0</v>
      </c>
    </row>
    <row r="2088" spans="1:25" x14ac:dyDescent="0.2">
      <c r="A2088" s="2">
        <v>329</v>
      </c>
      <c r="B2088" s="2" t="s">
        <v>4711</v>
      </c>
      <c r="C2088" s="2" t="s">
        <v>13</v>
      </c>
      <c r="D2088" s="2" t="s">
        <v>320</v>
      </c>
      <c r="E2088" s="2" t="s">
        <v>4712</v>
      </c>
      <c r="F2088" s="2" t="s">
        <v>316</v>
      </c>
      <c r="G2088" s="2" t="s">
        <v>252</v>
      </c>
      <c r="H2088" s="2"/>
      <c r="I2088" s="2"/>
      <c r="J2088" s="2"/>
      <c r="K2088" s="2"/>
      <c r="L2088" s="2"/>
      <c r="M2088" s="2"/>
      <c r="N2088" s="2"/>
      <c r="O2088" s="2"/>
      <c r="P2088" s="2"/>
      <c r="Q2088" s="2"/>
      <c r="R2088" s="2"/>
      <c r="S2088" s="2"/>
      <c r="T2088" s="2"/>
      <c r="U2088" s="2"/>
      <c r="V2088" s="2"/>
      <c r="W2088" s="2"/>
      <c r="X2088" s="2"/>
      <c r="Y2088" s="2"/>
    </row>
    <row r="2089" spans="1:25" x14ac:dyDescent="0.2">
      <c r="A2089">
        <v>330</v>
      </c>
      <c r="B2089" t="s">
        <v>4711</v>
      </c>
      <c r="C2089" t="s">
        <v>18</v>
      </c>
      <c r="D2089" t="s">
        <v>320</v>
      </c>
      <c r="E2089" t="s">
        <v>321</v>
      </c>
      <c r="F2089" t="s">
        <v>316</v>
      </c>
      <c r="G2089" t="s">
        <v>252</v>
      </c>
      <c r="H2089" t="b">
        <v>1</v>
      </c>
      <c r="I2089" t="b">
        <v>1</v>
      </c>
      <c r="L2089" t="b">
        <v>1</v>
      </c>
      <c r="M2089" t="s">
        <v>3651</v>
      </c>
      <c r="N2089" t="s">
        <v>3652</v>
      </c>
    </row>
    <row r="2090" spans="1:25" x14ac:dyDescent="0.2">
      <c r="A2090">
        <v>331</v>
      </c>
      <c r="B2090" t="s">
        <v>4711</v>
      </c>
      <c r="C2090" t="s">
        <v>18</v>
      </c>
      <c r="D2090" t="s">
        <v>322</v>
      </c>
      <c r="E2090" t="s">
        <v>323</v>
      </c>
      <c r="F2090" t="s">
        <v>87</v>
      </c>
      <c r="G2090" t="s">
        <v>252</v>
      </c>
      <c r="H2090" t="b">
        <v>1</v>
      </c>
      <c r="I2090" t="b">
        <v>1</v>
      </c>
      <c r="L2090" t="b">
        <v>1</v>
      </c>
      <c r="M2090" t="s">
        <v>4713</v>
      </c>
      <c r="N2090" t="s">
        <v>4714</v>
      </c>
    </row>
    <row r="2091" spans="1:25" x14ac:dyDescent="0.2">
      <c r="A2091">
        <v>332</v>
      </c>
      <c r="B2091" t="s">
        <v>4711</v>
      </c>
      <c r="C2091" t="s">
        <v>18</v>
      </c>
      <c r="D2091" t="s">
        <v>3052</v>
      </c>
      <c r="E2091" t="s">
        <v>3053</v>
      </c>
      <c r="F2091" t="s">
        <v>144</v>
      </c>
      <c r="G2091" t="s">
        <v>252</v>
      </c>
      <c r="H2091" t="b">
        <v>0</v>
      </c>
      <c r="I2091" t="b">
        <v>0</v>
      </c>
      <c r="L2091" t="b">
        <v>0</v>
      </c>
      <c r="M2091" t="s">
        <v>3054</v>
      </c>
    </row>
    <row r="2092" spans="1:25" x14ac:dyDescent="0.2">
      <c r="A2092">
        <v>333</v>
      </c>
      <c r="B2092" t="s">
        <v>4711</v>
      </c>
      <c r="C2092" t="s">
        <v>18</v>
      </c>
      <c r="D2092" t="s">
        <v>1674</v>
      </c>
      <c r="E2092" t="s">
        <v>323</v>
      </c>
      <c r="F2092" t="s">
        <v>1077</v>
      </c>
      <c r="G2092" t="s">
        <v>252</v>
      </c>
      <c r="H2092" t="b">
        <v>0</v>
      </c>
      <c r="I2092" t="b">
        <v>0</v>
      </c>
      <c r="L2092" t="b">
        <v>0</v>
      </c>
      <c r="M2092" t="s">
        <v>1675</v>
      </c>
    </row>
    <row r="2093" spans="1:25" x14ac:dyDescent="0.2">
      <c r="A2093">
        <v>334</v>
      </c>
      <c r="B2093" t="s">
        <v>4711</v>
      </c>
      <c r="C2093" t="s">
        <v>18</v>
      </c>
      <c r="D2093" t="s">
        <v>318</v>
      </c>
      <c r="E2093" t="s">
        <v>319</v>
      </c>
      <c r="F2093" t="s">
        <v>316</v>
      </c>
      <c r="G2093" t="s">
        <v>252</v>
      </c>
      <c r="H2093" t="b">
        <v>0</v>
      </c>
      <c r="I2093" t="b">
        <v>0</v>
      </c>
      <c r="L2093" t="b">
        <v>0</v>
      </c>
    </row>
    <row r="2095" spans="1:25" x14ac:dyDescent="0.2">
      <c r="A2095" s="2">
        <v>3290</v>
      </c>
      <c r="B2095" s="2" t="s">
        <v>4715</v>
      </c>
      <c r="C2095" s="2" t="s">
        <v>13</v>
      </c>
      <c r="D2095" s="2" t="s">
        <v>4716</v>
      </c>
      <c r="E2095" s="2" t="s">
        <v>4717</v>
      </c>
      <c r="F2095" s="2" t="s">
        <v>717</v>
      </c>
      <c r="G2095" s="2" t="s">
        <v>62</v>
      </c>
      <c r="H2095" s="2"/>
      <c r="I2095" s="2"/>
      <c r="J2095" s="2"/>
      <c r="K2095" s="2"/>
      <c r="L2095" s="2"/>
      <c r="M2095" s="2"/>
      <c r="N2095" s="2"/>
      <c r="O2095" s="2"/>
      <c r="P2095" s="2"/>
      <c r="Q2095" s="2"/>
      <c r="R2095" s="2"/>
      <c r="S2095" s="2"/>
      <c r="T2095" s="2"/>
      <c r="U2095" s="2"/>
      <c r="V2095" s="2"/>
      <c r="W2095" s="2"/>
      <c r="X2095" s="2"/>
      <c r="Y2095" s="2"/>
    </row>
    <row r="2096" spans="1:25" x14ac:dyDescent="0.2">
      <c r="A2096">
        <v>3291</v>
      </c>
      <c r="B2096" t="s">
        <v>4715</v>
      </c>
      <c r="C2096" t="s">
        <v>18</v>
      </c>
      <c r="D2096" t="s">
        <v>4718</v>
      </c>
      <c r="E2096" t="s">
        <v>4719</v>
      </c>
      <c r="F2096" t="s">
        <v>717</v>
      </c>
      <c r="G2096" t="s">
        <v>62</v>
      </c>
      <c r="H2096" t="b">
        <v>1</v>
      </c>
      <c r="I2096" t="b">
        <v>1</v>
      </c>
      <c r="L2096" t="b">
        <v>1</v>
      </c>
      <c r="M2096" t="s">
        <v>4720</v>
      </c>
      <c r="N2096" t="s">
        <v>4721</v>
      </c>
    </row>
    <row r="2097" spans="1:25" x14ac:dyDescent="0.2">
      <c r="A2097">
        <v>3292</v>
      </c>
      <c r="B2097" t="s">
        <v>4715</v>
      </c>
      <c r="C2097" t="s">
        <v>18</v>
      </c>
      <c r="D2097" t="s">
        <v>746</v>
      </c>
      <c r="E2097" t="s">
        <v>747</v>
      </c>
      <c r="F2097" t="s">
        <v>717</v>
      </c>
      <c r="G2097" t="s">
        <v>62</v>
      </c>
      <c r="H2097" t="b">
        <v>1</v>
      </c>
      <c r="I2097" t="b">
        <v>1</v>
      </c>
      <c r="L2097" t="b">
        <v>1</v>
      </c>
      <c r="M2097" t="s">
        <v>748</v>
      </c>
      <c r="N2097" t="s">
        <v>749</v>
      </c>
    </row>
    <row r="2098" spans="1:25" x14ac:dyDescent="0.2">
      <c r="A2098">
        <v>3293</v>
      </c>
      <c r="B2098" t="s">
        <v>4715</v>
      </c>
      <c r="C2098" t="s">
        <v>18</v>
      </c>
      <c r="D2098" t="s">
        <v>4722</v>
      </c>
      <c r="E2098" t="s">
        <v>4723</v>
      </c>
      <c r="F2098" t="s">
        <v>4724</v>
      </c>
      <c r="G2098" t="s">
        <v>62</v>
      </c>
      <c r="H2098" t="b">
        <v>0</v>
      </c>
      <c r="I2098" t="b">
        <v>0</v>
      </c>
      <c r="L2098" t="b">
        <v>0</v>
      </c>
      <c r="M2098" t="s">
        <v>4725</v>
      </c>
      <c r="N2098" t="s">
        <v>4726</v>
      </c>
    </row>
    <row r="2099" spans="1:25" x14ac:dyDescent="0.2">
      <c r="A2099">
        <v>3294</v>
      </c>
      <c r="B2099" t="s">
        <v>4715</v>
      </c>
      <c r="C2099" t="s">
        <v>18</v>
      </c>
      <c r="D2099" t="s">
        <v>2598</v>
      </c>
      <c r="E2099" t="s">
        <v>2600</v>
      </c>
      <c r="F2099" t="s">
        <v>78</v>
      </c>
      <c r="G2099" t="s">
        <v>879</v>
      </c>
      <c r="H2099" t="b">
        <v>0</v>
      </c>
      <c r="I2099" t="b">
        <v>0</v>
      </c>
      <c r="L2099" t="b">
        <v>0</v>
      </c>
      <c r="M2099" t="s">
        <v>2601</v>
      </c>
      <c r="N2099" t="s">
        <v>2602</v>
      </c>
      <c r="O2099" t="s">
        <v>2603</v>
      </c>
    </row>
    <row r="2100" spans="1:25" x14ac:dyDescent="0.2">
      <c r="A2100">
        <v>3295</v>
      </c>
      <c r="B2100" t="s">
        <v>4715</v>
      </c>
      <c r="C2100" t="s">
        <v>18</v>
      </c>
      <c r="D2100" t="s">
        <v>732</v>
      </c>
      <c r="E2100" t="s">
        <v>734</v>
      </c>
      <c r="F2100" t="s">
        <v>260</v>
      </c>
      <c r="G2100" t="s">
        <v>62</v>
      </c>
      <c r="H2100" t="b">
        <v>0</v>
      </c>
      <c r="I2100" t="b">
        <v>0</v>
      </c>
      <c r="L2100" t="b">
        <v>0</v>
      </c>
      <c r="M2100" t="s">
        <v>735</v>
      </c>
      <c r="N2100" t="s">
        <v>736</v>
      </c>
    </row>
    <row r="2102" spans="1:25" x14ac:dyDescent="0.2">
      <c r="A2102" s="2">
        <v>3304</v>
      </c>
      <c r="B2102" s="2" t="s">
        <v>4727</v>
      </c>
      <c r="C2102" s="2" t="s">
        <v>13</v>
      </c>
      <c r="D2102" s="2" t="s">
        <v>4728</v>
      </c>
      <c r="E2102" s="2" t="s">
        <v>4729</v>
      </c>
      <c r="F2102" s="2" t="s">
        <v>717</v>
      </c>
      <c r="G2102" s="2" t="s">
        <v>265</v>
      </c>
      <c r="H2102" s="2"/>
      <c r="I2102" s="2"/>
      <c r="J2102" s="2"/>
      <c r="K2102" s="2"/>
      <c r="L2102" s="2"/>
      <c r="M2102" s="2"/>
      <c r="N2102" s="2"/>
      <c r="O2102" s="2"/>
      <c r="P2102" s="2"/>
      <c r="Q2102" s="2"/>
      <c r="R2102" s="2"/>
      <c r="S2102" s="2"/>
      <c r="T2102" s="2"/>
      <c r="U2102" s="2"/>
      <c r="V2102" s="2"/>
      <c r="W2102" s="2"/>
      <c r="X2102" s="2"/>
      <c r="Y2102" s="2"/>
    </row>
    <row r="2103" spans="1:25" x14ac:dyDescent="0.2">
      <c r="A2103">
        <v>3305</v>
      </c>
      <c r="B2103" t="s">
        <v>4727</v>
      </c>
      <c r="C2103" t="s">
        <v>18</v>
      </c>
      <c r="D2103" t="s">
        <v>4728</v>
      </c>
      <c r="E2103" t="s">
        <v>4729</v>
      </c>
      <c r="F2103" t="s">
        <v>717</v>
      </c>
      <c r="G2103" t="s">
        <v>265</v>
      </c>
      <c r="H2103" t="b">
        <v>1</v>
      </c>
      <c r="K2103" t="b">
        <v>1</v>
      </c>
      <c r="L2103" t="b">
        <v>1</v>
      </c>
      <c r="M2103" t="s">
        <v>4730</v>
      </c>
      <c r="N2103" t="s">
        <v>4731</v>
      </c>
    </row>
    <row r="2104" spans="1:25" x14ac:dyDescent="0.2">
      <c r="A2104">
        <v>3306</v>
      </c>
      <c r="B2104" t="s">
        <v>4727</v>
      </c>
      <c r="C2104" t="s">
        <v>18</v>
      </c>
      <c r="D2104" t="s">
        <v>4732</v>
      </c>
      <c r="E2104" t="s">
        <v>686</v>
      </c>
      <c r="F2104" t="s">
        <v>174</v>
      </c>
      <c r="G2104" t="s">
        <v>24</v>
      </c>
      <c r="H2104" t="b">
        <v>0</v>
      </c>
      <c r="K2104" t="b">
        <v>0</v>
      </c>
      <c r="L2104" t="b">
        <v>0</v>
      </c>
      <c r="M2104" t="s">
        <v>4733</v>
      </c>
    </row>
    <row r="2105" spans="1:25" x14ac:dyDescent="0.2">
      <c r="A2105">
        <v>3307</v>
      </c>
      <c r="B2105" t="s">
        <v>4727</v>
      </c>
      <c r="C2105" t="s">
        <v>18</v>
      </c>
      <c r="D2105" t="s">
        <v>4734</v>
      </c>
      <c r="E2105" t="s">
        <v>4735</v>
      </c>
      <c r="F2105" t="s">
        <v>78</v>
      </c>
      <c r="G2105" t="s">
        <v>134</v>
      </c>
      <c r="H2105" t="b">
        <v>0</v>
      </c>
      <c r="K2105" t="b">
        <v>0</v>
      </c>
      <c r="L2105" t="b">
        <v>0</v>
      </c>
      <c r="M2105" t="s">
        <v>4736</v>
      </c>
    </row>
    <row r="2106" spans="1:25" x14ac:dyDescent="0.2">
      <c r="A2106">
        <v>3308</v>
      </c>
      <c r="B2106" t="s">
        <v>4727</v>
      </c>
      <c r="C2106" t="s">
        <v>18</v>
      </c>
      <c r="D2106" t="s">
        <v>177</v>
      </c>
      <c r="E2106" t="s">
        <v>178</v>
      </c>
      <c r="F2106" t="s">
        <v>174</v>
      </c>
      <c r="G2106" t="s">
        <v>17</v>
      </c>
      <c r="H2106" t="b">
        <v>0</v>
      </c>
      <c r="K2106" t="b">
        <v>0</v>
      </c>
      <c r="L2106" t="b">
        <v>0</v>
      </c>
      <c r="M2106" t="s">
        <v>4737</v>
      </c>
      <c r="N2106" t="s">
        <v>745</v>
      </c>
    </row>
    <row r="2107" spans="1:25" x14ac:dyDescent="0.2">
      <c r="A2107">
        <v>3309</v>
      </c>
      <c r="B2107" t="s">
        <v>4727</v>
      </c>
      <c r="C2107" t="s">
        <v>18</v>
      </c>
      <c r="D2107" t="s">
        <v>4738</v>
      </c>
      <c r="E2107" t="s">
        <v>1338</v>
      </c>
      <c r="F2107" t="s">
        <v>45</v>
      </c>
      <c r="G2107" t="s">
        <v>24</v>
      </c>
      <c r="H2107" t="b">
        <v>0</v>
      </c>
      <c r="K2107" t="b">
        <v>0</v>
      </c>
      <c r="L2107" t="b">
        <v>0</v>
      </c>
    </row>
    <row r="2109" spans="1:25" x14ac:dyDescent="0.2">
      <c r="A2109" s="2">
        <v>3325</v>
      </c>
      <c r="B2109" s="2" t="s">
        <v>4739</v>
      </c>
      <c r="C2109" s="2" t="s">
        <v>13</v>
      </c>
      <c r="D2109" s="2" t="s">
        <v>4740</v>
      </c>
      <c r="E2109" s="2" t="s">
        <v>4741</v>
      </c>
      <c r="F2109" s="2" t="s">
        <v>45</v>
      </c>
      <c r="G2109" s="2" t="s">
        <v>638</v>
      </c>
      <c r="H2109" s="2"/>
      <c r="I2109" s="2"/>
      <c r="J2109" s="2"/>
      <c r="K2109" s="2"/>
      <c r="L2109" s="2"/>
      <c r="M2109" s="2"/>
      <c r="N2109" s="2"/>
      <c r="O2109" s="2"/>
      <c r="P2109" s="2"/>
      <c r="Q2109" s="2"/>
      <c r="R2109" s="2"/>
      <c r="S2109" s="2"/>
      <c r="T2109" s="2"/>
      <c r="U2109" s="2"/>
      <c r="V2109" s="2"/>
      <c r="W2109" s="2"/>
      <c r="X2109" s="2"/>
      <c r="Y2109" s="2"/>
    </row>
    <row r="2110" spans="1:25" x14ac:dyDescent="0.2">
      <c r="A2110">
        <v>3326</v>
      </c>
      <c r="B2110" t="s">
        <v>4739</v>
      </c>
      <c r="C2110" t="s">
        <v>18</v>
      </c>
      <c r="D2110" t="s">
        <v>4740</v>
      </c>
      <c r="E2110" t="s">
        <v>407</v>
      </c>
      <c r="F2110" t="s">
        <v>45</v>
      </c>
      <c r="G2110" t="s">
        <v>638</v>
      </c>
      <c r="H2110" t="b">
        <v>1</v>
      </c>
      <c r="K2110" t="b">
        <v>1</v>
      </c>
      <c r="L2110" t="b">
        <v>1</v>
      </c>
      <c r="M2110" t="s">
        <v>4742</v>
      </c>
      <c r="N2110" t="s">
        <v>4743</v>
      </c>
    </row>
    <row r="2111" spans="1:25" x14ac:dyDescent="0.2">
      <c r="A2111">
        <v>3327</v>
      </c>
      <c r="B2111" t="s">
        <v>4739</v>
      </c>
      <c r="C2111" t="s">
        <v>18</v>
      </c>
      <c r="D2111" t="s">
        <v>4744</v>
      </c>
      <c r="E2111" t="s">
        <v>4745</v>
      </c>
      <c r="F2111" t="s">
        <v>205</v>
      </c>
      <c r="G2111" t="s">
        <v>638</v>
      </c>
      <c r="H2111" t="b">
        <v>1</v>
      </c>
      <c r="K2111" t="b">
        <v>0</v>
      </c>
      <c r="L2111" t="b">
        <v>1</v>
      </c>
      <c r="M2111" t="s">
        <v>4746</v>
      </c>
      <c r="N2111" t="s">
        <v>4747</v>
      </c>
    </row>
    <row r="2112" spans="1:25" x14ac:dyDescent="0.2">
      <c r="A2112">
        <v>3328</v>
      </c>
      <c r="B2112" t="s">
        <v>4739</v>
      </c>
      <c r="C2112" t="s">
        <v>18</v>
      </c>
      <c r="D2112" t="s">
        <v>4748</v>
      </c>
      <c r="E2112" t="s">
        <v>4749</v>
      </c>
      <c r="F2112" t="s">
        <v>23</v>
      </c>
      <c r="G2112" t="s">
        <v>638</v>
      </c>
      <c r="H2112" t="b">
        <v>0</v>
      </c>
      <c r="K2112" t="b">
        <v>0</v>
      </c>
      <c r="L2112" t="b">
        <v>0</v>
      </c>
    </row>
    <row r="2113" spans="1:25" x14ac:dyDescent="0.2">
      <c r="A2113">
        <v>3329</v>
      </c>
      <c r="B2113" t="s">
        <v>4739</v>
      </c>
      <c r="C2113" t="s">
        <v>18</v>
      </c>
      <c r="D2113" t="s">
        <v>4750</v>
      </c>
      <c r="E2113" t="s">
        <v>4751</v>
      </c>
      <c r="F2113" t="s">
        <v>168</v>
      </c>
      <c r="G2113" t="s">
        <v>24</v>
      </c>
      <c r="H2113" t="b">
        <v>0</v>
      </c>
      <c r="K2113" t="b">
        <v>0</v>
      </c>
      <c r="L2113" t="b">
        <v>0</v>
      </c>
    </row>
    <row r="2114" spans="1:25" x14ac:dyDescent="0.2">
      <c r="A2114">
        <v>3330</v>
      </c>
      <c r="B2114" t="s">
        <v>4739</v>
      </c>
      <c r="C2114" t="s">
        <v>18</v>
      </c>
      <c r="D2114" t="s">
        <v>4752</v>
      </c>
      <c r="E2114" t="s">
        <v>4753</v>
      </c>
      <c r="F2114" t="s">
        <v>78</v>
      </c>
      <c r="G2114" t="s">
        <v>917</v>
      </c>
      <c r="H2114" t="b">
        <v>0</v>
      </c>
      <c r="K2114" t="b">
        <v>0</v>
      </c>
      <c r="L2114" t="b">
        <v>0</v>
      </c>
      <c r="M2114" t="s">
        <v>4754</v>
      </c>
    </row>
    <row r="2116" spans="1:25" x14ac:dyDescent="0.2">
      <c r="A2116" s="2">
        <v>3332</v>
      </c>
      <c r="B2116" s="2" t="s">
        <v>4755</v>
      </c>
      <c r="C2116" s="2" t="s">
        <v>13</v>
      </c>
      <c r="D2116" s="2" t="s">
        <v>4756</v>
      </c>
      <c r="E2116" s="2" t="s">
        <v>4757</v>
      </c>
      <c r="F2116" s="2" t="s">
        <v>785</v>
      </c>
      <c r="G2116" s="2" t="s">
        <v>252</v>
      </c>
      <c r="H2116" s="2"/>
      <c r="I2116" s="2"/>
      <c r="J2116" s="2"/>
      <c r="K2116" s="2"/>
      <c r="L2116" s="2"/>
      <c r="M2116" s="2"/>
      <c r="N2116" s="2"/>
      <c r="O2116" s="2"/>
      <c r="P2116" s="2"/>
      <c r="Q2116" s="2"/>
      <c r="R2116" s="2"/>
      <c r="S2116" s="2"/>
      <c r="T2116" s="2"/>
      <c r="U2116" s="2"/>
      <c r="V2116" s="2"/>
      <c r="W2116" s="2"/>
      <c r="X2116" s="2"/>
      <c r="Y2116" s="2"/>
    </row>
    <row r="2117" spans="1:25" x14ac:dyDescent="0.2">
      <c r="A2117">
        <v>3333</v>
      </c>
      <c r="B2117" t="s">
        <v>4755</v>
      </c>
      <c r="C2117" t="s">
        <v>18</v>
      </c>
      <c r="D2117" t="s">
        <v>4756</v>
      </c>
      <c r="E2117" t="s">
        <v>4758</v>
      </c>
      <c r="F2117" t="s">
        <v>785</v>
      </c>
      <c r="G2117" t="s">
        <v>252</v>
      </c>
      <c r="H2117" t="b">
        <v>1</v>
      </c>
      <c r="K2117" t="b">
        <v>1</v>
      </c>
      <c r="L2117" t="b">
        <v>1</v>
      </c>
      <c r="M2117" t="s">
        <v>4759</v>
      </c>
    </row>
    <row r="2118" spans="1:25" x14ac:dyDescent="0.2">
      <c r="A2118">
        <v>3334</v>
      </c>
      <c r="B2118" t="s">
        <v>4755</v>
      </c>
      <c r="C2118" t="s">
        <v>18</v>
      </c>
      <c r="D2118" t="s">
        <v>4760</v>
      </c>
      <c r="E2118" t="s">
        <v>4761</v>
      </c>
      <c r="F2118" t="s">
        <v>785</v>
      </c>
      <c r="G2118" t="s">
        <v>252</v>
      </c>
      <c r="H2118" t="b">
        <v>1</v>
      </c>
      <c r="K2118" t="b">
        <v>1</v>
      </c>
      <c r="L2118" t="b">
        <v>1</v>
      </c>
      <c r="M2118" t="s">
        <v>4762</v>
      </c>
    </row>
    <row r="2119" spans="1:25" x14ac:dyDescent="0.2">
      <c r="A2119">
        <v>3335</v>
      </c>
      <c r="B2119" t="s">
        <v>4755</v>
      </c>
      <c r="C2119" t="s">
        <v>18</v>
      </c>
      <c r="D2119" t="s">
        <v>4763</v>
      </c>
      <c r="E2119" t="s">
        <v>379</v>
      </c>
      <c r="F2119" t="s">
        <v>785</v>
      </c>
      <c r="G2119" t="s">
        <v>252</v>
      </c>
      <c r="H2119" t="b">
        <v>0</v>
      </c>
      <c r="K2119" t="b">
        <v>0</v>
      </c>
      <c r="L2119" t="b">
        <v>0</v>
      </c>
      <c r="M2119" t="s">
        <v>4764</v>
      </c>
    </row>
    <row r="2120" spans="1:25" x14ac:dyDescent="0.2">
      <c r="A2120">
        <v>3336</v>
      </c>
      <c r="B2120" t="s">
        <v>4755</v>
      </c>
      <c r="C2120" t="s">
        <v>18</v>
      </c>
      <c r="D2120" t="s">
        <v>4765</v>
      </c>
      <c r="E2120" t="s">
        <v>4766</v>
      </c>
      <c r="F2120" t="s">
        <v>4767</v>
      </c>
      <c r="G2120" t="s">
        <v>265</v>
      </c>
      <c r="H2120" t="b">
        <v>0</v>
      </c>
      <c r="K2120" t="b">
        <v>0</v>
      </c>
      <c r="L2120" t="b">
        <v>0</v>
      </c>
      <c r="M2120" t="s">
        <v>4768</v>
      </c>
      <c r="N2120" t="s">
        <v>4769</v>
      </c>
    </row>
    <row r="2121" spans="1:25" x14ac:dyDescent="0.2">
      <c r="A2121">
        <v>3337</v>
      </c>
      <c r="B2121" t="s">
        <v>4755</v>
      </c>
      <c r="C2121" t="s">
        <v>18</v>
      </c>
      <c r="D2121" t="s">
        <v>4770</v>
      </c>
      <c r="E2121" t="s">
        <v>4771</v>
      </c>
      <c r="F2121" t="s">
        <v>785</v>
      </c>
      <c r="G2121" t="s">
        <v>252</v>
      </c>
      <c r="H2121" t="b">
        <v>0</v>
      </c>
      <c r="K2121" t="b">
        <v>0</v>
      </c>
      <c r="L2121" t="b">
        <v>0</v>
      </c>
    </row>
    <row r="2123" spans="1:25" x14ac:dyDescent="0.2">
      <c r="A2123" s="2">
        <v>3346</v>
      </c>
      <c r="B2123" s="2" t="s">
        <v>4772</v>
      </c>
      <c r="C2123" s="2" t="s">
        <v>13</v>
      </c>
      <c r="D2123" s="2" t="s">
        <v>4773</v>
      </c>
      <c r="E2123" s="2" t="s">
        <v>4774</v>
      </c>
      <c r="F2123" s="2" t="s">
        <v>510</v>
      </c>
      <c r="G2123" s="2" t="s">
        <v>17</v>
      </c>
      <c r="H2123" s="2"/>
      <c r="I2123" s="2"/>
      <c r="J2123" s="2"/>
      <c r="K2123" s="2"/>
      <c r="L2123" s="2"/>
      <c r="M2123" s="2"/>
      <c r="N2123" s="2"/>
      <c r="O2123" s="2"/>
      <c r="P2123" s="2"/>
      <c r="Q2123" s="2"/>
      <c r="R2123" s="2"/>
      <c r="S2123" s="2"/>
      <c r="T2123" s="2"/>
      <c r="U2123" s="2"/>
      <c r="V2123" s="2"/>
      <c r="W2123" s="2"/>
      <c r="X2123" s="2"/>
      <c r="Y2123" s="2"/>
    </row>
    <row r="2124" spans="1:25" x14ac:dyDescent="0.2">
      <c r="A2124">
        <v>3347</v>
      </c>
      <c r="B2124" t="s">
        <v>4772</v>
      </c>
      <c r="C2124" t="s">
        <v>18</v>
      </c>
      <c r="D2124" t="s">
        <v>4773</v>
      </c>
      <c r="E2124" t="s">
        <v>4774</v>
      </c>
      <c r="F2124" t="s">
        <v>510</v>
      </c>
      <c r="G2124" t="s">
        <v>17</v>
      </c>
      <c r="H2124" t="b">
        <v>1</v>
      </c>
      <c r="K2124" t="b">
        <v>1</v>
      </c>
      <c r="L2124" t="b">
        <v>1</v>
      </c>
      <c r="M2124" t="s">
        <v>4775</v>
      </c>
      <c r="N2124" t="s">
        <v>4776</v>
      </c>
    </row>
    <row r="2125" spans="1:25" x14ac:dyDescent="0.2">
      <c r="A2125">
        <v>3348</v>
      </c>
      <c r="B2125" t="s">
        <v>4772</v>
      </c>
      <c r="C2125" t="s">
        <v>18</v>
      </c>
      <c r="D2125" t="s">
        <v>4777</v>
      </c>
      <c r="E2125" t="s">
        <v>4778</v>
      </c>
      <c r="F2125" t="s">
        <v>510</v>
      </c>
      <c r="G2125" t="s">
        <v>17</v>
      </c>
      <c r="H2125" t="b">
        <v>0</v>
      </c>
      <c r="K2125" t="b">
        <v>0</v>
      </c>
      <c r="L2125" t="b">
        <v>0</v>
      </c>
    </row>
    <row r="2126" spans="1:25" x14ac:dyDescent="0.2">
      <c r="A2126">
        <v>3349</v>
      </c>
      <c r="B2126" t="s">
        <v>4772</v>
      </c>
      <c r="C2126" t="s">
        <v>18</v>
      </c>
      <c r="D2126" t="s">
        <v>4779</v>
      </c>
      <c r="E2126" t="s">
        <v>4780</v>
      </c>
      <c r="F2126" t="s">
        <v>510</v>
      </c>
      <c r="G2126" t="s">
        <v>17</v>
      </c>
      <c r="H2126" t="b">
        <v>0</v>
      </c>
      <c r="K2126" t="b">
        <v>0</v>
      </c>
      <c r="L2126" t="b">
        <v>0</v>
      </c>
    </row>
    <row r="2127" spans="1:25" x14ac:dyDescent="0.2">
      <c r="A2127">
        <v>3350</v>
      </c>
      <c r="B2127" t="s">
        <v>4772</v>
      </c>
      <c r="C2127" t="s">
        <v>18</v>
      </c>
      <c r="D2127" t="s">
        <v>4781</v>
      </c>
      <c r="E2127" t="s">
        <v>4782</v>
      </c>
      <c r="F2127" t="s">
        <v>510</v>
      </c>
      <c r="G2127" t="s">
        <v>17</v>
      </c>
      <c r="H2127" t="b">
        <v>0</v>
      </c>
      <c r="K2127" t="b">
        <v>0</v>
      </c>
      <c r="L2127" t="b">
        <v>0</v>
      </c>
    </row>
    <row r="2128" spans="1:25" x14ac:dyDescent="0.2">
      <c r="A2128">
        <v>3351</v>
      </c>
      <c r="B2128" t="s">
        <v>4772</v>
      </c>
      <c r="C2128" t="s">
        <v>18</v>
      </c>
      <c r="D2128" t="s">
        <v>4783</v>
      </c>
      <c r="E2128" t="s">
        <v>4784</v>
      </c>
      <c r="F2128" t="s">
        <v>510</v>
      </c>
      <c r="G2128" t="s">
        <v>17</v>
      </c>
      <c r="H2128" t="b">
        <v>0</v>
      </c>
      <c r="K2128" t="b">
        <v>0</v>
      </c>
      <c r="L2128" t="b">
        <v>0</v>
      </c>
      <c r="M2128" t="s">
        <v>4785</v>
      </c>
    </row>
    <row r="2130" spans="1:25" x14ac:dyDescent="0.2">
      <c r="A2130" s="2">
        <v>3367</v>
      </c>
      <c r="B2130" s="2" t="s">
        <v>4786</v>
      </c>
      <c r="C2130" s="2" t="s">
        <v>13</v>
      </c>
      <c r="D2130" s="2" t="s">
        <v>4787</v>
      </c>
      <c r="E2130" s="2" t="s">
        <v>4788</v>
      </c>
      <c r="F2130" s="2" t="s">
        <v>369</v>
      </c>
      <c r="G2130" s="2" t="s">
        <v>62</v>
      </c>
      <c r="H2130" s="2"/>
      <c r="I2130" s="2"/>
      <c r="J2130" s="2"/>
      <c r="K2130" s="2"/>
      <c r="L2130" s="2"/>
      <c r="M2130" s="2"/>
      <c r="N2130" s="2"/>
      <c r="O2130" s="2"/>
      <c r="P2130" s="2"/>
      <c r="Q2130" s="2"/>
      <c r="R2130" s="2"/>
      <c r="S2130" s="2"/>
      <c r="T2130" s="2"/>
      <c r="U2130" s="2"/>
      <c r="V2130" s="2"/>
      <c r="W2130" s="2"/>
      <c r="X2130" s="2"/>
      <c r="Y2130" s="2"/>
    </row>
    <row r="2131" spans="1:25" x14ac:dyDescent="0.2">
      <c r="A2131">
        <v>3368</v>
      </c>
      <c r="B2131" t="s">
        <v>4786</v>
      </c>
      <c r="C2131" t="s">
        <v>18</v>
      </c>
      <c r="D2131" t="s">
        <v>4787</v>
      </c>
      <c r="E2131" t="s">
        <v>3656</v>
      </c>
      <c r="F2131" t="s">
        <v>369</v>
      </c>
      <c r="G2131" t="s">
        <v>62</v>
      </c>
      <c r="H2131" t="b">
        <v>1</v>
      </c>
      <c r="K2131" t="b">
        <v>1</v>
      </c>
      <c r="L2131" t="b">
        <v>1</v>
      </c>
      <c r="M2131" t="s">
        <v>4789</v>
      </c>
      <c r="N2131" t="s">
        <v>4790</v>
      </c>
    </row>
    <row r="2132" spans="1:25" x14ac:dyDescent="0.2">
      <c r="A2132">
        <v>3369</v>
      </c>
      <c r="B2132" t="s">
        <v>4786</v>
      </c>
      <c r="C2132" t="s">
        <v>18</v>
      </c>
      <c r="D2132" t="s">
        <v>4791</v>
      </c>
      <c r="E2132" t="s">
        <v>2450</v>
      </c>
      <c r="F2132" t="s">
        <v>369</v>
      </c>
      <c r="G2132" t="s">
        <v>62</v>
      </c>
      <c r="H2132" t="b">
        <v>1</v>
      </c>
      <c r="K2132" t="b">
        <v>1</v>
      </c>
      <c r="L2132" t="b">
        <v>1</v>
      </c>
      <c r="M2132" t="s">
        <v>4792</v>
      </c>
    </row>
    <row r="2133" spans="1:25" x14ac:dyDescent="0.2">
      <c r="A2133">
        <v>3370</v>
      </c>
      <c r="B2133" t="s">
        <v>4786</v>
      </c>
      <c r="C2133" t="s">
        <v>18</v>
      </c>
      <c r="D2133" t="s">
        <v>4793</v>
      </c>
      <c r="E2133" t="s">
        <v>4794</v>
      </c>
      <c r="F2133" t="s">
        <v>680</v>
      </c>
      <c r="G2133" t="s">
        <v>62</v>
      </c>
      <c r="H2133" t="b">
        <v>0</v>
      </c>
      <c r="K2133" t="b">
        <v>0</v>
      </c>
      <c r="L2133" t="b">
        <v>0</v>
      </c>
    </row>
    <row r="2134" spans="1:25" x14ac:dyDescent="0.2">
      <c r="A2134">
        <v>3371</v>
      </c>
      <c r="B2134" t="s">
        <v>4786</v>
      </c>
      <c r="C2134" t="s">
        <v>18</v>
      </c>
      <c r="D2134" t="s">
        <v>2604</v>
      </c>
      <c r="E2134" t="s">
        <v>2605</v>
      </c>
      <c r="F2134" t="s">
        <v>78</v>
      </c>
      <c r="G2134" t="s">
        <v>88</v>
      </c>
      <c r="H2134" t="b">
        <v>0</v>
      </c>
      <c r="K2134" t="b">
        <v>0</v>
      </c>
      <c r="L2134" t="b">
        <v>0</v>
      </c>
      <c r="M2134" t="s">
        <v>2606</v>
      </c>
    </row>
    <row r="2135" spans="1:25" x14ac:dyDescent="0.2">
      <c r="A2135">
        <v>3372</v>
      </c>
      <c r="B2135" t="s">
        <v>4786</v>
      </c>
      <c r="C2135" t="s">
        <v>18</v>
      </c>
      <c r="D2135" t="s">
        <v>4795</v>
      </c>
      <c r="E2135" t="s">
        <v>4796</v>
      </c>
      <c r="F2135" t="s">
        <v>785</v>
      </c>
      <c r="G2135" t="s">
        <v>62</v>
      </c>
      <c r="H2135" t="b">
        <v>0</v>
      </c>
      <c r="K2135" t="b">
        <v>0</v>
      </c>
      <c r="L2135" t="b">
        <v>0</v>
      </c>
      <c r="M2135" t="s">
        <v>4797</v>
      </c>
    </row>
    <row r="2137" spans="1:25" x14ac:dyDescent="0.2">
      <c r="A2137" s="2">
        <v>3381</v>
      </c>
      <c r="B2137" s="2" t="s">
        <v>4798</v>
      </c>
      <c r="C2137" s="2" t="s">
        <v>13</v>
      </c>
      <c r="D2137" s="2" t="s">
        <v>4799</v>
      </c>
      <c r="E2137" s="2" t="s">
        <v>4800</v>
      </c>
      <c r="F2137" s="2" t="s">
        <v>420</v>
      </c>
      <c r="G2137" s="2" t="s">
        <v>62</v>
      </c>
      <c r="H2137" s="2"/>
      <c r="I2137" s="2"/>
      <c r="J2137" s="2"/>
      <c r="K2137" s="2"/>
      <c r="L2137" s="2"/>
      <c r="M2137" s="2"/>
      <c r="N2137" s="2"/>
      <c r="O2137" s="2"/>
      <c r="P2137" s="2"/>
      <c r="Q2137" s="2"/>
      <c r="R2137" s="2"/>
      <c r="S2137" s="2"/>
      <c r="T2137" s="2"/>
      <c r="U2137" s="2"/>
      <c r="V2137" s="2"/>
      <c r="W2137" s="2"/>
      <c r="X2137" s="2"/>
      <c r="Y2137" s="2"/>
    </row>
    <row r="2138" spans="1:25" x14ac:dyDescent="0.2">
      <c r="A2138">
        <v>3382</v>
      </c>
      <c r="B2138" t="s">
        <v>4798</v>
      </c>
      <c r="C2138" t="s">
        <v>18</v>
      </c>
      <c r="D2138" t="s">
        <v>4799</v>
      </c>
      <c r="E2138" t="s">
        <v>4800</v>
      </c>
      <c r="F2138" t="s">
        <v>420</v>
      </c>
      <c r="G2138" t="s">
        <v>62</v>
      </c>
      <c r="H2138" t="b">
        <v>1</v>
      </c>
      <c r="K2138" t="b">
        <v>1</v>
      </c>
      <c r="L2138" t="b">
        <v>1</v>
      </c>
      <c r="M2138" t="s">
        <v>4801</v>
      </c>
      <c r="N2138" t="s">
        <v>4802</v>
      </c>
    </row>
    <row r="2139" spans="1:25" x14ac:dyDescent="0.2">
      <c r="A2139">
        <v>3383</v>
      </c>
      <c r="B2139" t="s">
        <v>4798</v>
      </c>
      <c r="C2139" t="s">
        <v>18</v>
      </c>
      <c r="D2139" t="s">
        <v>4803</v>
      </c>
      <c r="E2139" t="s">
        <v>4804</v>
      </c>
      <c r="F2139" t="s">
        <v>420</v>
      </c>
      <c r="G2139" t="s">
        <v>62</v>
      </c>
      <c r="H2139" t="b">
        <v>1</v>
      </c>
      <c r="K2139" t="b">
        <v>1</v>
      </c>
      <c r="L2139" t="b">
        <v>1</v>
      </c>
    </row>
    <row r="2140" spans="1:25" x14ac:dyDescent="0.2">
      <c r="A2140">
        <v>3384</v>
      </c>
      <c r="B2140" t="s">
        <v>4798</v>
      </c>
      <c r="C2140" t="s">
        <v>18</v>
      </c>
      <c r="D2140" t="s">
        <v>4805</v>
      </c>
      <c r="E2140" t="s">
        <v>4806</v>
      </c>
      <c r="F2140" t="s">
        <v>420</v>
      </c>
      <c r="G2140" t="s">
        <v>62</v>
      </c>
      <c r="H2140" t="b">
        <v>0</v>
      </c>
      <c r="K2140" t="b">
        <v>0</v>
      </c>
      <c r="L2140" t="b">
        <v>0</v>
      </c>
    </row>
    <row r="2141" spans="1:25" x14ac:dyDescent="0.2">
      <c r="A2141">
        <v>3385</v>
      </c>
      <c r="B2141" t="s">
        <v>4798</v>
      </c>
      <c r="C2141" t="s">
        <v>18</v>
      </c>
      <c r="D2141" t="s">
        <v>4807</v>
      </c>
      <c r="E2141" t="s">
        <v>3035</v>
      </c>
      <c r="F2141" t="s">
        <v>420</v>
      </c>
      <c r="G2141" t="s">
        <v>252</v>
      </c>
      <c r="H2141" t="b">
        <v>0</v>
      </c>
      <c r="K2141" t="b">
        <v>0</v>
      </c>
      <c r="L2141" t="b">
        <v>0</v>
      </c>
      <c r="M2141" t="s">
        <v>4808</v>
      </c>
    </row>
    <row r="2142" spans="1:25" x14ac:dyDescent="0.2">
      <c r="A2142">
        <v>3386</v>
      </c>
      <c r="B2142" t="s">
        <v>4798</v>
      </c>
      <c r="C2142" t="s">
        <v>18</v>
      </c>
      <c r="D2142" t="s">
        <v>4809</v>
      </c>
      <c r="E2142" t="s">
        <v>4810</v>
      </c>
      <c r="F2142" t="s">
        <v>420</v>
      </c>
      <c r="G2142" t="s">
        <v>88</v>
      </c>
      <c r="H2142" t="b">
        <v>0</v>
      </c>
      <c r="K2142" t="b">
        <v>0</v>
      </c>
      <c r="L2142" t="b">
        <v>0</v>
      </c>
      <c r="M2142" t="s">
        <v>4811</v>
      </c>
    </row>
    <row r="2144" spans="1:25" x14ac:dyDescent="0.2">
      <c r="A2144" s="2">
        <v>3395</v>
      </c>
      <c r="B2144" s="2" t="s">
        <v>4812</v>
      </c>
      <c r="C2144" s="2" t="s">
        <v>13</v>
      </c>
      <c r="D2144" s="2" t="s">
        <v>4813</v>
      </c>
      <c r="E2144" s="2" t="s">
        <v>4814</v>
      </c>
      <c r="F2144" s="2" t="s">
        <v>23</v>
      </c>
      <c r="G2144" s="2" t="s">
        <v>62</v>
      </c>
      <c r="H2144" s="2"/>
      <c r="I2144" s="2"/>
      <c r="J2144" s="2"/>
      <c r="K2144" s="2"/>
      <c r="L2144" s="2"/>
      <c r="M2144" s="2"/>
      <c r="N2144" s="2"/>
      <c r="O2144" s="2"/>
      <c r="P2144" s="2"/>
      <c r="Q2144" s="2"/>
      <c r="R2144" s="2"/>
      <c r="S2144" s="2"/>
      <c r="T2144" s="2"/>
      <c r="U2144" s="2"/>
      <c r="V2144" s="2"/>
      <c r="W2144" s="2"/>
      <c r="X2144" s="2"/>
      <c r="Y2144" s="2"/>
    </row>
    <row r="2145" spans="1:25" x14ac:dyDescent="0.2">
      <c r="A2145">
        <v>3396</v>
      </c>
      <c r="B2145" t="s">
        <v>4812</v>
      </c>
      <c r="C2145" t="s">
        <v>18</v>
      </c>
      <c r="D2145" t="s">
        <v>4813</v>
      </c>
      <c r="E2145" t="s">
        <v>4814</v>
      </c>
      <c r="F2145" t="s">
        <v>4815</v>
      </c>
      <c r="G2145" t="s">
        <v>62</v>
      </c>
      <c r="H2145" t="b">
        <v>1</v>
      </c>
      <c r="I2145" t="b">
        <v>1</v>
      </c>
      <c r="L2145" t="b">
        <v>1</v>
      </c>
      <c r="M2145" t="s">
        <v>4816</v>
      </c>
      <c r="N2145" t="s">
        <v>4817</v>
      </c>
    </row>
    <row r="2146" spans="1:25" x14ac:dyDescent="0.2">
      <c r="A2146">
        <v>3397</v>
      </c>
      <c r="B2146" t="s">
        <v>4812</v>
      </c>
      <c r="C2146" t="s">
        <v>18</v>
      </c>
      <c r="D2146" t="s">
        <v>4818</v>
      </c>
      <c r="E2146" t="s">
        <v>4819</v>
      </c>
      <c r="F2146" t="s">
        <v>785</v>
      </c>
      <c r="G2146" t="s">
        <v>62</v>
      </c>
      <c r="H2146" t="b">
        <v>0</v>
      </c>
      <c r="I2146" t="b">
        <v>0</v>
      </c>
      <c r="L2146" t="b">
        <v>0</v>
      </c>
      <c r="M2146" t="s">
        <v>4820</v>
      </c>
    </row>
    <row r="2147" spans="1:25" x14ac:dyDescent="0.2">
      <c r="A2147">
        <v>3398</v>
      </c>
      <c r="B2147" t="s">
        <v>4812</v>
      </c>
      <c r="C2147" t="s">
        <v>18</v>
      </c>
      <c r="D2147" t="s">
        <v>4821</v>
      </c>
      <c r="E2147" t="s">
        <v>4822</v>
      </c>
      <c r="F2147" t="s">
        <v>248</v>
      </c>
      <c r="G2147" t="s">
        <v>62</v>
      </c>
      <c r="H2147" t="b">
        <v>0</v>
      </c>
      <c r="I2147" t="b">
        <v>0</v>
      </c>
      <c r="L2147" t="b">
        <v>0</v>
      </c>
    </row>
    <row r="2148" spans="1:25" x14ac:dyDescent="0.2">
      <c r="A2148">
        <v>3399</v>
      </c>
      <c r="B2148" t="s">
        <v>4812</v>
      </c>
      <c r="C2148" t="s">
        <v>18</v>
      </c>
      <c r="D2148" t="s">
        <v>4823</v>
      </c>
      <c r="E2148" t="s">
        <v>4824</v>
      </c>
      <c r="F2148" t="s">
        <v>122</v>
      </c>
      <c r="G2148" t="s">
        <v>1290</v>
      </c>
      <c r="H2148" t="b">
        <v>0</v>
      </c>
      <c r="I2148" t="b">
        <v>0</v>
      </c>
      <c r="L2148" t="b">
        <v>0</v>
      </c>
    </row>
    <row r="2149" spans="1:25" x14ac:dyDescent="0.2">
      <c r="A2149">
        <v>3400</v>
      </c>
      <c r="B2149" t="s">
        <v>4812</v>
      </c>
      <c r="C2149" t="s">
        <v>18</v>
      </c>
      <c r="D2149" t="s">
        <v>4825</v>
      </c>
      <c r="E2149" t="s">
        <v>4826</v>
      </c>
      <c r="F2149" t="s">
        <v>174</v>
      </c>
      <c r="G2149" t="s">
        <v>62</v>
      </c>
      <c r="H2149" t="b">
        <v>0</v>
      </c>
      <c r="I2149" t="b">
        <v>0</v>
      </c>
      <c r="L2149" t="b">
        <v>0</v>
      </c>
    </row>
    <row r="2151" spans="1:25" x14ac:dyDescent="0.2">
      <c r="A2151" s="2">
        <v>3409</v>
      </c>
      <c r="B2151" s="2" t="s">
        <v>4827</v>
      </c>
      <c r="C2151" s="2" t="s">
        <v>13</v>
      </c>
      <c r="D2151" s="2" t="s">
        <v>4828</v>
      </c>
      <c r="E2151" s="2" t="s">
        <v>4829</v>
      </c>
      <c r="F2151" s="2" t="s">
        <v>574</v>
      </c>
      <c r="G2151" s="2" t="s">
        <v>62</v>
      </c>
      <c r="H2151" s="2"/>
      <c r="I2151" s="2"/>
      <c r="J2151" s="2"/>
      <c r="K2151" s="2"/>
      <c r="L2151" s="2"/>
      <c r="M2151" s="2"/>
      <c r="N2151" s="2"/>
      <c r="O2151" s="2"/>
      <c r="P2151" s="2"/>
      <c r="Q2151" s="2"/>
      <c r="R2151" s="2"/>
      <c r="S2151" s="2"/>
      <c r="T2151" s="2"/>
      <c r="U2151" s="2"/>
      <c r="V2151" s="2"/>
      <c r="W2151" s="2"/>
      <c r="X2151" s="2"/>
      <c r="Y2151" s="2"/>
    </row>
    <row r="2152" spans="1:25" x14ac:dyDescent="0.2">
      <c r="A2152">
        <v>3410</v>
      </c>
      <c r="B2152" t="s">
        <v>4827</v>
      </c>
      <c r="C2152" t="s">
        <v>18</v>
      </c>
      <c r="D2152" t="s">
        <v>4828</v>
      </c>
      <c r="E2152" t="s">
        <v>4829</v>
      </c>
      <c r="F2152" t="s">
        <v>574</v>
      </c>
      <c r="G2152" t="s">
        <v>62</v>
      </c>
      <c r="H2152" t="b">
        <v>1</v>
      </c>
      <c r="K2152" t="b">
        <v>1</v>
      </c>
      <c r="L2152" t="b">
        <v>1</v>
      </c>
      <c r="M2152" t="s">
        <v>4830</v>
      </c>
      <c r="N2152" t="s">
        <v>4831</v>
      </c>
    </row>
    <row r="2153" spans="1:25" x14ac:dyDescent="0.2">
      <c r="A2153">
        <v>3411</v>
      </c>
      <c r="B2153" t="s">
        <v>4827</v>
      </c>
      <c r="C2153" t="s">
        <v>18</v>
      </c>
      <c r="D2153" t="s">
        <v>4832</v>
      </c>
      <c r="E2153" t="s">
        <v>3531</v>
      </c>
      <c r="F2153" t="s">
        <v>574</v>
      </c>
      <c r="G2153" t="s">
        <v>62</v>
      </c>
      <c r="H2153" t="b">
        <v>0</v>
      </c>
      <c r="K2153" t="b">
        <v>0</v>
      </c>
      <c r="L2153" t="b">
        <v>0</v>
      </c>
      <c r="M2153" t="s">
        <v>4833</v>
      </c>
    </row>
    <row r="2154" spans="1:25" x14ac:dyDescent="0.2">
      <c r="A2154">
        <v>3412</v>
      </c>
      <c r="B2154" t="s">
        <v>4827</v>
      </c>
      <c r="C2154" t="s">
        <v>18</v>
      </c>
      <c r="D2154" t="s">
        <v>4834</v>
      </c>
      <c r="E2154" t="s">
        <v>4835</v>
      </c>
      <c r="F2154" t="s">
        <v>4836</v>
      </c>
      <c r="G2154" t="s">
        <v>62</v>
      </c>
      <c r="H2154" t="b">
        <v>0</v>
      </c>
      <c r="K2154" t="b">
        <v>0</v>
      </c>
      <c r="L2154" t="b">
        <v>0</v>
      </c>
      <c r="M2154" t="s">
        <v>4837</v>
      </c>
      <c r="N2154" t="s">
        <v>745</v>
      </c>
    </row>
    <row r="2155" spans="1:25" x14ac:dyDescent="0.2">
      <c r="A2155">
        <v>3413</v>
      </c>
      <c r="B2155" t="s">
        <v>4827</v>
      </c>
      <c r="C2155" t="s">
        <v>18</v>
      </c>
      <c r="D2155" t="s">
        <v>4838</v>
      </c>
      <c r="E2155" t="s">
        <v>4839</v>
      </c>
      <c r="F2155" t="s">
        <v>78</v>
      </c>
      <c r="G2155" t="s">
        <v>62</v>
      </c>
      <c r="H2155" t="b">
        <v>0</v>
      </c>
      <c r="K2155" t="b">
        <v>0</v>
      </c>
      <c r="L2155" t="b">
        <v>0</v>
      </c>
      <c r="M2155" t="s">
        <v>4840</v>
      </c>
      <c r="N2155" t="s">
        <v>4841</v>
      </c>
    </row>
    <row r="2156" spans="1:25" x14ac:dyDescent="0.2">
      <c r="A2156">
        <v>3414</v>
      </c>
      <c r="B2156" t="s">
        <v>4827</v>
      </c>
      <c r="C2156" t="s">
        <v>18</v>
      </c>
      <c r="D2156" t="s">
        <v>4842</v>
      </c>
      <c r="E2156" t="s">
        <v>4843</v>
      </c>
      <c r="F2156" t="s">
        <v>574</v>
      </c>
      <c r="G2156" t="s">
        <v>62</v>
      </c>
      <c r="H2156" t="b">
        <v>0</v>
      </c>
      <c r="K2156" t="b">
        <v>0</v>
      </c>
      <c r="L2156" t="b">
        <v>0</v>
      </c>
    </row>
    <row r="2158" spans="1:25" x14ac:dyDescent="0.2">
      <c r="A2158" s="2">
        <v>3416</v>
      </c>
      <c r="B2158" s="2" t="s">
        <v>4844</v>
      </c>
      <c r="C2158" s="2" t="s">
        <v>13</v>
      </c>
      <c r="D2158" s="2" t="s">
        <v>4845</v>
      </c>
      <c r="E2158" s="2" t="s">
        <v>4846</v>
      </c>
      <c r="F2158" s="2" t="s">
        <v>87</v>
      </c>
      <c r="G2158" s="2" t="s">
        <v>62</v>
      </c>
      <c r="H2158" s="2"/>
      <c r="I2158" s="2"/>
      <c r="J2158" s="2"/>
      <c r="K2158" s="2"/>
      <c r="L2158" s="2"/>
      <c r="M2158" s="2"/>
      <c r="N2158" s="2"/>
      <c r="O2158" s="2"/>
      <c r="P2158" s="2"/>
      <c r="Q2158" s="2"/>
      <c r="R2158" s="2"/>
      <c r="S2158" s="2"/>
      <c r="T2158" s="2"/>
      <c r="U2158" s="2"/>
      <c r="V2158" s="2"/>
      <c r="W2158" s="2"/>
      <c r="X2158" s="2"/>
      <c r="Y2158" s="2"/>
    </row>
    <row r="2159" spans="1:25" x14ac:dyDescent="0.2">
      <c r="A2159">
        <v>3417</v>
      </c>
      <c r="B2159" t="s">
        <v>4844</v>
      </c>
      <c r="C2159" t="s">
        <v>18</v>
      </c>
      <c r="D2159" t="s">
        <v>4845</v>
      </c>
      <c r="E2159" t="s">
        <v>4847</v>
      </c>
      <c r="F2159" t="s">
        <v>87</v>
      </c>
      <c r="G2159" t="s">
        <v>62</v>
      </c>
      <c r="H2159" t="b">
        <v>1</v>
      </c>
      <c r="I2159" t="b">
        <v>1</v>
      </c>
      <c r="L2159" t="b">
        <v>1</v>
      </c>
      <c r="M2159" t="s">
        <v>4848</v>
      </c>
    </row>
    <row r="2160" spans="1:25" x14ac:dyDescent="0.2">
      <c r="A2160">
        <v>3418</v>
      </c>
      <c r="B2160" t="s">
        <v>4844</v>
      </c>
      <c r="C2160" t="s">
        <v>18</v>
      </c>
      <c r="D2160" t="s">
        <v>4849</v>
      </c>
      <c r="E2160" t="s">
        <v>4850</v>
      </c>
      <c r="F2160" t="s">
        <v>87</v>
      </c>
      <c r="G2160" t="s">
        <v>62</v>
      </c>
      <c r="H2160" t="b">
        <v>1</v>
      </c>
      <c r="I2160" t="b">
        <v>1</v>
      </c>
      <c r="L2160" t="b">
        <v>1</v>
      </c>
      <c r="M2160" t="s">
        <v>4851</v>
      </c>
      <c r="N2160" t="s">
        <v>4852</v>
      </c>
    </row>
    <row r="2161" spans="1:25" x14ac:dyDescent="0.2">
      <c r="A2161">
        <v>3419</v>
      </c>
      <c r="B2161" t="s">
        <v>4844</v>
      </c>
      <c r="C2161" t="s">
        <v>18</v>
      </c>
      <c r="D2161" t="s">
        <v>4853</v>
      </c>
      <c r="E2161" t="s">
        <v>4854</v>
      </c>
      <c r="F2161" t="s">
        <v>87</v>
      </c>
      <c r="G2161" t="s">
        <v>62</v>
      </c>
      <c r="H2161" t="b">
        <v>0</v>
      </c>
      <c r="I2161" t="b">
        <v>0</v>
      </c>
      <c r="L2161" t="b">
        <v>0</v>
      </c>
      <c r="M2161" t="s">
        <v>4855</v>
      </c>
      <c r="N2161" t="s">
        <v>4856</v>
      </c>
    </row>
    <row r="2162" spans="1:25" x14ac:dyDescent="0.2">
      <c r="A2162">
        <v>3420</v>
      </c>
      <c r="B2162" t="s">
        <v>4844</v>
      </c>
      <c r="C2162" t="s">
        <v>18</v>
      </c>
      <c r="D2162" t="s">
        <v>4857</v>
      </c>
      <c r="E2162" t="s">
        <v>4858</v>
      </c>
      <c r="F2162" t="s">
        <v>1404</v>
      </c>
      <c r="G2162" t="s">
        <v>62</v>
      </c>
      <c r="H2162" t="b">
        <v>0</v>
      </c>
      <c r="I2162" t="b">
        <v>0</v>
      </c>
      <c r="L2162" t="b">
        <v>0</v>
      </c>
      <c r="M2162" t="s">
        <v>4859</v>
      </c>
    </row>
    <row r="2163" spans="1:25" x14ac:dyDescent="0.2">
      <c r="A2163">
        <v>3421</v>
      </c>
      <c r="B2163" t="s">
        <v>4844</v>
      </c>
      <c r="C2163" t="s">
        <v>18</v>
      </c>
      <c r="D2163" t="s">
        <v>4860</v>
      </c>
      <c r="E2163" t="s">
        <v>4861</v>
      </c>
      <c r="F2163" t="s">
        <v>82</v>
      </c>
      <c r="G2163" t="s">
        <v>62</v>
      </c>
      <c r="H2163" t="b">
        <v>0</v>
      </c>
      <c r="I2163" t="b">
        <v>0</v>
      </c>
      <c r="L2163" t="b">
        <v>0</v>
      </c>
      <c r="M2163" t="s">
        <v>4862</v>
      </c>
    </row>
    <row r="2165" spans="1:25" x14ac:dyDescent="0.2">
      <c r="A2165" s="2">
        <v>343</v>
      </c>
      <c r="B2165" s="2" t="s">
        <v>4863</v>
      </c>
      <c r="C2165" s="2" t="s">
        <v>13</v>
      </c>
      <c r="D2165" s="2" t="s">
        <v>4864</v>
      </c>
      <c r="E2165" s="2" t="s">
        <v>4865</v>
      </c>
      <c r="F2165" s="2" t="s">
        <v>159</v>
      </c>
      <c r="G2165" s="2" t="s">
        <v>345</v>
      </c>
      <c r="H2165" s="2"/>
      <c r="I2165" s="2"/>
      <c r="J2165" s="2"/>
      <c r="K2165" s="2"/>
      <c r="L2165" s="2"/>
      <c r="M2165" s="2"/>
      <c r="N2165" s="2"/>
      <c r="O2165" s="2"/>
      <c r="P2165" s="2"/>
      <c r="Q2165" s="2"/>
      <c r="R2165" s="2"/>
      <c r="S2165" s="2"/>
      <c r="T2165" s="2"/>
      <c r="U2165" s="2"/>
      <c r="V2165" s="2"/>
      <c r="W2165" s="2"/>
      <c r="X2165" s="2"/>
      <c r="Y2165" s="2"/>
    </row>
    <row r="2166" spans="1:25" x14ac:dyDescent="0.2">
      <c r="A2166">
        <v>344</v>
      </c>
      <c r="B2166" t="s">
        <v>4863</v>
      </c>
      <c r="C2166" t="s">
        <v>18</v>
      </c>
      <c r="D2166" t="s">
        <v>4864</v>
      </c>
      <c r="E2166" t="s">
        <v>4865</v>
      </c>
      <c r="F2166" t="s">
        <v>159</v>
      </c>
      <c r="G2166" t="s">
        <v>345</v>
      </c>
      <c r="H2166" t="b">
        <v>1</v>
      </c>
      <c r="K2166" t="b">
        <v>1</v>
      </c>
      <c r="L2166" t="b">
        <v>1</v>
      </c>
      <c r="M2166" t="s">
        <v>4866</v>
      </c>
      <c r="N2166" t="s">
        <v>4867</v>
      </c>
    </row>
    <row r="2167" spans="1:25" x14ac:dyDescent="0.2">
      <c r="A2167">
        <v>345</v>
      </c>
      <c r="B2167" t="s">
        <v>4863</v>
      </c>
      <c r="C2167" t="s">
        <v>18</v>
      </c>
      <c r="D2167" t="s">
        <v>4868</v>
      </c>
      <c r="E2167" t="s">
        <v>4869</v>
      </c>
      <c r="F2167" t="s">
        <v>159</v>
      </c>
      <c r="G2167" t="s">
        <v>345</v>
      </c>
      <c r="H2167" t="b">
        <v>0</v>
      </c>
      <c r="K2167" t="b">
        <v>0</v>
      </c>
      <c r="L2167" t="b">
        <v>0</v>
      </c>
      <c r="M2167" t="s">
        <v>4870</v>
      </c>
      <c r="N2167" t="s">
        <v>4871</v>
      </c>
    </row>
    <row r="2168" spans="1:25" x14ac:dyDescent="0.2">
      <c r="A2168">
        <v>346</v>
      </c>
      <c r="B2168" t="s">
        <v>4863</v>
      </c>
      <c r="C2168" t="s">
        <v>18</v>
      </c>
      <c r="D2168" t="s">
        <v>4872</v>
      </c>
      <c r="E2168" t="s">
        <v>4873</v>
      </c>
      <c r="F2168" t="s">
        <v>159</v>
      </c>
      <c r="G2168" t="s">
        <v>345</v>
      </c>
      <c r="H2168" t="b">
        <v>0</v>
      </c>
      <c r="K2168" t="b">
        <v>0</v>
      </c>
      <c r="L2168" t="b">
        <v>0</v>
      </c>
      <c r="M2168" t="s">
        <v>4874</v>
      </c>
      <c r="N2168" t="s">
        <v>4875</v>
      </c>
    </row>
    <row r="2169" spans="1:25" x14ac:dyDescent="0.2">
      <c r="A2169">
        <v>347</v>
      </c>
      <c r="B2169" t="s">
        <v>4863</v>
      </c>
      <c r="C2169" t="s">
        <v>18</v>
      </c>
      <c r="D2169" t="s">
        <v>4876</v>
      </c>
      <c r="E2169" t="s">
        <v>4877</v>
      </c>
      <c r="F2169" t="s">
        <v>159</v>
      </c>
      <c r="G2169" t="s">
        <v>345</v>
      </c>
      <c r="H2169" t="b">
        <v>0</v>
      </c>
      <c r="K2169" t="b">
        <v>0</v>
      </c>
      <c r="L2169" t="b">
        <v>0</v>
      </c>
      <c r="M2169" t="s">
        <v>4878</v>
      </c>
      <c r="N2169" t="s">
        <v>4879</v>
      </c>
    </row>
    <row r="2170" spans="1:25" x14ac:dyDescent="0.2">
      <c r="A2170">
        <v>348</v>
      </c>
      <c r="B2170" t="s">
        <v>4863</v>
      </c>
      <c r="C2170" t="s">
        <v>18</v>
      </c>
      <c r="D2170" t="s">
        <v>4880</v>
      </c>
      <c r="E2170" t="s">
        <v>4881</v>
      </c>
      <c r="F2170" t="s">
        <v>159</v>
      </c>
      <c r="G2170" t="s">
        <v>345</v>
      </c>
      <c r="H2170" t="b">
        <v>0</v>
      </c>
      <c r="K2170" t="b">
        <v>0</v>
      </c>
      <c r="L2170" t="b">
        <v>0</v>
      </c>
      <c r="M2170" t="s">
        <v>4882</v>
      </c>
      <c r="N2170" t="s">
        <v>4883</v>
      </c>
    </row>
    <row r="2172" spans="1:25" x14ac:dyDescent="0.2">
      <c r="A2172" s="2">
        <v>3444</v>
      </c>
      <c r="B2172" s="2" t="s">
        <v>4884</v>
      </c>
      <c r="C2172" s="2" t="s">
        <v>13</v>
      </c>
      <c r="D2172" s="2" t="s">
        <v>4885</v>
      </c>
      <c r="E2172" s="2" t="s">
        <v>4886</v>
      </c>
      <c r="F2172" s="2" t="s">
        <v>144</v>
      </c>
      <c r="G2172" s="2" t="s">
        <v>62</v>
      </c>
      <c r="H2172" s="2"/>
      <c r="I2172" s="2"/>
      <c r="J2172" s="2"/>
      <c r="K2172" s="2"/>
      <c r="L2172" s="2"/>
      <c r="M2172" s="2"/>
      <c r="N2172" s="2"/>
      <c r="O2172" s="2"/>
      <c r="P2172" s="2"/>
      <c r="Q2172" s="2"/>
      <c r="R2172" s="2"/>
      <c r="S2172" s="2"/>
      <c r="T2172" s="2"/>
      <c r="U2172" s="2"/>
      <c r="V2172" s="2"/>
      <c r="W2172" s="2"/>
      <c r="X2172" s="2"/>
      <c r="Y2172" s="2"/>
    </row>
    <row r="2173" spans="1:25" x14ac:dyDescent="0.2">
      <c r="A2173">
        <v>3445</v>
      </c>
      <c r="B2173" t="s">
        <v>4884</v>
      </c>
      <c r="C2173" t="s">
        <v>18</v>
      </c>
      <c r="D2173" t="s">
        <v>4885</v>
      </c>
      <c r="E2173" t="s">
        <v>4886</v>
      </c>
      <c r="F2173" t="s">
        <v>144</v>
      </c>
      <c r="G2173" t="s">
        <v>62</v>
      </c>
      <c r="H2173" t="b">
        <v>1</v>
      </c>
      <c r="I2173" t="b">
        <v>1</v>
      </c>
      <c r="L2173" t="b">
        <v>1</v>
      </c>
      <c r="M2173" t="s">
        <v>4887</v>
      </c>
      <c r="N2173" t="s">
        <v>4888</v>
      </c>
      <c r="O2173" t="s">
        <v>4889</v>
      </c>
      <c r="P2173" t="s">
        <v>4890</v>
      </c>
    </row>
    <row r="2174" spans="1:25" x14ac:dyDescent="0.2">
      <c r="A2174">
        <v>3446</v>
      </c>
      <c r="B2174" t="s">
        <v>4884</v>
      </c>
      <c r="C2174" t="s">
        <v>18</v>
      </c>
      <c r="D2174" t="s">
        <v>4891</v>
      </c>
      <c r="E2174" t="s">
        <v>4892</v>
      </c>
      <c r="F2174" t="s">
        <v>420</v>
      </c>
      <c r="G2174" t="s">
        <v>62</v>
      </c>
      <c r="H2174" t="b">
        <v>0</v>
      </c>
      <c r="I2174" t="b">
        <v>0</v>
      </c>
      <c r="L2174" t="b">
        <v>0</v>
      </c>
      <c r="M2174" t="s">
        <v>4893</v>
      </c>
      <c r="N2174" t="s">
        <v>4894</v>
      </c>
    </row>
    <row r="2175" spans="1:25" x14ac:dyDescent="0.2">
      <c r="A2175">
        <v>3447</v>
      </c>
      <c r="B2175" t="s">
        <v>4884</v>
      </c>
      <c r="C2175" t="s">
        <v>18</v>
      </c>
      <c r="D2175" t="s">
        <v>1376</v>
      </c>
      <c r="E2175" t="s">
        <v>1377</v>
      </c>
      <c r="F2175" t="s">
        <v>248</v>
      </c>
      <c r="G2175" t="s">
        <v>62</v>
      </c>
      <c r="H2175" t="b">
        <v>0</v>
      </c>
      <c r="I2175" t="b">
        <v>0</v>
      </c>
      <c r="L2175" t="b">
        <v>0</v>
      </c>
      <c r="M2175" t="s">
        <v>1378</v>
      </c>
      <c r="N2175" t="s">
        <v>1379</v>
      </c>
      <c r="O2175" t="s">
        <v>1380</v>
      </c>
      <c r="P2175" t="s">
        <v>1381</v>
      </c>
    </row>
    <row r="2176" spans="1:25" x14ac:dyDescent="0.2">
      <c r="A2176">
        <v>3448</v>
      </c>
      <c r="B2176" t="s">
        <v>4884</v>
      </c>
      <c r="C2176" t="s">
        <v>18</v>
      </c>
      <c r="D2176" t="s">
        <v>4895</v>
      </c>
      <c r="E2176" t="s">
        <v>4896</v>
      </c>
      <c r="F2176" t="s">
        <v>122</v>
      </c>
      <c r="G2176" t="s">
        <v>62</v>
      </c>
      <c r="H2176" t="b">
        <v>0</v>
      </c>
      <c r="I2176" t="b">
        <v>0</v>
      </c>
      <c r="L2176" t="b">
        <v>0</v>
      </c>
      <c r="M2176" t="s">
        <v>4897</v>
      </c>
    </row>
    <row r="2177" spans="1:25" x14ac:dyDescent="0.2">
      <c r="A2177">
        <v>3449</v>
      </c>
      <c r="B2177" t="s">
        <v>4884</v>
      </c>
      <c r="C2177" t="s">
        <v>18</v>
      </c>
      <c r="D2177" t="s">
        <v>4898</v>
      </c>
      <c r="E2177" t="s">
        <v>4899</v>
      </c>
      <c r="F2177" t="s">
        <v>3988</v>
      </c>
      <c r="G2177" t="s">
        <v>62</v>
      </c>
      <c r="H2177" t="b">
        <v>0</v>
      </c>
      <c r="I2177" t="b">
        <v>0</v>
      </c>
      <c r="L2177" t="b">
        <v>0</v>
      </c>
      <c r="M2177" t="s">
        <v>4900</v>
      </c>
    </row>
    <row r="2179" spans="1:25" x14ac:dyDescent="0.2">
      <c r="A2179" s="2">
        <v>3458</v>
      </c>
      <c r="B2179" s="2" t="s">
        <v>4901</v>
      </c>
      <c r="C2179" s="2" t="s">
        <v>13</v>
      </c>
      <c r="D2179" s="2" t="s">
        <v>4902</v>
      </c>
      <c r="E2179" s="2" t="s">
        <v>4903</v>
      </c>
      <c r="F2179" s="2" t="s">
        <v>78</v>
      </c>
      <c r="G2179" s="2" t="s">
        <v>1752</v>
      </c>
      <c r="H2179" s="2"/>
      <c r="I2179" s="2"/>
      <c r="J2179" s="2"/>
      <c r="K2179" s="2"/>
      <c r="L2179" s="2"/>
      <c r="M2179" s="2"/>
      <c r="N2179" s="2"/>
      <c r="O2179" s="2"/>
      <c r="P2179" s="2"/>
      <c r="Q2179" s="2"/>
      <c r="R2179" s="2"/>
      <c r="S2179" s="2"/>
      <c r="T2179" s="2"/>
      <c r="U2179" s="2"/>
      <c r="V2179" s="2"/>
      <c r="W2179" s="2"/>
      <c r="X2179" s="2"/>
      <c r="Y2179" s="2"/>
    </row>
    <row r="2180" spans="1:25" x14ac:dyDescent="0.2">
      <c r="A2180">
        <v>3459</v>
      </c>
      <c r="B2180" t="s">
        <v>4901</v>
      </c>
      <c r="C2180" t="s">
        <v>18</v>
      </c>
      <c r="D2180" t="s">
        <v>4904</v>
      </c>
      <c r="E2180" t="s">
        <v>4903</v>
      </c>
      <c r="F2180" t="s">
        <v>78</v>
      </c>
      <c r="G2180" t="s">
        <v>917</v>
      </c>
      <c r="H2180" t="b">
        <v>1</v>
      </c>
      <c r="I2180" t="b">
        <v>1</v>
      </c>
      <c r="L2180" t="b">
        <v>1</v>
      </c>
      <c r="M2180" t="s">
        <v>4905</v>
      </c>
      <c r="N2180" t="s">
        <v>4906</v>
      </c>
    </row>
    <row r="2181" spans="1:25" x14ac:dyDescent="0.2">
      <c r="A2181">
        <v>3460</v>
      </c>
      <c r="B2181" t="s">
        <v>4901</v>
      </c>
      <c r="C2181" t="s">
        <v>18</v>
      </c>
      <c r="D2181" t="s">
        <v>4907</v>
      </c>
      <c r="E2181" t="s">
        <v>4908</v>
      </c>
      <c r="F2181" t="s">
        <v>78</v>
      </c>
      <c r="G2181" t="s">
        <v>917</v>
      </c>
      <c r="H2181" t="b">
        <v>0</v>
      </c>
      <c r="I2181" t="b">
        <v>0</v>
      </c>
      <c r="L2181" t="b">
        <v>0</v>
      </c>
      <c r="M2181" t="s">
        <v>4909</v>
      </c>
    </row>
    <row r="2182" spans="1:25" x14ac:dyDescent="0.2">
      <c r="A2182">
        <v>3461</v>
      </c>
      <c r="B2182" t="s">
        <v>4901</v>
      </c>
      <c r="C2182" t="s">
        <v>18</v>
      </c>
      <c r="D2182" t="s">
        <v>4910</v>
      </c>
      <c r="E2182" t="s">
        <v>4911</v>
      </c>
      <c r="F2182" t="s">
        <v>78</v>
      </c>
      <c r="G2182" t="s">
        <v>917</v>
      </c>
      <c r="H2182" t="b">
        <v>0</v>
      </c>
      <c r="I2182" t="b">
        <v>0</v>
      </c>
      <c r="L2182" t="b">
        <v>0</v>
      </c>
      <c r="M2182" t="s">
        <v>4912</v>
      </c>
    </row>
    <row r="2183" spans="1:25" x14ac:dyDescent="0.2">
      <c r="A2183">
        <v>3462</v>
      </c>
      <c r="B2183" t="s">
        <v>4901</v>
      </c>
      <c r="C2183" t="s">
        <v>18</v>
      </c>
      <c r="D2183" t="s">
        <v>4913</v>
      </c>
      <c r="E2183" t="s">
        <v>4914</v>
      </c>
      <c r="F2183" t="s">
        <v>785</v>
      </c>
      <c r="G2183" t="s">
        <v>917</v>
      </c>
      <c r="H2183" t="b">
        <v>0</v>
      </c>
      <c r="I2183" t="b">
        <v>0</v>
      </c>
      <c r="L2183" t="b">
        <v>0</v>
      </c>
      <c r="M2183" t="s">
        <v>4915</v>
      </c>
      <c r="N2183" t="s">
        <v>4916</v>
      </c>
    </row>
    <row r="2184" spans="1:25" x14ac:dyDescent="0.2">
      <c r="A2184">
        <v>3463</v>
      </c>
      <c r="B2184" t="s">
        <v>4901</v>
      </c>
      <c r="C2184" t="s">
        <v>18</v>
      </c>
      <c r="D2184" t="s">
        <v>4917</v>
      </c>
      <c r="E2184" t="s">
        <v>4918</v>
      </c>
      <c r="F2184" t="s">
        <v>71</v>
      </c>
      <c r="G2184" t="s">
        <v>917</v>
      </c>
      <c r="H2184" t="b">
        <v>0</v>
      </c>
      <c r="I2184" t="b">
        <v>0</v>
      </c>
      <c r="L2184" t="b">
        <v>0</v>
      </c>
      <c r="M2184" t="s">
        <v>4919</v>
      </c>
      <c r="N2184" t="s">
        <v>4920</v>
      </c>
    </row>
    <row r="2186" spans="1:25" x14ac:dyDescent="0.2">
      <c r="A2186" s="2">
        <v>3465</v>
      </c>
      <c r="B2186" s="2" t="s">
        <v>4921</v>
      </c>
      <c r="C2186" s="2" t="s">
        <v>13</v>
      </c>
      <c r="D2186" s="2" t="s">
        <v>4922</v>
      </c>
      <c r="E2186" s="2" t="s">
        <v>4923</v>
      </c>
      <c r="F2186" s="2" t="s">
        <v>670</v>
      </c>
      <c r="G2186" s="2" t="s">
        <v>24</v>
      </c>
      <c r="H2186" s="2"/>
      <c r="I2186" s="2"/>
      <c r="J2186" s="2"/>
      <c r="K2186" s="2"/>
      <c r="L2186" s="2"/>
      <c r="M2186" s="2"/>
      <c r="N2186" s="2"/>
      <c r="O2186" s="2"/>
      <c r="P2186" s="2"/>
      <c r="Q2186" s="2"/>
      <c r="R2186" s="2"/>
      <c r="S2186" s="2"/>
      <c r="T2186" s="2"/>
      <c r="U2186" s="2"/>
      <c r="V2186" s="2"/>
      <c r="W2186" s="2"/>
      <c r="X2186" s="2"/>
      <c r="Y2186" s="2"/>
    </row>
    <row r="2187" spans="1:25" x14ac:dyDescent="0.2">
      <c r="A2187">
        <v>3466</v>
      </c>
      <c r="B2187" t="s">
        <v>4921</v>
      </c>
      <c r="C2187" t="s">
        <v>18</v>
      </c>
      <c r="D2187" t="s">
        <v>4922</v>
      </c>
      <c r="E2187" t="s">
        <v>4923</v>
      </c>
      <c r="F2187" t="s">
        <v>670</v>
      </c>
      <c r="G2187" t="s">
        <v>24</v>
      </c>
      <c r="H2187" t="b">
        <v>1</v>
      </c>
      <c r="I2187" t="b">
        <v>1</v>
      </c>
      <c r="L2187" t="b">
        <v>1</v>
      </c>
      <c r="M2187" t="s">
        <v>4924</v>
      </c>
      <c r="N2187" t="s">
        <v>4925</v>
      </c>
    </row>
    <row r="2188" spans="1:25" x14ac:dyDescent="0.2">
      <c r="A2188">
        <v>3467</v>
      </c>
      <c r="B2188" t="s">
        <v>4921</v>
      </c>
      <c r="C2188" t="s">
        <v>18</v>
      </c>
      <c r="D2188" t="s">
        <v>380</v>
      </c>
      <c r="E2188" t="s">
        <v>381</v>
      </c>
      <c r="F2188" t="s">
        <v>31</v>
      </c>
      <c r="G2188" t="s">
        <v>24</v>
      </c>
      <c r="H2188" t="b">
        <v>0</v>
      </c>
      <c r="I2188" t="b">
        <v>0</v>
      </c>
      <c r="L2188" t="b">
        <v>0</v>
      </c>
      <c r="M2188" t="s">
        <v>4129</v>
      </c>
      <c r="N2188" t="s">
        <v>4130</v>
      </c>
    </row>
    <row r="2189" spans="1:25" x14ac:dyDescent="0.2">
      <c r="A2189">
        <v>3468</v>
      </c>
      <c r="B2189" t="s">
        <v>4921</v>
      </c>
      <c r="C2189" t="s">
        <v>18</v>
      </c>
      <c r="D2189" t="s">
        <v>382</v>
      </c>
      <c r="E2189" t="s">
        <v>381</v>
      </c>
      <c r="F2189" t="s">
        <v>20</v>
      </c>
      <c r="G2189" t="s">
        <v>24</v>
      </c>
      <c r="H2189" t="b">
        <v>0</v>
      </c>
      <c r="I2189" t="b">
        <v>0</v>
      </c>
      <c r="L2189" t="b">
        <v>0</v>
      </c>
      <c r="M2189" t="s">
        <v>4131</v>
      </c>
    </row>
    <row r="2190" spans="1:25" x14ac:dyDescent="0.2">
      <c r="A2190">
        <v>3469</v>
      </c>
      <c r="B2190" t="s">
        <v>4921</v>
      </c>
      <c r="C2190" t="s">
        <v>18</v>
      </c>
      <c r="D2190" t="s">
        <v>4132</v>
      </c>
      <c r="E2190" t="s">
        <v>809</v>
      </c>
      <c r="F2190" t="s">
        <v>16</v>
      </c>
      <c r="G2190" t="s">
        <v>24</v>
      </c>
      <c r="H2190" t="b">
        <v>0</v>
      </c>
      <c r="I2190" t="b">
        <v>0</v>
      </c>
      <c r="L2190" t="b">
        <v>0</v>
      </c>
      <c r="M2190" t="s">
        <v>4133</v>
      </c>
      <c r="N2190" t="s">
        <v>4134</v>
      </c>
    </row>
    <row r="2191" spans="1:25" x14ac:dyDescent="0.2">
      <c r="A2191">
        <v>3470</v>
      </c>
      <c r="B2191" t="s">
        <v>4921</v>
      </c>
      <c r="C2191" t="s">
        <v>18</v>
      </c>
      <c r="D2191" t="s">
        <v>383</v>
      </c>
      <c r="E2191" t="s">
        <v>384</v>
      </c>
      <c r="F2191" t="s">
        <v>369</v>
      </c>
      <c r="G2191" t="s">
        <v>24</v>
      </c>
      <c r="H2191" t="b">
        <v>0</v>
      </c>
      <c r="I2191" t="b">
        <v>0</v>
      </c>
      <c r="L2191" t="b">
        <v>0</v>
      </c>
      <c r="M2191" t="s">
        <v>4125</v>
      </c>
      <c r="N2191" t="s">
        <v>4126</v>
      </c>
    </row>
    <row r="2193" spans="1:25" x14ac:dyDescent="0.2">
      <c r="A2193" s="2">
        <v>3472</v>
      </c>
      <c r="B2193" s="2" t="s">
        <v>4926</v>
      </c>
      <c r="C2193" s="2" t="s">
        <v>13</v>
      </c>
      <c r="D2193" s="2" t="s">
        <v>4927</v>
      </c>
      <c r="E2193" s="2" t="s">
        <v>4928</v>
      </c>
      <c r="F2193" s="2" t="s">
        <v>78</v>
      </c>
      <c r="G2193" s="2" t="s">
        <v>88</v>
      </c>
      <c r="H2193" s="2"/>
      <c r="I2193" s="2"/>
      <c r="J2193" s="2"/>
      <c r="K2193" s="2"/>
      <c r="L2193" s="2"/>
      <c r="M2193" s="2"/>
      <c r="N2193" s="2"/>
      <c r="O2193" s="2"/>
      <c r="P2193" s="2"/>
      <c r="Q2193" s="2"/>
      <c r="R2193" s="2"/>
      <c r="S2193" s="2"/>
      <c r="T2193" s="2"/>
      <c r="U2193" s="2"/>
      <c r="V2193" s="2"/>
      <c r="W2193" s="2"/>
      <c r="X2193" s="2"/>
      <c r="Y2193" s="2"/>
    </row>
    <row r="2194" spans="1:25" x14ac:dyDescent="0.2">
      <c r="A2194">
        <v>3473</v>
      </c>
      <c r="B2194" t="s">
        <v>4926</v>
      </c>
      <c r="C2194" t="s">
        <v>18</v>
      </c>
      <c r="D2194" t="s">
        <v>4927</v>
      </c>
      <c r="E2194" t="s">
        <v>4928</v>
      </c>
      <c r="F2194" t="s">
        <v>78</v>
      </c>
      <c r="G2194" t="s">
        <v>88</v>
      </c>
      <c r="H2194" t="b">
        <v>1</v>
      </c>
      <c r="K2194" t="b">
        <v>1</v>
      </c>
      <c r="L2194" t="b">
        <v>1</v>
      </c>
      <c r="M2194" t="s">
        <v>4929</v>
      </c>
      <c r="N2194" t="s">
        <v>4930</v>
      </c>
      <c r="O2194" t="s">
        <v>4931</v>
      </c>
    </row>
    <row r="2195" spans="1:25" x14ac:dyDescent="0.2">
      <c r="A2195">
        <v>3474</v>
      </c>
      <c r="B2195" t="s">
        <v>4926</v>
      </c>
      <c r="C2195" t="s">
        <v>18</v>
      </c>
      <c r="D2195" t="s">
        <v>4932</v>
      </c>
      <c r="E2195" t="s">
        <v>4933</v>
      </c>
      <c r="F2195" t="s">
        <v>78</v>
      </c>
      <c r="G2195" t="s">
        <v>88</v>
      </c>
      <c r="H2195" t="b">
        <v>0</v>
      </c>
      <c r="K2195" t="b">
        <v>0</v>
      </c>
      <c r="L2195" t="b">
        <v>0</v>
      </c>
      <c r="M2195" t="s">
        <v>4934</v>
      </c>
    </row>
    <row r="2196" spans="1:25" x14ac:dyDescent="0.2">
      <c r="A2196">
        <v>3475</v>
      </c>
      <c r="B2196" t="s">
        <v>4926</v>
      </c>
      <c r="C2196" t="s">
        <v>18</v>
      </c>
      <c r="D2196" t="s">
        <v>4935</v>
      </c>
      <c r="E2196" t="s">
        <v>4936</v>
      </c>
      <c r="F2196" t="s">
        <v>78</v>
      </c>
      <c r="G2196" t="s">
        <v>130</v>
      </c>
      <c r="H2196" t="b">
        <v>0</v>
      </c>
      <c r="K2196" t="b">
        <v>0</v>
      </c>
      <c r="L2196" t="b">
        <v>0</v>
      </c>
      <c r="M2196" t="s">
        <v>4937</v>
      </c>
      <c r="N2196" t="s">
        <v>4938</v>
      </c>
    </row>
    <row r="2197" spans="1:25" x14ac:dyDescent="0.2">
      <c r="A2197">
        <v>3476</v>
      </c>
      <c r="B2197" t="s">
        <v>4926</v>
      </c>
      <c r="C2197" t="s">
        <v>18</v>
      </c>
      <c r="D2197" t="s">
        <v>4939</v>
      </c>
      <c r="E2197" t="s">
        <v>4940</v>
      </c>
      <c r="F2197" t="s">
        <v>78</v>
      </c>
      <c r="G2197" t="s">
        <v>130</v>
      </c>
      <c r="H2197" t="b">
        <v>0</v>
      </c>
      <c r="K2197" t="b">
        <v>0</v>
      </c>
      <c r="L2197" t="b">
        <v>0</v>
      </c>
      <c r="M2197" t="s">
        <v>4941</v>
      </c>
      <c r="N2197" t="s">
        <v>4942</v>
      </c>
    </row>
    <row r="2198" spans="1:25" x14ac:dyDescent="0.2">
      <c r="A2198">
        <v>3477</v>
      </c>
      <c r="B2198" t="s">
        <v>4926</v>
      </c>
      <c r="C2198" t="s">
        <v>18</v>
      </c>
      <c r="D2198" t="s">
        <v>4943</v>
      </c>
      <c r="E2198" t="s">
        <v>4944</v>
      </c>
      <c r="F2198" t="s">
        <v>78</v>
      </c>
      <c r="G2198" t="s">
        <v>88</v>
      </c>
      <c r="H2198" t="b">
        <v>0</v>
      </c>
      <c r="K2198" t="b">
        <v>0</v>
      </c>
      <c r="L2198" t="b">
        <v>0</v>
      </c>
      <c r="M2198" t="s">
        <v>4945</v>
      </c>
    </row>
    <row r="2200" spans="1:25" x14ac:dyDescent="0.2">
      <c r="A2200" s="2">
        <v>35</v>
      </c>
      <c r="B2200" s="2" t="s">
        <v>4946</v>
      </c>
      <c r="C2200" s="2" t="s">
        <v>13</v>
      </c>
      <c r="D2200" s="2" t="s">
        <v>4947</v>
      </c>
      <c r="E2200" s="2" t="s">
        <v>4948</v>
      </c>
      <c r="F2200" s="2" t="s">
        <v>78</v>
      </c>
      <c r="G2200" s="2" t="s">
        <v>62</v>
      </c>
      <c r="H2200" s="2"/>
      <c r="I2200" s="2"/>
      <c r="J2200" s="2"/>
      <c r="K2200" s="2"/>
      <c r="L2200" s="2"/>
      <c r="M2200" s="2"/>
      <c r="N2200" s="2"/>
      <c r="O2200" s="2"/>
      <c r="P2200" s="2"/>
      <c r="Q2200" s="2"/>
      <c r="R2200" s="2"/>
      <c r="S2200" s="2"/>
      <c r="T2200" s="2"/>
      <c r="U2200" s="2"/>
      <c r="V2200" s="2"/>
      <c r="W2200" s="2"/>
      <c r="X2200" s="2"/>
      <c r="Y2200" s="2"/>
    </row>
    <row r="2201" spans="1:25" x14ac:dyDescent="0.2">
      <c r="A2201">
        <v>36</v>
      </c>
      <c r="B2201" t="s">
        <v>4946</v>
      </c>
      <c r="C2201" t="s">
        <v>18</v>
      </c>
      <c r="D2201" t="s">
        <v>4947</v>
      </c>
      <c r="E2201" t="s">
        <v>4948</v>
      </c>
      <c r="F2201" t="s">
        <v>78</v>
      </c>
      <c r="G2201" t="s">
        <v>62</v>
      </c>
      <c r="H2201" t="b">
        <v>1</v>
      </c>
      <c r="K2201" t="b">
        <v>1</v>
      </c>
      <c r="L2201" t="b">
        <v>1</v>
      </c>
      <c r="M2201" t="s">
        <v>4949</v>
      </c>
      <c r="N2201" t="s">
        <v>4950</v>
      </c>
    </row>
    <row r="2202" spans="1:25" x14ac:dyDescent="0.2">
      <c r="A2202">
        <v>37</v>
      </c>
      <c r="B2202" t="s">
        <v>4946</v>
      </c>
      <c r="C2202" t="s">
        <v>18</v>
      </c>
      <c r="D2202" t="s">
        <v>4951</v>
      </c>
      <c r="E2202" t="s">
        <v>4952</v>
      </c>
      <c r="F2202" t="s">
        <v>78</v>
      </c>
      <c r="G2202" t="s">
        <v>62</v>
      </c>
      <c r="H2202" t="b">
        <v>0</v>
      </c>
      <c r="K2202" t="b">
        <v>0</v>
      </c>
      <c r="L2202" t="b">
        <v>0</v>
      </c>
      <c r="M2202" t="s">
        <v>4953</v>
      </c>
      <c r="N2202" t="s">
        <v>4954</v>
      </c>
    </row>
    <row r="2203" spans="1:25" x14ac:dyDescent="0.2">
      <c r="A2203">
        <v>38</v>
      </c>
      <c r="B2203" t="s">
        <v>4946</v>
      </c>
      <c r="C2203" t="s">
        <v>18</v>
      </c>
      <c r="D2203" t="s">
        <v>4955</v>
      </c>
      <c r="E2203" t="s">
        <v>4956</v>
      </c>
      <c r="F2203" t="s">
        <v>174</v>
      </c>
      <c r="G2203" t="s">
        <v>62</v>
      </c>
      <c r="H2203" t="b">
        <v>0</v>
      </c>
      <c r="K2203" t="b">
        <v>0</v>
      </c>
      <c r="L2203" t="b">
        <v>0</v>
      </c>
    </row>
    <row r="2204" spans="1:25" x14ac:dyDescent="0.2">
      <c r="A2204">
        <v>39</v>
      </c>
      <c r="B2204" t="s">
        <v>4946</v>
      </c>
      <c r="C2204" t="s">
        <v>18</v>
      </c>
      <c r="D2204" t="s">
        <v>4957</v>
      </c>
      <c r="E2204" t="s">
        <v>4958</v>
      </c>
      <c r="F2204" t="s">
        <v>78</v>
      </c>
      <c r="G2204" t="s">
        <v>265</v>
      </c>
      <c r="H2204" t="b">
        <v>0</v>
      </c>
      <c r="K2204" t="b">
        <v>0</v>
      </c>
      <c r="L2204" t="b">
        <v>0</v>
      </c>
      <c r="M2204" t="s">
        <v>4959</v>
      </c>
    </row>
    <row r="2205" spans="1:25" x14ac:dyDescent="0.2">
      <c r="A2205">
        <v>40</v>
      </c>
      <c r="B2205" t="s">
        <v>4946</v>
      </c>
      <c r="C2205" t="s">
        <v>18</v>
      </c>
      <c r="D2205" t="s">
        <v>4960</v>
      </c>
      <c r="E2205" t="s">
        <v>4961</v>
      </c>
      <c r="F2205" t="s">
        <v>78</v>
      </c>
      <c r="G2205" t="s">
        <v>265</v>
      </c>
      <c r="H2205" t="b">
        <v>0</v>
      </c>
      <c r="K2205" t="b">
        <v>0</v>
      </c>
      <c r="L2205" t="b">
        <v>0</v>
      </c>
    </row>
    <row r="2207" spans="1:25" x14ac:dyDescent="0.2">
      <c r="A2207" s="2">
        <v>3500</v>
      </c>
      <c r="B2207" s="2" t="s">
        <v>4962</v>
      </c>
      <c r="C2207" s="2" t="s">
        <v>13</v>
      </c>
      <c r="D2207" s="2" t="s">
        <v>4963</v>
      </c>
      <c r="E2207" s="2" t="s">
        <v>4964</v>
      </c>
      <c r="F2207" s="2" t="s">
        <v>78</v>
      </c>
      <c r="G2207" s="2" t="s">
        <v>24</v>
      </c>
      <c r="H2207" s="2"/>
      <c r="I2207" s="2"/>
      <c r="J2207" s="2"/>
      <c r="K2207" s="2"/>
      <c r="L2207" s="2"/>
      <c r="M2207" s="2"/>
      <c r="N2207" s="2"/>
      <c r="O2207" s="2"/>
      <c r="P2207" s="2"/>
      <c r="Q2207" s="2"/>
      <c r="R2207" s="2"/>
      <c r="S2207" s="2"/>
      <c r="T2207" s="2"/>
      <c r="U2207" s="2"/>
      <c r="V2207" s="2"/>
      <c r="W2207" s="2"/>
      <c r="X2207" s="2"/>
      <c r="Y2207" s="2"/>
    </row>
    <row r="2208" spans="1:25" x14ac:dyDescent="0.2">
      <c r="A2208">
        <v>3501</v>
      </c>
      <c r="B2208" t="s">
        <v>4962</v>
      </c>
      <c r="C2208" t="s">
        <v>18</v>
      </c>
      <c r="D2208" t="s">
        <v>4963</v>
      </c>
      <c r="E2208" t="s">
        <v>4965</v>
      </c>
      <c r="F2208" t="s">
        <v>78</v>
      </c>
      <c r="G2208" t="s">
        <v>24</v>
      </c>
      <c r="H2208" t="b">
        <v>1</v>
      </c>
      <c r="I2208" t="b">
        <v>1</v>
      </c>
      <c r="L2208" t="b">
        <v>1</v>
      </c>
      <c r="M2208" t="s">
        <v>4966</v>
      </c>
      <c r="N2208" t="s">
        <v>4967</v>
      </c>
      <c r="O2208" t="s">
        <v>4968</v>
      </c>
    </row>
    <row r="2209" spans="1:25" x14ac:dyDescent="0.2">
      <c r="A2209">
        <v>3502</v>
      </c>
      <c r="B2209" t="s">
        <v>4962</v>
      </c>
      <c r="C2209" t="s">
        <v>18</v>
      </c>
      <c r="D2209" t="s">
        <v>4969</v>
      </c>
      <c r="E2209" t="s">
        <v>4970</v>
      </c>
      <c r="F2209" t="s">
        <v>78</v>
      </c>
      <c r="G2209" t="s">
        <v>32</v>
      </c>
      <c r="H2209" t="b">
        <v>1</v>
      </c>
      <c r="I2209" t="b">
        <v>1</v>
      </c>
      <c r="L2209" t="b">
        <v>1</v>
      </c>
    </row>
    <row r="2210" spans="1:25" x14ac:dyDescent="0.2">
      <c r="A2210">
        <v>3503</v>
      </c>
      <c r="B2210" t="s">
        <v>4962</v>
      </c>
      <c r="C2210" t="s">
        <v>18</v>
      </c>
      <c r="D2210" t="s">
        <v>1244</v>
      </c>
      <c r="E2210" t="s">
        <v>1245</v>
      </c>
      <c r="F2210" t="s">
        <v>78</v>
      </c>
      <c r="G2210" t="s">
        <v>24</v>
      </c>
      <c r="H2210" t="b">
        <v>0</v>
      </c>
      <c r="I2210" t="b">
        <v>0</v>
      </c>
      <c r="L2210" t="b">
        <v>0</v>
      </c>
      <c r="M2210" t="s">
        <v>1246</v>
      </c>
      <c r="N2210" t="s">
        <v>1247</v>
      </c>
    </row>
    <row r="2211" spans="1:25" x14ac:dyDescent="0.2">
      <c r="A2211">
        <v>3504</v>
      </c>
      <c r="B2211" t="s">
        <v>4962</v>
      </c>
      <c r="C2211" t="s">
        <v>18</v>
      </c>
      <c r="D2211" t="s">
        <v>3080</v>
      </c>
      <c r="E2211" t="s">
        <v>3081</v>
      </c>
      <c r="F2211" t="s">
        <v>151</v>
      </c>
      <c r="G2211" t="s">
        <v>24</v>
      </c>
      <c r="H2211" t="b">
        <v>0</v>
      </c>
      <c r="I2211" t="b">
        <v>0</v>
      </c>
      <c r="L2211" t="b">
        <v>0</v>
      </c>
      <c r="M2211" t="s">
        <v>3082</v>
      </c>
      <c r="N2211" t="s">
        <v>3083</v>
      </c>
    </row>
    <row r="2212" spans="1:25" x14ac:dyDescent="0.2">
      <c r="A2212">
        <v>3505</v>
      </c>
      <c r="B2212" t="s">
        <v>4962</v>
      </c>
      <c r="C2212" t="s">
        <v>18</v>
      </c>
      <c r="D2212" t="s">
        <v>4971</v>
      </c>
      <c r="E2212" t="s">
        <v>4972</v>
      </c>
      <c r="F2212" t="s">
        <v>670</v>
      </c>
      <c r="G2212" t="s">
        <v>24</v>
      </c>
      <c r="H2212" t="b">
        <v>0</v>
      </c>
      <c r="I2212" t="b">
        <v>0</v>
      </c>
      <c r="L2212" t="b">
        <v>0</v>
      </c>
      <c r="M2212" t="s">
        <v>4973</v>
      </c>
      <c r="N2212" t="s">
        <v>4974</v>
      </c>
      <c r="O2212" t="s">
        <v>4975</v>
      </c>
    </row>
    <row r="2214" spans="1:25" x14ac:dyDescent="0.2">
      <c r="A2214" s="2">
        <v>3507</v>
      </c>
      <c r="B2214" s="2" t="s">
        <v>4976</v>
      </c>
      <c r="C2214" s="2" t="s">
        <v>13</v>
      </c>
      <c r="D2214" s="2" t="s">
        <v>1858</v>
      </c>
      <c r="E2214" s="2" t="s">
        <v>4977</v>
      </c>
      <c r="F2214" s="2" t="s">
        <v>248</v>
      </c>
      <c r="G2214" s="2" t="s">
        <v>134</v>
      </c>
      <c r="H2214" s="2"/>
      <c r="I2214" s="2"/>
      <c r="J2214" s="2"/>
      <c r="K2214" s="2"/>
      <c r="L2214" s="2"/>
      <c r="M2214" s="2"/>
      <c r="N2214" s="2"/>
      <c r="O2214" s="2"/>
      <c r="P2214" s="2"/>
      <c r="Q2214" s="2"/>
      <c r="R2214" s="2"/>
      <c r="S2214" s="2"/>
      <c r="T2214" s="2"/>
      <c r="U2214" s="2"/>
      <c r="V2214" s="2"/>
      <c r="W2214" s="2"/>
      <c r="X2214" s="2"/>
      <c r="Y2214" s="2"/>
    </row>
    <row r="2215" spans="1:25" x14ac:dyDescent="0.2">
      <c r="A2215">
        <v>3508</v>
      </c>
      <c r="B2215" t="s">
        <v>4976</v>
      </c>
      <c r="C2215" t="s">
        <v>18</v>
      </c>
      <c r="D2215" t="s">
        <v>1858</v>
      </c>
      <c r="E2215" t="s">
        <v>1859</v>
      </c>
      <c r="F2215" t="s">
        <v>248</v>
      </c>
      <c r="G2215" t="s">
        <v>134</v>
      </c>
      <c r="H2215" t="b">
        <v>1</v>
      </c>
      <c r="I2215" t="b">
        <v>1</v>
      </c>
      <c r="L2215" t="b">
        <v>1</v>
      </c>
      <c r="M2215" t="s">
        <v>1860</v>
      </c>
      <c r="N2215" t="s">
        <v>1861</v>
      </c>
    </row>
    <row r="2216" spans="1:25" x14ac:dyDescent="0.2">
      <c r="A2216">
        <v>3509</v>
      </c>
      <c r="B2216" t="s">
        <v>4976</v>
      </c>
      <c r="C2216" t="s">
        <v>18</v>
      </c>
      <c r="D2216" t="s">
        <v>4978</v>
      </c>
      <c r="E2216" t="s">
        <v>3395</v>
      </c>
      <c r="F2216" t="s">
        <v>248</v>
      </c>
      <c r="G2216" t="s">
        <v>134</v>
      </c>
      <c r="H2216" t="b">
        <v>1</v>
      </c>
      <c r="I2216" t="b">
        <v>1</v>
      </c>
      <c r="L2216" t="b">
        <v>1</v>
      </c>
      <c r="M2216" t="s">
        <v>4979</v>
      </c>
    </row>
    <row r="2217" spans="1:25" x14ac:dyDescent="0.2">
      <c r="A2217">
        <v>3510</v>
      </c>
      <c r="B2217" t="s">
        <v>4976</v>
      </c>
      <c r="C2217" t="s">
        <v>18</v>
      </c>
      <c r="D2217" t="s">
        <v>1851</v>
      </c>
      <c r="E2217" t="s">
        <v>1850</v>
      </c>
      <c r="F2217" t="s">
        <v>248</v>
      </c>
      <c r="G2217" t="s">
        <v>134</v>
      </c>
      <c r="H2217" t="b">
        <v>0</v>
      </c>
      <c r="I2217" t="b">
        <v>0</v>
      </c>
      <c r="L2217" t="b">
        <v>0</v>
      </c>
      <c r="M2217" t="s">
        <v>1852</v>
      </c>
      <c r="N2217" t="s">
        <v>1853</v>
      </c>
    </row>
    <row r="2218" spans="1:25" x14ac:dyDescent="0.2">
      <c r="A2218">
        <v>3511</v>
      </c>
      <c r="B2218" t="s">
        <v>4976</v>
      </c>
      <c r="C2218" t="s">
        <v>18</v>
      </c>
      <c r="D2218" t="s">
        <v>4980</v>
      </c>
      <c r="E2218" t="s">
        <v>1038</v>
      </c>
      <c r="F2218" t="s">
        <v>369</v>
      </c>
      <c r="G2218" t="s">
        <v>134</v>
      </c>
      <c r="H2218" t="b">
        <v>0</v>
      </c>
      <c r="I2218" t="b">
        <v>0</v>
      </c>
      <c r="L2218" t="b">
        <v>0</v>
      </c>
      <c r="M2218" t="s">
        <v>4981</v>
      </c>
    </row>
    <row r="2219" spans="1:25" x14ac:dyDescent="0.2">
      <c r="A2219">
        <v>3512</v>
      </c>
      <c r="B2219" t="s">
        <v>4976</v>
      </c>
      <c r="C2219" t="s">
        <v>18</v>
      </c>
      <c r="D2219" t="s">
        <v>4982</v>
      </c>
      <c r="E2219" t="s">
        <v>4983</v>
      </c>
      <c r="F2219" t="s">
        <v>510</v>
      </c>
      <c r="G2219" t="s">
        <v>134</v>
      </c>
      <c r="H2219" t="b">
        <v>0</v>
      </c>
      <c r="I2219" t="b">
        <v>0</v>
      </c>
      <c r="L2219" t="b">
        <v>0</v>
      </c>
    </row>
    <row r="2221" spans="1:25" x14ac:dyDescent="0.2">
      <c r="A2221" s="2">
        <v>3514</v>
      </c>
      <c r="B2221" s="2" t="s">
        <v>4984</v>
      </c>
      <c r="C2221" s="2" t="s">
        <v>13</v>
      </c>
      <c r="D2221" s="2" t="s">
        <v>4985</v>
      </c>
      <c r="E2221" s="2" t="s">
        <v>4986</v>
      </c>
      <c r="F2221" s="2" t="s">
        <v>31</v>
      </c>
      <c r="G2221" s="2" t="s">
        <v>17</v>
      </c>
      <c r="H2221" s="2"/>
      <c r="I2221" s="2"/>
      <c r="J2221" s="2"/>
      <c r="K2221" s="2"/>
      <c r="L2221" s="2"/>
      <c r="M2221" s="2"/>
      <c r="N2221" s="2"/>
      <c r="O2221" s="2"/>
      <c r="P2221" s="2"/>
      <c r="Q2221" s="2"/>
      <c r="R2221" s="2"/>
      <c r="S2221" s="2"/>
      <c r="T2221" s="2"/>
      <c r="U2221" s="2"/>
      <c r="V2221" s="2"/>
      <c r="W2221" s="2"/>
      <c r="X2221" s="2"/>
      <c r="Y2221" s="2"/>
    </row>
    <row r="2222" spans="1:25" x14ac:dyDescent="0.2">
      <c r="A2222">
        <v>3515</v>
      </c>
      <c r="B2222" t="s">
        <v>4984</v>
      </c>
      <c r="C2222" t="s">
        <v>18</v>
      </c>
      <c r="D2222" t="s">
        <v>4985</v>
      </c>
      <c r="E2222" t="s">
        <v>4987</v>
      </c>
      <c r="F2222" t="s">
        <v>31</v>
      </c>
      <c r="G2222" t="s">
        <v>17</v>
      </c>
      <c r="H2222" t="b">
        <v>1</v>
      </c>
      <c r="K2222" t="b">
        <v>1</v>
      </c>
      <c r="L2222" t="b">
        <v>1</v>
      </c>
      <c r="M2222" t="s">
        <v>4988</v>
      </c>
      <c r="N2222" t="s">
        <v>4989</v>
      </c>
    </row>
    <row r="2223" spans="1:25" x14ac:dyDescent="0.2">
      <c r="A2223">
        <v>3516</v>
      </c>
      <c r="B2223" t="s">
        <v>4984</v>
      </c>
      <c r="C2223" t="s">
        <v>18</v>
      </c>
      <c r="D2223" t="s">
        <v>4990</v>
      </c>
      <c r="E2223" t="s">
        <v>1558</v>
      </c>
      <c r="F2223" t="s">
        <v>31</v>
      </c>
      <c r="G2223" t="s">
        <v>17</v>
      </c>
      <c r="H2223" t="b">
        <v>1</v>
      </c>
      <c r="K2223" t="b">
        <v>1</v>
      </c>
      <c r="L2223" t="b">
        <v>1</v>
      </c>
      <c r="M2223" t="s">
        <v>4991</v>
      </c>
      <c r="N2223" t="s">
        <v>4992</v>
      </c>
    </row>
    <row r="2224" spans="1:25" x14ac:dyDescent="0.2">
      <c r="A2224">
        <v>3517</v>
      </c>
      <c r="B2224" t="s">
        <v>4984</v>
      </c>
      <c r="C2224" t="s">
        <v>18</v>
      </c>
      <c r="D2224" t="s">
        <v>3136</v>
      </c>
      <c r="E2224" t="s">
        <v>3137</v>
      </c>
      <c r="F2224" t="s">
        <v>78</v>
      </c>
      <c r="G2224" t="s">
        <v>1047</v>
      </c>
      <c r="H2224" t="b">
        <v>0</v>
      </c>
      <c r="K2224" t="b">
        <v>0</v>
      </c>
      <c r="L2224" t="b">
        <v>0</v>
      </c>
      <c r="M2224" t="s">
        <v>3138</v>
      </c>
    </row>
    <row r="2225" spans="1:25" x14ac:dyDescent="0.2">
      <c r="A2225">
        <v>3518</v>
      </c>
      <c r="B2225" t="s">
        <v>4984</v>
      </c>
      <c r="C2225" t="s">
        <v>18</v>
      </c>
      <c r="D2225" t="s">
        <v>4993</v>
      </c>
      <c r="E2225" t="s">
        <v>4994</v>
      </c>
      <c r="F2225" t="s">
        <v>574</v>
      </c>
      <c r="G2225" t="s">
        <v>193</v>
      </c>
      <c r="H2225" t="b">
        <v>0</v>
      </c>
      <c r="K2225" t="b">
        <v>0</v>
      </c>
      <c r="L2225" t="b">
        <v>0</v>
      </c>
      <c r="M2225" t="s">
        <v>4995</v>
      </c>
    </row>
    <row r="2226" spans="1:25" x14ac:dyDescent="0.2">
      <c r="A2226">
        <v>3519</v>
      </c>
      <c r="B2226" t="s">
        <v>4984</v>
      </c>
      <c r="C2226" t="s">
        <v>18</v>
      </c>
      <c r="D2226" t="s">
        <v>21</v>
      </c>
      <c r="E2226" t="s">
        <v>22</v>
      </c>
      <c r="F2226" t="s">
        <v>23</v>
      </c>
      <c r="G2226" t="s">
        <v>24</v>
      </c>
      <c r="H2226" t="b">
        <v>0</v>
      </c>
      <c r="K2226" t="b">
        <v>0</v>
      </c>
      <c r="L2226" t="b">
        <v>0</v>
      </c>
      <c r="M2226" t="s">
        <v>4996</v>
      </c>
      <c r="N2226" t="s">
        <v>4997</v>
      </c>
    </row>
    <row r="2228" spans="1:25" x14ac:dyDescent="0.2">
      <c r="A2228" s="2">
        <v>3521</v>
      </c>
      <c r="B2228" s="2" t="s">
        <v>4998</v>
      </c>
      <c r="C2228" s="2" t="s">
        <v>13</v>
      </c>
      <c r="D2228" s="2" t="s">
        <v>4999</v>
      </c>
      <c r="E2228" s="2" t="s">
        <v>5000</v>
      </c>
      <c r="F2228" s="2" t="s">
        <v>16</v>
      </c>
      <c r="G2228" s="2" t="s">
        <v>252</v>
      </c>
      <c r="H2228" s="2"/>
      <c r="I2228" s="2"/>
      <c r="J2228" s="2"/>
      <c r="K2228" s="2"/>
      <c r="L2228" s="2"/>
      <c r="M2228" s="2"/>
      <c r="N2228" s="2"/>
      <c r="O2228" s="2"/>
      <c r="P2228" s="2"/>
      <c r="Q2228" s="2"/>
      <c r="R2228" s="2"/>
      <c r="S2228" s="2"/>
      <c r="T2228" s="2"/>
      <c r="U2228" s="2"/>
      <c r="V2228" s="2"/>
      <c r="W2228" s="2"/>
      <c r="X2228" s="2"/>
      <c r="Y2228" s="2"/>
    </row>
    <row r="2229" spans="1:25" x14ac:dyDescent="0.2">
      <c r="A2229">
        <v>3522</v>
      </c>
      <c r="B2229" t="s">
        <v>4998</v>
      </c>
      <c r="C2229" t="s">
        <v>18</v>
      </c>
      <c r="D2229" t="s">
        <v>4999</v>
      </c>
      <c r="E2229" t="s">
        <v>5000</v>
      </c>
      <c r="F2229" t="s">
        <v>16</v>
      </c>
      <c r="G2229" t="s">
        <v>252</v>
      </c>
      <c r="H2229" t="b">
        <v>1</v>
      </c>
      <c r="K2229" t="b">
        <v>1</v>
      </c>
      <c r="L2229" t="b">
        <v>1</v>
      </c>
      <c r="M2229" t="s">
        <v>5001</v>
      </c>
      <c r="N2229" t="s">
        <v>5002</v>
      </c>
    </row>
    <row r="2230" spans="1:25" x14ac:dyDescent="0.2">
      <c r="A2230">
        <v>3523</v>
      </c>
      <c r="B2230" t="s">
        <v>4998</v>
      </c>
      <c r="C2230" t="s">
        <v>18</v>
      </c>
      <c r="D2230" t="s">
        <v>5003</v>
      </c>
      <c r="E2230" t="s">
        <v>5004</v>
      </c>
      <c r="F2230" t="s">
        <v>16</v>
      </c>
      <c r="G2230" t="s">
        <v>252</v>
      </c>
      <c r="H2230" t="b">
        <v>0</v>
      </c>
      <c r="K2230" t="b">
        <v>0</v>
      </c>
      <c r="L2230" t="b">
        <v>0</v>
      </c>
      <c r="M2230" t="s">
        <v>5005</v>
      </c>
      <c r="N2230" t="s">
        <v>5006</v>
      </c>
    </row>
    <row r="2231" spans="1:25" x14ac:dyDescent="0.2">
      <c r="A2231">
        <v>3524</v>
      </c>
      <c r="B2231" t="s">
        <v>4998</v>
      </c>
      <c r="C2231" t="s">
        <v>18</v>
      </c>
      <c r="D2231" t="s">
        <v>5007</v>
      </c>
      <c r="E2231" t="s">
        <v>5008</v>
      </c>
      <c r="F2231" t="s">
        <v>16</v>
      </c>
      <c r="G2231" t="s">
        <v>17</v>
      </c>
      <c r="H2231" t="b">
        <v>0</v>
      </c>
      <c r="K2231" t="b">
        <v>0</v>
      </c>
      <c r="L2231" t="b">
        <v>0</v>
      </c>
    </row>
    <row r="2232" spans="1:25" x14ac:dyDescent="0.2">
      <c r="A2232">
        <v>3525</v>
      </c>
      <c r="B2232" t="s">
        <v>4998</v>
      </c>
      <c r="C2232" t="s">
        <v>18</v>
      </c>
      <c r="D2232" t="s">
        <v>5009</v>
      </c>
      <c r="E2232" t="s">
        <v>5010</v>
      </c>
      <c r="F2232" t="s">
        <v>16</v>
      </c>
      <c r="G2232" t="s">
        <v>17</v>
      </c>
      <c r="H2232" t="b">
        <v>0</v>
      </c>
      <c r="K2232" t="b">
        <v>0</v>
      </c>
      <c r="L2232" t="b">
        <v>0</v>
      </c>
    </row>
    <row r="2233" spans="1:25" x14ac:dyDescent="0.2">
      <c r="A2233">
        <v>3526</v>
      </c>
      <c r="B2233" t="s">
        <v>4998</v>
      </c>
      <c r="C2233" t="s">
        <v>18</v>
      </c>
      <c r="D2233" t="s">
        <v>5011</v>
      </c>
      <c r="E2233" t="s">
        <v>5012</v>
      </c>
      <c r="F2233" t="s">
        <v>16</v>
      </c>
      <c r="G2233" t="s">
        <v>24</v>
      </c>
      <c r="H2233" t="b">
        <v>0</v>
      </c>
      <c r="K2233" t="b">
        <v>0</v>
      </c>
      <c r="L2233" t="b">
        <v>0</v>
      </c>
      <c r="M2233" t="s">
        <v>5013</v>
      </c>
      <c r="N2233" t="s">
        <v>5014</v>
      </c>
    </row>
    <row r="2235" spans="1:25" x14ac:dyDescent="0.2">
      <c r="A2235" s="2">
        <v>3528</v>
      </c>
      <c r="B2235" s="2" t="s">
        <v>5015</v>
      </c>
      <c r="C2235" s="2" t="s">
        <v>13</v>
      </c>
      <c r="D2235" s="2" t="s">
        <v>5016</v>
      </c>
      <c r="E2235" s="2" t="s">
        <v>5017</v>
      </c>
      <c r="F2235" s="2" t="s">
        <v>16</v>
      </c>
      <c r="G2235" s="2" t="s">
        <v>62</v>
      </c>
      <c r="H2235" s="2"/>
      <c r="I2235" s="2"/>
      <c r="J2235" s="2"/>
      <c r="K2235" s="2"/>
      <c r="L2235" s="2"/>
      <c r="M2235" s="2"/>
      <c r="N2235" s="2"/>
      <c r="O2235" s="2"/>
      <c r="P2235" s="2"/>
      <c r="Q2235" s="2"/>
      <c r="R2235" s="2"/>
      <c r="S2235" s="2"/>
      <c r="T2235" s="2"/>
      <c r="U2235" s="2"/>
      <c r="V2235" s="2"/>
      <c r="W2235" s="2"/>
      <c r="X2235" s="2"/>
      <c r="Y2235" s="2"/>
    </row>
    <row r="2236" spans="1:25" x14ac:dyDescent="0.2">
      <c r="A2236">
        <v>3529</v>
      </c>
      <c r="B2236" t="s">
        <v>5015</v>
      </c>
      <c r="C2236" t="s">
        <v>18</v>
      </c>
      <c r="D2236" t="s">
        <v>5016</v>
      </c>
      <c r="E2236" t="s">
        <v>5018</v>
      </c>
      <c r="F2236" t="s">
        <v>16</v>
      </c>
      <c r="G2236" t="s">
        <v>62</v>
      </c>
      <c r="H2236" t="b">
        <v>1</v>
      </c>
      <c r="I2236" t="b">
        <v>1</v>
      </c>
      <c r="L2236" t="b">
        <v>1</v>
      </c>
      <c r="M2236" t="s">
        <v>5019</v>
      </c>
    </row>
    <row r="2237" spans="1:25" x14ac:dyDescent="0.2">
      <c r="A2237">
        <v>3530</v>
      </c>
      <c r="B2237" t="s">
        <v>5015</v>
      </c>
      <c r="C2237" t="s">
        <v>18</v>
      </c>
      <c r="D2237" t="s">
        <v>5020</v>
      </c>
      <c r="E2237" t="s">
        <v>5021</v>
      </c>
      <c r="F2237" t="s">
        <v>16</v>
      </c>
      <c r="G2237" t="s">
        <v>62</v>
      </c>
      <c r="H2237" t="b">
        <v>1</v>
      </c>
      <c r="I2237" t="b">
        <v>1</v>
      </c>
      <c r="L2237" t="b">
        <v>1</v>
      </c>
      <c r="M2237" t="s">
        <v>5022</v>
      </c>
    </row>
    <row r="2238" spans="1:25" x14ac:dyDescent="0.2">
      <c r="A2238">
        <v>3531</v>
      </c>
      <c r="B2238" t="s">
        <v>5015</v>
      </c>
      <c r="C2238" t="s">
        <v>18</v>
      </c>
      <c r="D2238" t="s">
        <v>5023</v>
      </c>
      <c r="E2238" t="s">
        <v>5024</v>
      </c>
      <c r="F2238" t="s">
        <v>16</v>
      </c>
      <c r="G2238" t="s">
        <v>62</v>
      </c>
      <c r="H2238" t="b">
        <v>0</v>
      </c>
      <c r="I2238" t="b">
        <v>0</v>
      </c>
      <c r="L2238" t="b">
        <v>0</v>
      </c>
    </row>
    <row r="2239" spans="1:25" x14ac:dyDescent="0.2">
      <c r="A2239">
        <v>3532</v>
      </c>
      <c r="B2239" t="s">
        <v>5015</v>
      </c>
      <c r="C2239" t="s">
        <v>18</v>
      </c>
      <c r="D2239" t="s">
        <v>5003</v>
      </c>
      <c r="E2239" t="s">
        <v>5004</v>
      </c>
      <c r="F2239" t="s">
        <v>16</v>
      </c>
      <c r="G2239" t="s">
        <v>252</v>
      </c>
      <c r="H2239" t="b">
        <v>0</v>
      </c>
      <c r="I2239" t="b">
        <v>0</v>
      </c>
      <c r="L2239" t="b">
        <v>0</v>
      </c>
      <c r="M2239" t="s">
        <v>5005</v>
      </c>
      <c r="N2239" t="s">
        <v>5006</v>
      </c>
    </row>
    <row r="2240" spans="1:25" x14ac:dyDescent="0.2">
      <c r="A2240">
        <v>3533</v>
      </c>
      <c r="B2240" t="s">
        <v>5015</v>
      </c>
      <c r="C2240" t="s">
        <v>18</v>
      </c>
      <c r="D2240" t="s">
        <v>5007</v>
      </c>
      <c r="E2240" t="s">
        <v>5008</v>
      </c>
      <c r="F2240" t="s">
        <v>16</v>
      </c>
      <c r="G2240" t="s">
        <v>17</v>
      </c>
      <c r="H2240" t="b">
        <v>0</v>
      </c>
      <c r="I2240" t="b">
        <v>0</v>
      </c>
      <c r="L2240" t="b">
        <v>0</v>
      </c>
    </row>
    <row r="2242" spans="1:25" x14ac:dyDescent="0.2">
      <c r="A2242" s="2">
        <v>3556</v>
      </c>
      <c r="B2242" s="2" t="s">
        <v>5025</v>
      </c>
      <c r="C2242" s="2" t="s">
        <v>13</v>
      </c>
      <c r="D2242" s="2" t="s">
        <v>5026</v>
      </c>
      <c r="E2242" s="2" t="s">
        <v>5027</v>
      </c>
      <c r="F2242" s="2" t="s">
        <v>78</v>
      </c>
      <c r="G2242" s="2" t="s">
        <v>17</v>
      </c>
      <c r="H2242" s="2"/>
      <c r="I2242" s="2"/>
      <c r="J2242" s="2"/>
      <c r="K2242" s="2"/>
      <c r="L2242" s="2"/>
      <c r="M2242" s="2"/>
      <c r="N2242" s="2"/>
      <c r="O2242" s="2"/>
      <c r="P2242" s="2"/>
      <c r="Q2242" s="2"/>
      <c r="R2242" s="2"/>
      <c r="S2242" s="2"/>
      <c r="T2242" s="2"/>
      <c r="U2242" s="2"/>
      <c r="V2242" s="2"/>
      <c r="W2242" s="2"/>
      <c r="X2242" s="2"/>
      <c r="Y2242" s="2"/>
    </row>
    <row r="2243" spans="1:25" x14ac:dyDescent="0.2">
      <c r="A2243">
        <v>3557</v>
      </c>
      <c r="B2243" t="s">
        <v>5025</v>
      </c>
      <c r="C2243" t="s">
        <v>18</v>
      </c>
      <c r="D2243" t="s">
        <v>5026</v>
      </c>
      <c r="E2243" t="s">
        <v>5028</v>
      </c>
      <c r="F2243" t="s">
        <v>78</v>
      </c>
      <c r="G2243" t="s">
        <v>17</v>
      </c>
      <c r="H2243" t="b">
        <v>1</v>
      </c>
      <c r="K2243" t="b">
        <v>1</v>
      </c>
      <c r="L2243" t="b">
        <v>1</v>
      </c>
      <c r="M2243" t="s">
        <v>5029</v>
      </c>
      <c r="N2243" t="s">
        <v>5030</v>
      </c>
      <c r="O2243" t="s">
        <v>5031</v>
      </c>
      <c r="P2243" t="s">
        <v>5032</v>
      </c>
    </row>
    <row r="2244" spans="1:25" x14ac:dyDescent="0.2">
      <c r="A2244">
        <v>3558</v>
      </c>
      <c r="B2244" t="s">
        <v>5025</v>
      </c>
      <c r="C2244" t="s">
        <v>18</v>
      </c>
      <c r="D2244" t="s">
        <v>1618</v>
      </c>
      <c r="E2244" t="s">
        <v>1619</v>
      </c>
      <c r="F2244" t="s">
        <v>31</v>
      </c>
      <c r="G2244" t="s">
        <v>17</v>
      </c>
      <c r="H2244" t="b">
        <v>0</v>
      </c>
      <c r="K2244" t="b">
        <v>0</v>
      </c>
      <c r="L2244" t="b">
        <v>0</v>
      </c>
      <c r="M2244" t="s">
        <v>1620</v>
      </c>
      <c r="N2244" t="s">
        <v>1621</v>
      </c>
      <c r="O2244" t="s">
        <v>1622</v>
      </c>
    </row>
    <row r="2245" spans="1:25" x14ac:dyDescent="0.2">
      <c r="A2245">
        <v>3559</v>
      </c>
      <c r="B2245" t="s">
        <v>5025</v>
      </c>
      <c r="C2245" t="s">
        <v>18</v>
      </c>
      <c r="D2245" t="s">
        <v>1623</v>
      </c>
      <c r="E2245" t="s">
        <v>1624</v>
      </c>
      <c r="F2245" t="s">
        <v>78</v>
      </c>
      <c r="G2245" t="s">
        <v>88</v>
      </c>
      <c r="H2245" t="b">
        <v>0</v>
      </c>
      <c r="K2245" t="b">
        <v>0</v>
      </c>
      <c r="L2245" t="b">
        <v>0</v>
      </c>
      <c r="M2245" t="s">
        <v>1625</v>
      </c>
      <c r="N2245" t="s">
        <v>1626</v>
      </c>
      <c r="O2245" t="s">
        <v>1627</v>
      </c>
      <c r="P2245" t="s">
        <v>1628</v>
      </c>
    </row>
    <row r="2246" spans="1:25" x14ac:dyDescent="0.2">
      <c r="A2246">
        <v>3560</v>
      </c>
      <c r="B2246" t="s">
        <v>5025</v>
      </c>
      <c r="C2246" t="s">
        <v>18</v>
      </c>
      <c r="D2246" t="s">
        <v>2905</v>
      </c>
      <c r="E2246" t="s">
        <v>2906</v>
      </c>
      <c r="F2246" t="s">
        <v>174</v>
      </c>
      <c r="G2246" t="s">
        <v>17</v>
      </c>
      <c r="H2246" t="b">
        <v>0</v>
      </c>
      <c r="K2246" t="b">
        <v>0</v>
      </c>
      <c r="L2246" t="b">
        <v>0</v>
      </c>
      <c r="M2246" t="s">
        <v>2907</v>
      </c>
      <c r="N2246" t="s">
        <v>2908</v>
      </c>
    </row>
    <row r="2247" spans="1:25" x14ac:dyDescent="0.2">
      <c r="A2247">
        <v>3561</v>
      </c>
      <c r="B2247" t="s">
        <v>5025</v>
      </c>
      <c r="C2247" t="s">
        <v>18</v>
      </c>
      <c r="D2247" t="s">
        <v>415</v>
      </c>
      <c r="E2247" t="s">
        <v>416</v>
      </c>
      <c r="F2247" t="s">
        <v>159</v>
      </c>
      <c r="G2247" t="s">
        <v>417</v>
      </c>
      <c r="H2247" t="b">
        <v>0</v>
      </c>
      <c r="K2247" t="b">
        <v>0</v>
      </c>
      <c r="L2247" t="b">
        <v>0</v>
      </c>
      <c r="M2247" t="s">
        <v>1543</v>
      </c>
      <c r="N2247" t="s">
        <v>1544</v>
      </c>
    </row>
    <row r="2249" spans="1:25" x14ac:dyDescent="0.2">
      <c r="A2249" s="2">
        <v>3570</v>
      </c>
      <c r="B2249" s="2" t="s">
        <v>5033</v>
      </c>
      <c r="C2249" s="2" t="s">
        <v>13</v>
      </c>
      <c r="D2249" s="2" t="s">
        <v>5034</v>
      </c>
      <c r="E2249" s="2" t="s">
        <v>5035</v>
      </c>
      <c r="F2249" s="2" t="s">
        <v>174</v>
      </c>
      <c r="G2249" s="2" t="s">
        <v>24</v>
      </c>
      <c r="H2249" s="2"/>
      <c r="I2249" s="2"/>
      <c r="J2249" s="2"/>
      <c r="K2249" s="2"/>
      <c r="L2249" s="2"/>
      <c r="M2249" s="2"/>
      <c r="N2249" s="2"/>
      <c r="O2249" s="2"/>
      <c r="P2249" s="2"/>
      <c r="Q2249" s="2"/>
      <c r="R2249" s="2"/>
      <c r="S2249" s="2"/>
      <c r="T2249" s="2"/>
      <c r="U2249" s="2"/>
      <c r="V2249" s="2"/>
      <c r="W2249" s="2"/>
      <c r="X2249" s="2"/>
      <c r="Y2249" s="2"/>
    </row>
    <row r="2250" spans="1:25" x14ac:dyDescent="0.2">
      <c r="A2250">
        <v>3571</v>
      </c>
      <c r="B2250" t="s">
        <v>5033</v>
      </c>
      <c r="C2250" t="s">
        <v>18</v>
      </c>
      <c r="D2250" t="s">
        <v>5034</v>
      </c>
      <c r="E2250" t="s">
        <v>5035</v>
      </c>
      <c r="F2250" t="s">
        <v>174</v>
      </c>
      <c r="G2250" t="s">
        <v>24</v>
      </c>
      <c r="H2250" t="b">
        <v>1</v>
      </c>
      <c r="K2250" t="b">
        <v>1</v>
      </c>
      <c r="L2250" t="b">
        <v>1</v>
      </c>
      <c r="M2250" t="s">
        <v>5036</v>
      </c>
      <c r="N2250" t="s">
        <v>5037</v>
      </c>
    </row>
    <row r="2251" spans="1:25" x14ac:dyDescent="0.2">
      <c r="A2251">
        <v>3572</v>
      </c>
      <c r="B2251" t="s">
        <v>5033</v>
      </c>
      <c r="C2251" t="s">
        <v>18</v>
      </c>
      <c r="D2251" t="s">
        <v>5038</v>
      </c>
      <c r="E2251" t="s">
        <v>5039</v>
      </c>
      <c r="F2251" t="s">
        <v>174</v>
      </c>
      <c r="G2251" t="s">
        <v>24</v>
      </c>
      <c r="H2251" t="b">
        <v>0</v>
      </c>
      <c r="K2251" t="b">
        <v>0</v>
      </c>
      <c r="L2251" t="b">
        <v>0</v>
      </c>
    </row>
    <row r="2252" spans="1:25" x14ac:dyDescent="0.2">
      <c r="A2252">
        <v>3573</v>
      </c>
      <c r="B2252" t="s">
        <v>5033</v>
      </c>
      <c r="C2252" t="s">
        <v>18</v>
      </c>
      <c r="D2252" t="s">
        <v>5040</v>
      </c>
      <c r="E2252" t="s">
        <v>5041</v>
      </c>
      <c r="F2252" t="s">
        <v>78</v>
      </c>
      <c r="G2252" t="s">
        <v>24</v>
      </c>
      <c r="H2252" t="b">
        <v>0</v>
      </c>
      <c r="K2252" t="b">
        <v>0</v>
      </c>
      <c r="L2252" t="b">
        <v>0</v>
      </c>
      <c r="M2252" t="s">
        <v>5042</v>
      </c>
      <c r="N2252" t="s">
        <v>5043</v>
      </c>
    </row>
    <row r="2253" spans="1:25" x14ac:dyDescent="0.2">
      <c r="A2253">
        <v>3574</v>
      </c>
      <c r="B2253" t="s">
        <v>5033</v>
      </c>
      <c r="C2253" t="s">
        <v>18</v>
      </c>
      <c r="D2253" t="s">
        <v>5044</v>
      </c>
      <c r="E2253" t="s">
        <v>5045</v>
      </c>
      <c r="F2253" t="s">
        <v>174</v>
      </c>
      <c r="G2253" t="s">
        <v>24</v>
      </c>
      <c r="H2253" t="b">
        <v>0</v>
      </c>
      <c r="K2253" t="b">
        <v>0</v>
      </c>
      <c r="L2253" t="b">
        <v>0</v>
      </c>
      <c r="M2253" t="s">
        <v>5046</v>
      </c>
      <c r="N2253" t="s">
        <v>745</v>
      </c>
    </row>
    <row r="2254" spans="1:25" x14ac:dyDescent="0.2">
      <c r="A2254">
        <v>3575</v>
      </c>
      <c r="B2254" t="s">
        <v>5033</v>
      </c>
      <c r="C2254" t="s">
        <v>18</v>
      </c>
      <c r="D2254" t="s">
        <v>5047</v>
      </c>
      <c r="E2254" t="s">
        <v>2361</v>
      </c>
      <c r="F2254" t="s">
        <v>31</v>
      </c>
      <c r="G2254" t="s">
        <v>24</v>
      </c>
      <c r="H2254" t="b">
        <v>0</v>
      </c>
      <c r="K2254" t="b">
        <v>0</v>
      </c>
      <c r="L2254" t="b">
        <v>0</v>
      </c>
      <c r="M2254" t="s">
        <v>5048</v>
      </c>
    </row>
    <row r="2256" spans="1:25" x14ac:dyDescent="0.2">
      <c r="A2256" s="2">
        <v>3591</v>
      </c>
      <c r="B2256" s="2" t="s">
        <v>5049</v>
      </c>
      <c r="C2256" s="2" t="s">
        <v>13</v>
      </c>
      <c r="D2256" s="2" t="s">
        <v>5050</v>
      </c>
      <c r="E2256" s="2" t="s">
        <v>5051</v>
      </c>
      <c r="F2256" s="2" t="s">
        <v>200</v>
      </c>
      <c r="G2256" s="2" t="s">
        <v>638</v>
      </c>
      <c r="H2256" s="2"/>
      <c r="I2256" s="2"/>
      <c r="J2256" s="2"/>
      <c r="K2256" s="2"/>
      <c r="L2256" s="2"/>
      <c r="M2256" s="2"/>
      <c r="N2256" s="2"/>
      <c r="O2256" s="2"/>
      <c r="P2256" s="2"/>
      <c r="Q2256" s="2"/>
      <c r="R2256" s="2"/>
      <c r="S2256" s="2"/>
      <c r="T2256" s="2"/>
      <c r="U2256" s="2"/>
      <c r="V2256" s="2"/>
      <c r="W2256" s="2"/>
      <c r="X2256" s="2"/>
      <c r="Y2256" s="2"/>
    </row>
    <row r="2257" spans="1:25" x14ac:dyDescent="0.2">
      <c r="A2257">
        <v>3592</v>
      </c>
      <c r="B2257" t="s">
        <v>5049</v>
      </c>
      <c r="C2257" t="s">
        <v>18</v>
      </c>
      <c r="D2257" t="s">
        <v>5050</v>
      </c>
      <c r="E2257" t="s">
        <v>5051</v>
      </c>
      <c r="F2257" t="s">
        <v>200</v>
      </c>
      <c r="G2257" t="s">
        <v>638</v>
      </c>
      <c r="H2257" t="b">
        <v>1</v>
      </c>
      <c r="I2257" t="b">
        <v>1</v>
      </c>
      <c r="L2257" t="b">
        <v>1</v>
      </c>
      <c r="M2257" t="s">
        <v>5052</v>
      </c>
      <c r="N2257" t="s">
        <v>745</v>
      </c>
    </row>
    <row r="2258" spans="1:25" x14ac:dyDescent="0.2">
      <c r="A2258">
        <v>3593</v>
      </c>
      <c r="B2258" t="s">
        <v>5049</v>
      </c>
      <c r="C2258" t="s">
        <v>18</v>
      </c>
      <c r="D2258" t="s">
        <v>5053</v>
      </c>
      <c r="E2258" t="s">
        <v>5054</v>
      </c>
      <c r="F2258" t="s">
        <v>200</v>
      </c>
      <c r="G2258" t="s">
        <v>17</v>
      </c>
      <c r="H2258" t="b">
        <v>0</v>
      </c>
      <c r="I2258" t="b">
        <v>0</v>
      </c>
      <c r="L2258" t="b">
        <v>0</v>
      </c>
    </row>
    <row r="2259" spans="1:25" x14ac:dyDescent="0.2">
      <c r="A2259">
        <v>3594</v>
      </c>
      <c r="B2259" t="s">
        <v>5049</v>
      </c>
      <c r="C2259" t="s">
        <v>18</v>
      </c>
      <c r="D2259" t="s">
        <v>5055</v>
      </c>
      <c r="E2259" t="s">
        <v>2731</v>
      </c>
      <c r="F2259" t="s">
        <v>200</v>
      </c>
      <c r="G2259" t="s">
        <v>638</v>
      </c>
      <c r="H2259" t="b">
        <v>0</v>
      </c>
      <c r="I2259" t="b">
        <v>0</v>
      </c>
      <c r="L2259" t="b">
        <v>0</v>
      </c>
      <c r="M2259" t="s">
        <v>5056</v>
      </c>
    </row>
    <row r="2260" spans="1:25" x14ac:dyDescent="0.2">
      <c r="A2260">
        <v>3595</v>
      </c>
      <c r="B2260" t="s">
        <v>5049</v>
      </c>
      <c r="C2260" t="s">
        <v>18</v>
      </c>
      <c r="D2260" t="s">
        <v>5057</v>
      </c>
      <c r="E2260" t="s">
        <v>5058</v>
      </c>
      <c r="F2260" t="s">
        <v>200</v>
      </c>
      <c r="G2260" t="s">
        <v>638</v>
      </c>
      <c r="H2260" t="b">
        <v>0</v>
      </c>
      <c r="I2260" t="b">
        <v>0</v>
      </c>
      <c r="L2260" t="b">
        <v>0</v>
      </c>
    </row>
    <row r="2261" spans="1:25" x14ac:dyDescent="0.2">
      <c r="A2261">
        <v>3596</v>
      </c>
      <c r="B2261" t="s">
        <v>5049</v>
      </c>
      <c r="C2261" t="s">
        <v>18</v>
      </c>
      <c r="D2261" t="s">
        <v>5059</v>
      </c>
      <c r="E2261" t="s">
        <v>5060</v>
      </c>
      <c r="F2261" t="s">
        <v>200</v>
      </c>
      <c r="G2261" t="s">
        <v>502</v>
      </c>
      <c r="H2261" t="b">
        <v>0</v>
      </c>
      <c r="I2261" t="b">
        <v>0</v>
      </c>
      <c r="L2261" t="b">
        <v>0</v>
      </c>
    </row>
    <row r="2263" spans="1:25" x14ac:dyDescent="0.2">
      <c r="A2263" s="2">
        <v>3605</v>
      </c>
      <c r="B2263" s="2" t="s">
        <v>5061</v>
      </c>
      <c r="C2263" s="2" t="s">
        <v>13</v>
      </c>
      <c r="D2263" s="2" t="s">
        <v>5062</v>
      </c>
      <c r="E2263" s="2" t="s">
        <v>5063</v>
      </c>
      <c r="F2263" s="2" t="s">
        <v>168</v>
      </c>
      <c r="G2263" s="2" t="s">
        <v>24</v>
      </c>
      <c r="H2263" s="2"/>
      <c r="I2263" s="2"/>
      <c r="J2263" s="2"/>
      <c r="K2263" s="2"/>
      <c r="L2263" s="2"/>
      <c r="M2263" s="2"/>
      <c r="N2263" s="2"/>
      <c r="O2263" s="2"/>
      <c r="P2263" s="2"/>
      <c r="Q2263" s="2"/>
      <c r="R2263" s="2"/>
      <c r="S2263" s="2"/>
      <c r="T2263" s="2"/>
      <c r="U2263" s="2"/>
      <c r="V2263" s="2"/>
      <c r="W2263" s="2"/>
      <c r="X2263" s="2"/>
      <c r="Y2263" s="2"/>
    </row>
    <row r="2264" spans="1:25" x14ac:dyDescent="0.2">
      <c r="A2264">
        <v>3606</v>
      </c>
      <c r="B2264" t="s">
        <v>5061</v>
      </c>
      <c r="C2264" t="s">
        <v>18</v>
      </c>
      <c r="D2264" t="s">
        <v>5062</v>
      </c>
      <c r="E2264" t="s">
        <v>5063</v>
      </c>
      <c r="F2264" t="s">
        <v>168</v>
      </c>
      <c r="G2264" t="s">
        <v>24</v>
      </c>
      <c r="H2264" t="b">
        <v>1</v>
      </c>
      <c r="I2264" t="b">
        <v>1</v>
      </c>
      <c r="L2264" t="b">
        <v>1</v>
      </c>
      <c r="M2264" t="s">
        <v>5064</v>
      </c>
      <c r="N2264" t="s">
        <v>5065</v>
      </c>
      <c r="O2264" t="s">
        <v>5066</v>
      </c>
      <c r="P2264" t="s">
        <v>5067</v>
      </c>
    </row>
    <row r="2265" spans="1:25" x14ac:dyDescent="0.2">
      <c r="A2265">
        <v>3607</v>
      </c>
      <c r="B2265" t="s">
        <v>5061</v>
      </c>
      <c r="C2265" t="s">
        <v>18</v>
      </c>
      <c r="D2265" t="s">
        <v>5068</v>
      </c>
      <c r="E2265" t="s">
        <v>5069</v>
      </c>
      <c r="F2265" t="s">
        <v>369</v>
      </c>
      <c r="G2265" t="s">
        <v>17</v>
      </c>
      <c r="H2265" t="b">
        <v>0</v>
      </c>
      <c r="I2265" t="b">
        <v>0</v>
      </c>
      <c r="L2265" t="b">
        <v>0</v>
      </c>
      <c r="M2265" t="s">
        <v>5070</v>
      </c>
      <c r="N2265" t="s">
        <v>5071</v>
      </c>
    </row>
    <row r="2266" spans="1:25" x14ac:dyDescent="0.2">
      <c r="A2266">
        <v>3608</v>
      </c>
      <c r="B2266" t="s">
        <v>5061</v>
      </c>
      <c r="C2266" t="s">
        <v>18</v>
      </c>
      <c r="D2266" t="s">
        <v>5072</v>
      </c>
      <c r="E2266" t="s">
        <v>5073</v>
      </c>
      <c r="F2266" t="s">
        <v>78</v>
      </c>
      <c r="G2266" t="s">
        <v>345</v>
      </c>
      <c r="H2266" t="b">
        <v>0</v>
      </c>
      <c r="I2266" t="b">
        <v>0</v>
      </c>
      <c r="L2266" t="b">
        <v>0</v>
      </c>
      <c r="M2266" t="s">
        <v>5074</v>
      </c>
      <c r="N2266" t="s">
        <v>5075</v>
      </c>
    </row>
    <row r="2267" spans="1:25" x14ac:dyDescent="0.2">
      <c r="A2267">
        <v>3609</v>
      </c>
      <c r="B2267" t="s">
        <v>5061</v>
      </c>
      <c r="C2267" t="s">
        <v>18</v>
      </c>
      <c r="D2267" t="s">
        <v>5076</v>
      </c>
      <c r="E2267" t="s">
        <v>1016</v>
      </c>
      <c r="F2267" t="s">
        <v>23</v>
      </c>
      <c r="G2267" t="s">
        <v>17</v>
      </c>
      <c r="H2267" t="b">
        <v>0</v>
      </c>
      <c r="I2267" t="b">
        <v>0</v>
      </c>
      <c r="L2267" t="b">
        <v>0</v>
      </c>
      <c r="M2267" t="s">
        <v>5077</v>
      </c>
      <c r="N2267" t="s">
        <v>5078</v>
      </c>
    </row>
    <row r="2268" spans="1:25" x14ac:dyDescent="0.2">
      <c r="A2268">
        <v>3610</v>
      </c>
      <c r="B2268" t="s">
        <v>5061</v>
      </c>
      <c r="C2268" t="s">
        <v>18</v>
      </c>
      <c r="D2268" t="s">
        <v>5079</v>
      </c>
      <c r="E2268" t="s">
        <v>5080</v>
      </c>
      <c r="F2268" t="s">
        <v>248</v>
      </c>
      <c r="G2268" t="s">
        <v>17</v>
      </c>
      <c r="H2268" t="b">
        <v>0</v>
      </c>
      <c r="I2268" t="b">
        <v>0</v>
      </c>
      <c r="L2268" t="b">
        <v>0</v>
      </c>
    </row>
    <row r="2270" spans="1:25" x14ac:dyDescent="0.2">
      <c r="A2270" s="2">
        <v>3612</v>
      </c>
      <c r="B2270" s="2" t="s">
        <v>5081</v>
      </c>
      <c r="C2270" s="2" t="s">
        <v>13</v>
      </c>
      <c r="D2270" s="2" t="s">
        <v>2037</v>
      </c>
      <c r="E2270" s="2" t="s">
        <v>5082</v>
      </c>
      <c r="F2270" s="2" t="s">
        <v>151</v>
      </c>
      <c r="G2270" s="2" t="s">
        <v>1752</v>
      </c>
      <c r="H2270" s="2"/>
      <c r="I2270" s="2"/>
      <c r="J2270" s="2"/>
      <c r="K2270" s="2"/>
      <c r="L2270" s="2"/>
      <c r="M2270" s="2"/>
      <c r="N2270" s="2"/>
      <c r="O2270" s="2"/>
      <c r="P2270" s="2"/>
      <c r="Q2270" s="2"/>
      <c r="R2270" s="2"/>
      <c r="S2270" s="2"/>
      <c r="T2270" s="2"/>
      <c r="U2270" s="2"/>
      <c r="V2270" s="2"/>
      <c r="W2270" s="2"/>
      <c r="X2270" s="2"/>
      <c r="Y2270" s="2"/>
    </row>
    <row r="2271" spans="1:25" x14ac:dyDescent="0.2">
      <c r="A2271">
        <v>3613</v>
      </c>
      <c r="B2271" t="s">
        <v>5081</v>
      </c>
      <c r="C2271" t="s">
        <v>18</v>
      </c>
      <c r="D2271" t="s">
        <v>2037</v>
      </c>
      <c r="E2271" t="s">
        <v>2038</v>
      </c>
      <c r="F2271" t="s">
        <v>151</v>
      </c>
      <c r="G2271" t="s">
        <v>917</v>
      </c>
      <c r="H2271" t="b">
        <v>1</v>
      </c>
      <c r="K2271" t="b">
        <v>1</v>
      </c>
      <c r="L2271" t="b">
        <v>1</v>
      </c>
      <c r="M2271" t="s">
        <v>2039</v>
      </c>
    </row>
    <row r="2272" spans="1:25" x14ac:dyDescent="0.2">
      <c r="A2272">
        <v>3614</v>
      </c>
      <c r="B2272" t="s">
        <v>5081</v>
      </c>
      <c r="C2272" t="s">
        <v>18</v>
      </c>
      <c r="D2272" t="s">
        <v>5083</v>
      </c>
      <c r="E2272" t="s">
        <v>5084</v>
      </c>
      <c r="F2272" t="s">
        <v>151</v>
      </c>
      <c r="G2272" t="s">
        <v>917</v>
      </c>
      <c r="H2272" t="b">
        <v>0</v>
      </c>
      <c r="K2272" t="b">
        <v>0</v>
      </c>
      <c r="L2272" t="b">
        <v>0</v>
      </c>
      <c r="M2272" t="s">
        <v>5085</v>
      </c>
      <c r="N2272" t="s">
        <v>5086</v>
      </c>
    </row>
    <row r="2273" spans="1:25" x14ac:dyDescent="0.2">
      <c r="A2273">
        <v>3615</v>
      </c>
      <c r="B2273" t="s">
        <v>5081</v>
      </c>
      <c r="C2273" t="s">
        <v>18</v>
      </c>
      <c r="D2273" t="s">
        <v>5087</v>
      </c>
      <c r="E2273" t="s">
        <v>5088</v>
      </c>
      <c r="F2273" t="s">
        <v>151</v>
      </c>
      <c r="G2273" t="s">
        <v>24</v>
      </c>
      <c r="H2273" t="b">
        <v>0</v>
      </c>
      <c r="K2273" t="b">
        <v>0</v>
      </c>
      <c r="L2273" t="b">
        <v>0</v>
      </c>
    </row>
    <row r="2274" spans="1:25" x14ac:dyDescent="0.2">
      <c r="A2274">
        <v>3616</v>
      </c>
      <c r="B2274" t="s">
        <v>5081</v>
      </c>
      <c r="C2274" t="s">
        <v>18</v>
      </c>
      <c r="D2274" t="s">
        <v>5089</v>
      </c>
      <c r="E2274" t="s">
        <v>5090</v>
      </c>
      <c r="F2274" t="s">
        <v>151</v>
      </c>
      <c r="G2274" t="s">
        <v>24</v>
      </c>
      <c r="H2274" t="b">
        <v>0</v>
      </c>
      <c r="K2274" t="b">
        <v>0</v>
      </c>
      <c r="L2274" t="b">
        <v>0</v>
      </c>
      <c r="M2274" t="s">
        <v>5091</v>
      </c>
    </row>
    <row r="2275" spans="1:25" x14ac:dyDescent="0.2">
      <c r="A2275">
        <v>3617</v>
      </c>
      <c r="B2275" t="s">
        <v>5081</v>
      </c>
      <c r="C2275" t="s">
        <v>18</v>
      </c>
      <c r="D2275" t="s">
        <v>112</v>
      </c>
      <c r="E2275" t="s">
        <v>113</v>
      </c>
      <c r="F2275" t="s">
        <v>78</v>
      </c>
      <c r="G2275" t="s">
        <v>24</v>
      </c>
      <c r="H2275" t="b">
        <v>0</v>
      </c>
      <c r="K2275" t="b">
        <v>0</v>
      </c>
      <c r="L2275" t="b">
        <v>0</v>
      </c>
      <c r="M2275" t="s">
        <v>1256</v>
      </c>
      <c r="N2275" t="s">
        <v>1257</v>
      </c>
    </row>
    <row r="2277" spans="1:25" x14ac:dyDescent="0.2">
      <c r="A2277" s="2">
        <v>3619</v>
      </c>
      <c r="B2277" s="2" t="s">
        <v>5092</v>
      </c>
      <c r="C2277" s="2" t="s">
        <v>13</v>
      </c>
      <c r="D2277" s="2" t="s">
        <v>5093</v>
      </c>
      <c r="E2277" s="2" t="s">
        <v>5094</v>
      </c>
      <c r="F2277" s="2" t="s">
        <v>174</v>
      </c>
      <c r="G2277" s="2" t="s">
        <v>17</v>
      </c>
      <c r="H2277" s="2"/>
      <c r="I2277" s="2"/>
      <c r="J2277" s="2"/>
      <c r="K2277" s="2"/>
      <c r="L2277" s="2"/>
      <c r="M2277" s="2"/>
      <c r="N2277" s="2"/>
      <c r="O2277" s="2"/>
      <c r="P2277" s="2"/>
      <c r="Q2277" s="2"/>
      <c r="R2277" s="2"/>
      <c r="S2277" s="2"/>
      <c r="T2277" s="2"/>
      <c r="U2277" s="2"/>
      <c r="V2277" s="2"/>
      <c r="W2277" s="2"/>
      <c r="X2277" s="2"/>
      <c r="Y2277" s="2"/>
    </row>
    <row r="2278" spans="1:25" x14ac:dyDescent="0.2">
      <c r="A2278">
        <v>3620</v>
      </c>
      <c r="B2278" t="s">
        <v>5092</v>
      </c>
      <c r="C2278" t="s">
        <v>18</v>
      </c>
      <c r="D2278" t="s">
        <v>5093</v>
      </c>
      <c r="E2278" t="s">
        <v>5095</v>
      </c>
      <c r="F2278" t="s">
        <v>174</v>
      </c>
      <c r="G2278" t="s">
        <v>17</v>
      </c>
      <c r="H2278" t="b">
        <v>0</v>
      </c>
      <c r="I2278" t="b">
        <v>1</v>
      </c>
      <c r="L2278" t="b">
        <v>1</v>
      </c>
      <c r="M2278" t="s">
        <v>5096</v>
      </c>
      <c r="N2278" t="s">
        <v>5097</v>
      </c>
    </row>
    <row r="2279" spans="1:25" x14ac:dyDescent="0.2">
      <c r="A2279">
        <v>3621</v>
      </c>
      <c r="B2279" t="s">
        <v>5092</v>
      </c>
      <c r="C2279" t="s">
        <v>18</v>
      </c>
      <c r="D2279" t="s">
        <v>5098</v>
      </c>
      <c r="E2279" t="s">
        <v>3197</v>
      </c>
      <c r="F2279" t="s">
        <v>174</v>
      </c>
      <c r="G2279" t="s">
        <v>17</v>
      </c>
      <c r="H2279" t="b">
        <v>0</v>
      </c>
      <c r="I2279" t="b">
        <v>0</v>
      </c>
      <c r="L2279" t="b">
        <v>0</v>
      </c>
      <c r="M2279" t="s">
        <v>5099</v>
      </c>
      <c r="N2279" t="s">
        <v>5100</v>
      </c>
    </row>
    <row r="2280" spans="1:25" x14ac:dyDescent="0.2">
      <c r="A2280">
        <v>3622</v>
      </c>
      <c r="B2280" t="s">
        <v>5092</v>
      </c>
      <c r="C2280" t="s">
        <v>18</v>
      </c>
      <c r="D2280" t="s">
        <v>5101</v>
      </c>
      <c r="E2280" t="s">
        <v>5102</v>
      </c>
      <c r="F2280" t="s">
        <v>31</v>
      </c>
      <c r="G2280" t="s">
        <v>24</v>
      </c>
      <c r="H2280" t="b">
        <v>0</v>
      </c>
      <c r="I2280" t="b">
        <v>0</v>
      </c>
      <c r="L2280" t="b">
        <v>0</v>
      </c>
    </row>
    <row r="2281" spans="1:25" x14ac:dyDescent="0.2">
      <c r="A2281">
        <v>3623</v>
      </c>
      <c r="B2281" t="s">
        <v>5092</v>
      </c>
      <c r="C2281" t="s">
        <v>18</v>
      </c>
      <c r="D2281" t="s">
        <v>5103</v>
      </c>
      <c r="E2281" t="s">
        <v>5104</v>
      </c>
      <c r="F2281" t="s">
        <v>31</v>
      </c>
      <c r="G2281" t="s">
        <v>17</v>
      </c>
      <c r="H2281" t="b">
        <v>0</v>
      </c>
      <c r="I2281" t="b">
        <v>0</v>
      </c>
      <c r="L2281" t="b">
        <v>0</v>
      </c>
      <c r="M2281" t="s">
        <v>5105</v>
      </c>
    </row>
    <row r="2282" spans="1:25" x14ac:dyDescent="0.2">
      <c r="A2282">
        <v>3624</v>
      </c>
      <c r="B2282" t="s">
        <v>5092</v>
      </c>
      <c r="C2282" t="s">
        <v>18</v>
      </c>
      <c r="D2282" t="s">
        <v>5106</v>
      </c>
      <c r="E2282" t="s">
        <v>5107</v>
      </c>
      <c r="F2282" t="s">
        <v>420</v>
      </c>
      <c r="G2282" t="s">
        <v>252</v>
      </c>
      <c r="H2282" t="b">
        <v>0</v>
      </c>
      <c r="I2282" t="b">
        <v>0</v>
      </c>
      <c r="L2282" t="b">
        <v>0</v>
      </c>
      <c r="M2282" t="s">
        <v>5108</v>
      </c>
      <c r="N2282" t="s">
        <v>5109</v>
      </c>
    </row>
    <row r="2284" spans="1:25" x14ac:dyDescent="0.2">
      <c r="A2284" s="2">
        <v>364</v>
      </c>
      <c r="B2284" s="2" t="s">
        <v>5110</v>
      </c>
      <c r="C2284" s="2" t="s">
        <v>13</v>
      </c>
      <c r="D2284" s="2" t="s">
        <v>3166</v>
      </c>
      <c r="E2284" s="2" t="s">
        <v>3167</v>
      </c>
      <c r="F2284" s="2" t="s">
        <v>1938</v>
      </c>
      <c r="G2284" s="2" t="s">
        <v>2278</v>
      </c>
      <c r="H2284" s="2"/>
      <c r="I2284" s="2"/>
      <c r="J2284" s="2"/>
      <c r="K2284" s="2"/>
      <c r="L2284" s="2"/>
      <c r="M2284" s="2"/>
      <c r="N2284" s="2"/>
      <c r="O2284" s="2"/>
      <c r="P2284" s="2"/>
      <c r="Q2284" s="2"/>
      <c r="R2284" s="2"/>
      <c r="S2284" s="2"/>
      <c r="T2284" s="2"/>
      <c r="U2284" s="2"/>
      <c r="V2284" s="2"/>
      <c r="W2284" s="2"/>
      <c r="X2284" s="2"/>
      <c r="Y2284" s="2"/>
    </row>
    <row r="2285" spans="1:25" x14ac:dyDescent="0.2">
      <c r="A2285">
        <v>365</v>
      </c>
      <c r="B2285" t="s">
        <v>5110</v>
      </c>
      <c r="C2285" t="s">
        <v>18</v>
      </c>
      <c r="D2285" t="s">
        <v>3166</v>
      </c>
      <c r="E2285" t="s">
        <v>3167</v>
      </c>
      <c r="F2285" t="s">
        <v>1938</v>
      </c>
      <c r="G2285" t="s">
        <v>2278</v>
      </c>
      <c r="H2285" t="b">
        <v>1</v>
      </c>
      <c r="K2285" t="b">
        <v>1</v>
      </c>
      <c r="L2285" t="b">
        <v>1</v>
      </c>
    </row>
    <row r="2286" spans="1:25" x14ac:dyDescent="0.2">
      <c r="A2286">
        <v>366</v>
      </c>
      <c r="B2286" t="s">
        <v>5110</v>
      </c>
      <c r="C2286" t="s">
        <v>18</v>
      </c>
      <c r="D2286" t="s">
        <v>3158</v>
      </c>
      <c r="E2286" t="s">
        <v>3160</v>
      </c>
      <c r="F2286" t="s">
        <v>420</v>
      </c>
      <c r="G2286" t="s">
        <v>2278</v>
      </c>
      <c r="H2286" t="b">
        <v>0</v>
      </c>
      <c r="K2286" t="b">
        <v>0</v>
      </c>
      <c r="L2286" t="b">
        <v>0</v>
      </c>
      <c r="M2286" t="s">
        <v>3161</v>
      </c>
    </row>
    <row r="2287" spans="1:25" x14ac:dyDescent="0.2">
      <c r="A2287">
        <v>367</v>
      </c>
      <c r="B2287" t="s">
        <v>5110</v>
      </c>
      <c r="C2287" t="s">
        <v>18</v>
      </c>
      <c r="D2287" t="s">
        <v>3164</v>
      </c>
      <c r="E2287" t="s">
        <v>3165</v>
      </c>
      <c r="F2287" t="s">
        <v>87</v>
      </c>
      <c r="G2287" t="s">
        <v>2278</v>
      </c>
      <c r="H2287" t="b">
        <v>0</v>
      </c>
      <c r="K2287" t="b">
        <v>0</v>
      </c>
      <c r="L2287" t="b">
        <v>0</v>
      </c>
    </row>
    <row r="2288" spans="1:25" x14ac:dyDescent="0.2">
      <c r="A2288">
        <v>368</v>
      </c>
      <c r="B2288" t="s">
        <v>5110</v>
      </c>
      <c r="C2288" t="s">
        <v>18</v>
      </c>
      <c r="D2288" t="s">
        <v>5111</v>
      </c>
      <c r="E2288" t="s">
        <v>5112</v>
      </c>
      <c r="F2288" t="s">
        <v>420</v>
      </c>
      <c r="G2288" t="s">
        <v>2278</v>
      </c>
      <c r="H2288" t="b">
        <v>0</v>
      </c>
      <c r="K2288" t="b">
        <v>0</v>
      </c>
      <c r="L2288" t="b">
        <v>0</v>
      </c>
    </row>
    <row r="2289" spans="1:25" x14ac:dyDescent="0.2">
      <c r="A2289">
        <v>369</v>
      </c>
      <c r="B2289" t="s">
        <v>5110</v>
      </c>
      <c r="C2289" t="s">
        <v>18</v>
      </c>
      <c r="D2289" t="s">
        <v>3168</v>
      </c>
      <c r="E2289" t="s">
        <v>3169</v>
      </c>
      <c r="F2289" t="s">
        <v>420</v>
      </c>
      <c r="G2289" t="s">
        <v>2278</v>
      </c>
      <c r="H2289" t="b">
        <v>0</v>
      </c>
      <c r="K2289" t="b">
        <v>0</v>
      </c>
      <c r="L2289" t="b">
        <v>0</v>
      </c>
    </row>
    <row r="2291" spans="1:25" x14ac:dyDescent="0.2">
      <c r="A2291" s="2">
        <v>3640</v>
      </c>
      <c r="B2291" s="2" t="s">
        <v>5113</v>
      </c>
      <c r="C2291" s="2" t="s">
        <v>13</v>
      </c>
      <c r="D2291" s="2" t="s">
        <v>5114</v>
      </c>
      <c r="E2291" s="2" t="s">
        <v>5115</v>
      </c>
      <c r="F2291" s="2" t="s">
        <v>2343</v>
      </c>
      <c r="G2291" s="2" t="s">
        <v>88</v>
      </c>
      <c r="H2291" s="2"/>
      <c r="I2291" s="2"/>
      <c r="J2291" s="2"/>
      <c r="K2291" s="2"/>
      <c r="L2291" s="2"/>
      <c r="M2291" s="2"/>
      <c r="N2291" s="2"/>
      <c r="O2291" s="2"/>
      <c r="P2291" s="2"/>
      <c r="Q2291" s="2"/>
      <c r="R2291" s="2"/>
      <c r="S2291" s="2"/>
      <c r="T2291" s="2"/>
      <c r="U2291" s="2"/>
      <c r="V2291" s="2"/>
      <c r="W2291" s="2"/>
      <c r="X2291" s="2"/>
      <c r="Y2291" s="2"/>
    </row>
    <row r="2292" spans="1:25" x14ac:dyDescent="0.2">
      <c r="A2292">
        <v>3641</v>
      </c>
      <c r="B2292" t="s">
        <v>5113</v>
      </c>
      <c r="C2292" t="s">
        <v>18</v>
      </c>
      <c r="D2292" t="s">
        <v>5116</v>
      </c>
      <c r="E2292" t="s">
        <v>3304</v>
      </c>
      <c r="F2292" t="s">
        <v>5117</v>
      </c>
      <c r="G2292" t="s">
        <v>88</v>
      </c>
      <c r="H2292" t="b">
        <v>0</v>
      </c>
      <c r="I2292" t="b">
        <v>0</v>
      </c>
      <c r="L2292" t="b">
        <v>0</v>
      </c>
      <c r="M2292" t="s">
        <v>5118</v>
      </c>
      <c r="N2292" t="s">
        <v>5119</v>
      </c>
    </row>
    <row r="2293" spans="1:25" x14ac:dyDescent="0.2">
      <c r="A2293">
        <v>3642</v>
      </c>
      <c r="B2293" t="s">
        <v>5113</v>
      </c>
      <c r="C2293" t="s">
        <v>18</v>
      </c>
      <c r="D2293" t="s">
        <v>5120</v>
      </c>
      <c r="E2293" t="s">
        <v>5121</v>
      </c>
      <c r="F2293" t="s">
        <v>451</v>
      </c>
      <c r="G2293" t="s">
        <v>88</v>
      </c>
      <c r="H2293" t="b">
        <v>0</v>
      </c>
      <c r="I2293" t="b">
        <v>0</v>
      </c>
      <c r="L2293" t="b">
        <v>0</v>
      </c>
    </row>
    <row r="2294" spans="1:25" x14ac:dyDescent="0.2">
      <c r="A2294">
        <v>3643</v>
      </c>
      <c r="B2294" t="s">
        <v>5113</v>
      </c>
      <c r="C2294" t="s">
        <v>18</v>
      </c>
      <c r="D2294" t="s">
        <v>5122</v>
      </c>
      <c r="E2294" t="s">
        <v>5123</v>
      </c>
      <c r="F2294" t="s">
        <v>616</v>
      </c>
      <c r="G2294" t="s">
        <v>88</v>
      </c>
      <c r="H2294" t="b">
        <v>0</v>
      </c>
      <c r="I2294" t="b">
        <v>0</v>
      </c>
      <c r="L2294" t="b">
        <v>0</v>
      </c>
      <c r="M2294" t="s">
        <v>5124</v>
      </c>
    </row>
    <row r="2295" spans="1:25" x14ac:dyDescent="0.2">
      <c r="A2295">
        <v>3644</v>
      </c>
      <c r="B2295" t="s">
        <v>5113</v>
      </c>
      <c r="C2295" t="s">
        <v>18</v>
      </c>
      <c r="D2295" t="s">
        <v>5125</v>
      </c>
      <c r="E2295" t="s">
        <v>5126</v>
      </c>
      <c r="F2295" t="s">
        <v>616</v>
      </c>
      <c r="G2295" t="s">
        <v>88</v>
      </c>
      <c r="H2295" t="b">
        <v>0</v>
      </c>
      <c r="I2295" t="b">
        <v>0</v>
      </c>
      <c r="L2295" t="b">
        <v>0</v>
      </c>
      <c r="M2295" t="s">
        <v>5127</v>
      </c>
    </row>
    <row r="2296" spans="1:25" x14ac:dyDescent="0.2">
      <c r="A2296">
        <v>3645</v>
      </c>
      <c r="B2296" t="s">
        <v>5113</v>
      </c>
      <c r="C2296" t="s">
        <v>18</v>
      </c>
      <c r="D2296" t="s">
        <v>5128</v>
      </c>
      <c r="E2296" t="s">
        <v>5129</v>
      </c>
      <c r="F2296" t="s">
        <v>2343</v>
      </c>
      <c r="G2296" t="s">
        <v>88</v>
      </c>
      <c r="H2296" t="b">
        <v>0</v>
      </c>
      <c r="I2296" t="b">
        <v>0</v>
      </c>
      <c r="L2296" t="b">
        <v>0</v>
      </c>
    </row>
    <row r="2298" spans="1:25" x14ac:dyDescent="0.2">
      <c r="A2298" s="2">
        <v>3647</v>
      </c>
      <c r="B2298" s="2" t="s">
        <v>5130</v>
      </c>
      <c r="C2298" s="2" t="s">
        <v>13</v>
      </c>
      <c r="D2298" s="2" t="s">
        <v>5131</v>
      </c>
      <c r="E2298" s="2" t="s">
        <v>5132</v>
      </c>
      <c r="F2298" s="2" t="s">
        <v>159</v>
      </c>
      <c r="G2298" s="2" t="s">
        <v>1867</v>
      </c>
      <c r="H2298" s="2"/>
      <c r="I2298" s="2"/>
      <c r="J2298" s="2"/>
      <c r="K2298" s="2"/>
      <c r="L2298" s="2"/>
      <c r="M2298" s="2"/>
      <c r="N2298" s="2"/>
      <c r="O2298" s="2"/>
      <c r="P2298" s="2"/>
      <c r="Q2298" s="2"/>
      <c r="R2298" s="2"/>
      <c r="S2298" s="2"/>
      <c r="T2298" s="2"/>
      <c r="U2298" s="2"/>
      <c r="V2298" s="2"/>
      <c r="W2298" s="2"/>
      <c r="X2298" s="2"/>
      <c r="Y2298" s="2"/>
    </row>
    <row r="2299" spans="1:25" x14ac:dyDescent="0.2">
      <c r="A2299">
        <v>3648</v>
      </c>
      <c r="B2299" t="s">
        <v>5130</v>
      </c>
      <c r="C2299" t="s">
        <v>18</v>
      </c>
      <c r="D2299" t="s">
        <v>5131</v>
      </c>
      <c r="E2299" t="s">
        <v>5132</v>
      </c>
      <c r="F2299" t="s">
        <v>5133</v>
      </c>
      <c r="G2299" t="s">
        <v>1867</v>
      </c>
      <c r="H2299" t="b">
        <v>1</v>
      </c>
      <c r="I2299" t="b">
        <v>1</v>
      </c>
      <c r="L2299" t="b">
        <v>1</v>
      </c>
      <c r="M2299" t="s">
        <v>5134</v>
      </c>
      <c r="N2299" t="s">
        <v>5135</v>
      </c>
      <c r="O2299" t="s">
        <v>5136</v>
      </c>
    </row>
    <row r="2300" spans="1:25" x14ac:dyDescent="0.2">
      <c r="A2300">
        <v>3649</v>
      </c>
      <c r="B2300" t="s">
        <v>5130</v>
      </c>
      <c r="C2300" t="s">
        <v>18</v>
      </c>
      <c r="D2300" t="s">
        <v>5137</v>
      </c>
      <c r="E2300" t="s">
        <v>363</v>
      </c>
      <c r="F2300" t="s">
        <v>159</v>
      </c>
      <c r="G2300" t="s">
        <v>1867</v>
      </c>
      <c r="H2300" t="b">
        <v>0</v>
      </c>
      <c r="I2300" t="b">
        <v>0</v>
      </c>
      <c r="L2300" t="b">
        <v>0</v>
      </c>
      <c r="M2300" t="s">
        <v>5138</v>
      </c>
    </row>
    <row r="2301" spans="1:25" x14ac:dyDescent="0.2">
      <c r="A2301">
        <v>3650</v>
      </c>
      <c r="B2301" t="s">
        <v>5130</v>
      </c>
      <c r="C2301" t="s">
        <v>18</v>
      </c>
      <c r="D2301" t="s">
        <v>5139</v>
      </c>
      <c r="E2301" t="s">
        <v>5140</v>
      </c>
      <c r="F2301" t="s">
        <v>3988</v>
      </c>
      <c r="G2301" t="s">
        <v>1867</v>
      </c>
      <c r="H2301" t="b">
        <v>0</v>
      </c>
      <c r="I2301" t="b">
        <v>0</v>
      </c>
      <c r="L2301" t="b">
        <v>0</v>
      </c>
      <c r="M2301" t="s">
        <v>5141</v>
      </c>
      <c r="N2301" t="s">
        <v>5142</v>
      </c>
    </row>
    <row r="2302" spans="1:25" x14ac:dyDescent="0.2">
      <c r="A2302">
        <v>3651</v>
      </c>
      <c r="B2302" t="s">
        <v>5130</v>
      </c>
      <c r="C2302" t="s">
        <v>18</v>
      </c>
      <c r="D2302" t="s">
        <v>5143</v>
      </c>
      <c r="E2302" t="s">
        <v>5144</v>
      </c>
      <c r="F2302" t="s">
        <v>3988</v>
      </c>
      <c r="G2302" t="s">
        <v>1867</v>
      </c>
      <c r="H2302" t="b">
        <v>0</v>
      </c>
      <c r="I2302" t="b">
        <v>0</v>
      </c>
      <c r="L2302" t="b">
        <v>0</v>
      </c>
      <c r="M2302" t="s">
        <v>5145</v>
      </c>
      <c r="N2302" t="s">
        <v>5146</v>
      </c>
    </row>
    <row r="2303" spans="1:25" x14ac:dyDescent="0.2">
      <c r="A2303">
        <v>3652</v>
      </c>
      <c r="B2303" t="s">
        <v>5130</v>
      </c>
      <c r="C2303" t="s">
        <v>18</v>
      </c>
      <c r="D2303" t="s">
        <v>5147</v>
      </c>
      <c r="E2303" t="s">
        <v>5148</v>
      </c>
      <c r="F2303" t="s">
        <v>205</v>
      </c>
      <c r="G2303" t="s">
        <v>1867</v>
      </c>
      <c r="H2303" t="b">
        <v>0</v>
      </c>
      <c r="I2303" t="b">
        <v>0</v>
      </c>
      <c r="L2303" t="b">
        <v>0</v>
      </c>
      <c r="M2303" t="s">
        <v>5149</v>
      </c>
      <c r="N2303" t="s">
        <v>5150</v>
      </c>
    </row>
    <row r="2305" spans="1:25" x14ac:dyDescent="0.2">
      <c r="A2305" s="2">
        <v>3654</v>
      </c>
      <c r="B2305" s="2" t="s">
        <v>5151</v>
      </c>
      <c r="C2305" s="2" t="s">
        <v>13</v>
      </c>
      <c r="D2305" s="2" t="s">
        <v>5152</v>
      </c>
      <c r="E2305" s="2" t="s">
        <v>5153</v>
      </c>
      <c r="F2305" s="2" t="s">
        <v>159</v>
      </c>
      <c r="G2305" s="2" t="s">
        <v>1867</v>
      </c>
      <c r="H2305" s="2"/>
      <c r="I2305" s="2"/>
      <c r="J2305" s="2"/>
      <c r="K2305" s="2"/>
      <c r="L2305" s="2"/>
      <c r="M2305" s="2"/>
      <c r="N2305" s="2"/>
      <c r="O2305" s="2"/>
      <c r="P2305" s="2"/>
      <c r="Q2305" s="2"/>
      <c r="R2305" s="2"/>
      <c r="S2305" s="2"/>
      <c r="T2305" s="2"/>
      <c r="U2305" s="2"/>
      <c r="V2305" s="2"/>
      <c r="W2305" s="2"/>
      <c r="X2305" s="2"/>
      <c r="Y2305" s="2"/>
    </row>
    <row r="2306" spans="1:25" x14ac:dyDescent="0.2">
      <c r="A2306">
        <v>3655</v>
      </c>
      <c r="B2306" t="s">
        <v>5151</v>
      </c>
      <c r="C2306" t="s">
        <v>18</v>
      </c>
      <c r="D2306" t="s">
        <v>5137</v>
      </c>
      <c r="E2306" t="s">
        <v>363</v>
      </c>
      <c r="F2306" t="s">
        <v>159</v>
      </c>
      <c r="G2306" t="s">
        <v>1867</v>
      </c>
      <c r="H2306" t="b">
        <v>0</v>
      </c>
      <c r="I2306" t="b">
        <v>0</v>
      </c>
      <c r="L2306" t="b">
        <v>0</v>
      </c>
      <c r="M2306" t="s">
        <v>5138</v>
      </c>
    </row>
    <row r="2307" spans="1:25" x14ac:dyDescent="0.2">
      <c r="A2307">
        <v>3656</v>
      </c>
      <c r="B2307" t="s">
        <v>5151</v>
      </c>
      <c r="C2307" t="s">
        <v>18</v>
      </c>
      <c r="D2307" t="s">
        <v>5139</v>
      </c>
      <c r="E2307" t="s">
        <v>5140</v>
      </c>
      <c r="F2307" t="s">
        <v>3988</v>
      </c>
      <c r="G2307" t="s">
        <v>1867</v>
      </c>
      <c r="H2307" t="b">
        <v>0</v>
      </c>
      <c r="I2307" t="b">
        <v>0</v>
      </c>
      <c r="L2307" t="b">
        <v>0</v>
      </c>
      <c r="M2307" t="s">
        <v>5141</v>
      </c>
      <c r="N2307" t="s">
        <v>5142</v>
      </c>
    </row>
    <row r="2308" spans="1:25" x14ac:dyDescent="0.2">
      <c r="A2308">
        <v>3657</v>
      </c>
      <c r="B2308" t="s">
        <v>5151</v>
      </c>
      <c r="C2308" t="s">
        <v>18</v>
      </c>
      <c r="D2308" t="s">
        <v>5143</v>
      </c>
      <c r="E2308" t="s">
        <v>5144</v>
      </c>
      <c r="F2308" t="s">
        <v>3988</v>
      </c>
      <c r="G2308" t="s">
        <v>1867</v>
      </c>
      <c r="H2308" t="b">
        <v>0</v>
      </c>
      <c r="I2308" t="b">
        <v>0</v>
      </c>
      <c r="L2308" t="b">
        <v>0</v>
      </c>
      <c r="M2308" t="s">
        <v>5145</v>
      </c>
      <c r="N2308" t="s">
        <v>5146</v>
      </c>
    </row>
    <row r="2309" spans="1:25" x14ac:dyDescent="0.2">
      <c r="A2309">
        <v>3658</v>
      </c>
      <c r="B2309" t="s">
        <v>5151</v>
      </c>
      <c r="C2309" t="s">
        <v>18</v>
      </c>
      <c r="D2309" t="s">
        <v>5131</v>
      </c>
      <c r="E2309" t="s">
        <v>5132</v>
      </c>
      <c r="F2309" t="s">
        <v>5133</v>
      </c>
      <c r="G2309" t="s">
        <v>1867</v>
      </c>
      <c r="H2309" t="b">
        <v>0</v>
      </c>
      <c r="I2309" t="b">
        <v>0</v>
      </c>
      <c r="L2309" t="b">
        <v>0</v>
      </c>
      <c r="M2309" t="s">
        <v>5134</v>
      </c>
      <c r="N2309" t="s">
        <v>5135</v>
      </c>
      <c r="O2309" t="s">
        <v>5136</v>
      </c>
    </row>
    <row r="2310" spans="1:25" x14ac:dyDescent="0.2">
      <c r="A2310">
        <v>3659</v>
      </c>
      <c r="B2310" t="s">
        <v>5151</v>
      </c>
      <c r="C2310" t="s">
        <v>18</v>
      </c>
      <c r="D2310" t="s">
        <v>3467</v>
      </c>
      <c r="E2310" t="s">
        <v>3468</v>
      </c>
      <c r="F2310" t="s">
        <v>420</v>
      </c>
      <c r="G2310" t="s">
        <v>1867</v>
      </c>
      <c r="H2310" t="b">
        <v>0</v>
      </c>
      <c r="I2310" t="b">
        <v>0</v>
      </c>
      <c r="L2310" t="b">
        <v>0</v>
      </c>
      <c r="M2310" t="s">
        <v>3469</v>
      </c>
      <c r="N2310" t="s">
        <v>3470</v>
      </c>
      <c r="O2310" t="s">
        <v>3471</v>
      </c>
      <c r="P2310" t="s">
        <v>3472</v>
      </c>
    </row>
    <row r="2312" spans="1:25" x14ac:dyDescent="0.2">
      <c r="A2312" s="2">
        <v>3661</v>
      </c>
      <c r="B2312" s="2" t="s">
        <v>5154</v>
      </c>
      <c r="C2312" s="2" t="s">
        <v>13</v>
      </c>
      <c r="D2312" s="2" t="s">
        <v>5155</v>
      </c>
      <c r="E2312" s="2" t="s">
        <v>5156</v>
      </c>
      <c r="F2312" s="2" t="s">
        <v>78</v>
      </c>
      <c r="G2312" s="2" t="s">
        <v>17</v>
      </c>
      <c r="H2312" s="2"/>
      <c r="I2312" s="2"/>
      <c r="J2312" s="2"/>
      <c r="K2312" s="2"/>
      <c r="L2312" s="2"/>
      <c r="M2312" s="2"/>
      <c r="N2312" s="2"/>
      <c r="O2312" s="2"/>
      <c r="P2312" s="2"/>
      <c r="Q2312" s="2"/>
      <c r="R2312" s="2"/>
      <c r="S2312" s="2"/>
      <c r="T2312" s="2"/>
      <c r="U2312" s="2"/>
      <c r="V2312" s="2"/>
      <c r="W2312" s="2"/>
      <c r="X2312" s="2"/>
      <c r="Y2312" s="2"/>
    </row>
    <row r="2313" spans="1:25" x14ac:dyDescent="0.2">
      <c r="A2313">
        <v>3662</v>
      </c>
      <c r="B2313" t="s">
        <v>5154</v>
      </c>
      <c r="C2313" t="s">
        <v>18</v>
      </c>
      <c r="D2313" t="s">
        <v>5155</v>
      </c>
      <c r="E2313" t="s">
        <v>5156</v>
      </c>
      <c r="F2313" t="s">
        <v>78</v>
      </c>
      <c r="G2313" t="s">
        <v>17</v>
      </c>
      <c r="H2313" t="b">
        <v>1</v>
      </c>
      <c r="I2313" t="b">
        <v>1</v>
      </c>
      <c r="L2313" t="b">
        <v>1</v>
      </c>
      <c r="M2313" t="s">
        <v>5157</v>
      </c>
      <c r="N2313" t="s">
        <v>5158</v>
      </c>
    </row>
    <row r="2314" spans="1:25" x14ac:dyDescent="0.2">
      <c r="A2314">
        <v>3663</v>
      </c>
      <c r="B2314" t="s">
        <v>5154</v>
      </c>
      <c r="C2314" t="s">
        <v>18</v>
      </c>
      <c r="D2314" t="s">
        <v>5159</v>
      </c>
      <c r="E2314" t="s">
        <v>5160</v>
      </c>
      <c r="F2314" t="s">
        <v>78</v>
      </c>
      <c r="G2314" t="s">
        <v>17</v>
      </c>
      <c r="H2314" t="b">
        <v>0</v>
      </c>
      <c r="I2314" t="b">
        <v>0</v>
      </c>
      <c r="L2314" t="b">
        <v>0</v>
      </c>
    </row>
    <row r="2315" spans="1:25" x14ac:dyDescent="0.2">
      <c r="A2315">
        <v>3664</v>
      </c>
      <c r="B2315" t="s">
        <v>5154</v>
      </c>
      <c r="C2315" t="s">
        <v>18</v>
      </c>
      <c r="D2315" t="s">
        <v>5161</v>
      </c>
      <c r="E2315" t="s">
        <v>5162</v>
      </c>
      <c r="F2315" t="s">
        <v>78</v>
      </c>
      <c r="G2315" t="s">
        <v>17</v>
      </c>
      <c r="H2315" t="b">
        <v>0</v>
      </c>
      <c r="I2315" t="b">
        <v>0</v>
      </c>
      <c r="L2315" t="b">
        <v>0</v>
      </c>
      <c r="M2315" t="s">
        <v>5163</v>
      </c>
    </row>
    <row r="2316" spans="1:25" x14ac:dyDescent="0.2">
      <c r="A2316">
        <v>3665</v>
      </c>
      <c r="B2316" t="s">
        <v>5154</v>
      </c>
      <c r="C2316" t="s">
        <v>18</v>
      </c>
      <c r="D2316" t="s">
        <v>5164</v>
      </c>
      <c r="E2316" t="s">
        <v>323</v>
      </c>
      <c r="F2316" t="s">
        <v>78</v>
      </c>
      <c r="G2316" t="s">
        <v>17</v>
      </c>
      <c r="H2316" t="b">
        <v>0</v>
      </c>
      <c r="I2316" t="b">
        <v>0</v>
      </c>
      <c r="L2316" t="b">
        <v>0</v>
      </c>
      <c r="M2316" t="s">
        <v>5165</v>
      </c>
      <c r="N2316" t="s">
        <v>5166</v>
      </c>
    </row>
    <row r="2317" spans="1:25" x14ac:dyDescent="0.2">
      <c r="A2317">
        <v>3666</v>
      </c>
      <c r="B2317" t="s">
        <v>5154</v>
      </c>
      <c r="C2317" t="s">
        <v>18</v>
      </c>
      <c r="D2317" t="s">
        <v>5167</v>
      </c>
      <c r="E2317" t="s">
        <v>3101</v>
      </c>
      <c r="F2317" t="s">
        <v>78</v>
      </c>
      <c r="G2317" t="s">
        <v>17</v>
      </c>
      <c r="H2317" t="b">
        <v>0</v>
      </c>
      <c r="I2317" t="b">
        <v>0</v>
      </c>
      <c r="L2317" t="b">
        <v>0</v>
      </c>
      <c r="M2317" t="s">
        <v>5168</v>
      </c>
    </row>
    <row r="2319" spans="1:25" x14ac:dyDescent="0.2">
      <c r="A2319" s="2">
        <v>3682</v>
      </c>
      <c r="B2319" s="2" t="s">
        <v>5169</v>
      </c>
      <c r="C2319" s="2" t="s">
        <v>13</v>
      </c>
      <c r="D2319" s="2" t="s">
        <v>5170</v>
      </c>
      <c r="E2319" s="2" t="s">
        <v>5171</v>
      </c>
      <c r="F2319" s="2" t="s">
        <v>248</v>
      </c>
      <c r="G2319" s="2" t="s">
        <v>17</v>
      </c>
      <c r="H2319" s="2"/>
      <c r="I2319" s="2"/>
      <c r="J2319" s="2"/>
      <c r="K2319" s="2"/>
      <c r="L2319" s="2"/>
      <c r="M2319" s="2"/>
      <c r="N2319" s="2"/>
      <c r="O2319" s="2"/>
      <c r="P2319" s="2"/>
      <c r="Q2319" s="2"/>
      <c r="R2319" s="2"/>
      <c r="S2319" s="2"/>
      <c r="T2319" s="2"/>
      <c r="U2319" s="2"/>
      <c r="V2319" s="2"/>
      <c r="W2319" s="2"/>
      <c r="X2319" s="2"/>
      <c r="Y2319" s="2"/>
    </row>
    <row r="2320" spans="1:25" x14ac:dyDescent="0.2">
      <c r="A2320">
        <v>3683</v>
      </c>
      <c r="B2320" t="s">
        <v>5169</v>
      </c>
      <c r="C2320" t="s">
        <v>18</v>
      </c>
      <c r="D2320" t="s">
        <v>5170</v>
      </c>
      <c r="E2320" t="s">
        <v>1214</v>
      </c>
      <c r="F2320" t="s">
        <v>248</v>
      </c>
      <c r="G2320" t="s">
        <v>17</v>
      </c>
      <c r="H2320" t="b">
        <v>1</v>
      </c>
      <c r="I2320" t="b">
        <v>1</v>
      </c>
      <c r="L2320" t="b">
        <v>1</v>
      </c>
      <c r="M2320" t="s">
        <v>5172</v>
      </c>
    </row>
    <row r="2321" spans="1:25" x14ac:dyDescent="0.2">
      <c r="A2321">
        <v>3684</v>
      </c>
      <c r="B2321" t="s">
        <v>5169</v>
      </c>
      <c r="C2321" t="s">
        <v>18</v>
      </c>
      <c r="D2321" t="s">
        <v>5173</v>
      </c>
      <c r="E2321" t="s">
        <v>5174</v>
      </c>
      <c r="F2321" t="s">
        <v>248</v>
      </c>
      <c r="G2321" t="s">
        <v>17</v>
      </c>
      <c r="H2321" t="b">
        <v>1</v>
      </c>
      <c r="I2321" t="b">
        <v>1</v>
      </c>
      <c r="L2321" t="b">
        <v>1</v>
      </c>
      <c r="M2321" t="s">
        <v>5175</v>
      </c>
    </row>
    <row r="2322" spans="1:25" x14ac:dyDescent="0.2">
      <c r="A2322">
        <v>3685</v>
      </c>
      <c r="B2322" t="s">
        <v>5169</v>
      </c>
      <c r="C2322" t="s">
        <v>18</v>
      </c>
      <c r="D2322" t="s">
        <v>5176</v>
      </c>
      <c r="E2322" t="s">
        <v>5177</v>
      </c>
      <c r="F2322" t="s">
        <v>248</v>
      </c>
      <c r="G2322" t="s">
        <v>17</v>
      </c>
      <c r="H2322" t="b">
        <v>0</v>
      </c>
      <c r="I2322" t="b">
        <v>0</v>
      </c>
      <c r="L2322" t="b">
        <v>0</v>
      </c>
      <c r="M2322" t="s">
        <v>5178</v>
      </c>
    </row>
    <row r="2323" spans="1:25" x14ac:dyDescent="0.2">
      <c r="A2323">
        <v>3686</v>
      </c>
      <c r="B2323" t="s">
        <v>5169</v>
      </c>
      <c r="C2323" t="s">
        <v>18</v>
      </c>
      <c r="D2323" t="s">
        <v>5179</v>
      </c>
      <c r="E2323" t="s">
        <v>3032</v>
      </c>
      <c r="F2323" t="s">
        <v>248</v>
      </c>
      <c r="G2323" t="s">
        <v>17</v>
      </c>
      <c r="H2323" t="b">
        <v>0</v>
      </c>
      <c r="I2323" t="b">
        <v>0</v>
      </c>
      <c r="L2323" t="b">
        <v>0</v>
      </c>
      <c r="M2323" t="s">
        <v>5180</v>
      </c>
    </row>
    <row r="2324" spans="1:25" x14ac:dyDescent="0.2">
      <c r="A2324">
        <v>3687</v>
      </c>
      <c r="B2324" t="s">
        <v>5169</v>
      </c>
      <c r="C2324" t="s">
        <v>18</v>
      </c>
      <c r="D2324" t="s">
        <v>5181</v>
      </c>
      <c r="E2324" t="s">
        <v>5182</v>
      </c>
      <c r="F2324" t="s">
        <v>248</v>
      </c>
      <c r="G2324" t="s">
        <v>17</v>
      </c>
      <c r="H2324" t="b">
        <v>0</v>
      </c>
      <c r="I2324" t="b">
        <v>0</v>
      </c>
      <c r="L2324" t="b">
        <v>0</v>
      </c>
      <c r="M2324" t="s">
        <v>5183</v>
      </c>
      <c r="N2324" t="s">
        <v>5184</v>
      </c>
    </row>
    <row r="2326" spans="1:25" x14ac:dyDescent="0.2">
      <c r="A2326" s="2">
        <v>3703</v>
      </c>
      <c r="B2326" s="2" t="s">
        <v>5185</v>
      </c>
      <c r="C2326" s="2" t="s">
        <v>13</v>
      </c>
      <c r="D2326" s="2" t="s">
        <v>5186</v>
      </c>
      <c r="E2326" s="2" t="s">
        <v>5187</v>
      </c>
      <c r="F2326" s="2" t="s">
        <v>159</v>
      </c>
      <c r="G2326" s="2" t="s">
        <v>17</v>
      </c>
      <c r="H2326" s="2"/>
      <c r="I2326" s="2"/>
      <c r="J2326" s="2"/>
      <c r="K2326" s="2"/>
      <c r="L2326" s="2"/>
      <c r="M2326" s="2"/>
      <c r="N2326" s="2"/>
      <c r="O2326" s="2"/>
      <c r="P2326" s="2"/>
      <c r="Q2326" s="2"/>
      <c r="R2326" s="2"/>
      <c r="S2326" s="2"/>
      <c r="T2326" s="2"/>
      <c r="U2326" s="2"/>
      <c r="V2326" s="2"/>
      <c r="W2326" s="2"/>
      <c r="X2326" s="2"/>
      <c r="Y2326" s="2"/>
    </row>
    <row r="2327" spans="1:25" x14ac:dyDescent="0.2">
      <c r="A2327">
        <v>3704</v>
      </c>
      <c r="B2327" t="s">
        <v>5185</v>
      </c>
      <c r="C2327" t="s">
        <v>18</v>
      </c>
      <c r="D2327" t="s">
        <v>5186</v>
      </c>
      <c r="E2327" t="s">
        <v>1530</v>
      </c>
      <c r="F2327" t="s">
        <v>82</v>
      </c>
      <c r="G2327" t="s">
        <v>17</v>
      </c>
      <c r="H2327" t="b">
        <v>1</v>
      </c>
      <c r="K2327" t="b">
        <v>1</v>
      </c>
      <c r="L2327" t="b">
        <v>1</v>
      </c>
    </row>
    <row r="2328" spans="1:25" x14ac:dyDescent="0.2">
      <c r="A2328">
        <v>3705</v>
      </c>
      <c r="B2328" t="s">
        <v>5185</v>
      </c>
      <c r="C2328" t="s">
        <v>18</v>
      </c>
      <c r="D2328" t="s">
        <v>5188</v>
      </c>
      <c r="E2328" t="s">
        <v>1189</v>
      </c>
      <c r="F2328" t="s">
        <v>82</v>
      </c>
      <c r="G2328" t="s">
        <v>17</v>
      </c>
      <c r="H2328" t="b">
        <v>1</v>
      </c>
      <c r="K2328" t="b">
        <v>1</v>
      </c>
      <c r="L2328" t="b">
        <v>1</v>
      </c>
      <c r="M2328" t="s">
        <v>5189</v>
      </c>
    </row>
    <row r="2329" spans="1:25" x14ac:dyDescent="0.2">
      <c r="A2329">
        <v>3706</v>
      </c>
      <c r="B2329" t="s">
        <v>5185</v>
      </c>
      <c r="C2329" t="s">
        <v>18</v>
      </c>
      <c r="D2329" t="s">
        <v>5190</v>
      </c>
      <c r="E2329" t="s">
        <v>2573</v>
      </c>
      <c r="F2329" t="s">
        <v>45</v>
      </c>
      <c r="G2329" t="s">
        <v>24</v>
      </c>
      <c r="H2329" t="b">
        <v>0</v>
      </c>
      <c r="K2329" t="b">
        <v>0</v>
      </c>
      <c r="L2329" t="b">
        <v>0</v>
      </c>
    </row>
    <row r="2330" spans="1:25" x14ac:dyDescent="0.2">
      <c r="A2330">
        <v>3707</v>
      </c>
      <c r="B2330" t="s">
        <v>5185</v>
      </c>
      <c r="C2330" t="s">
        <v>18</v>
      </c>
      <c r="D2330" t="s">
        <v>5191</v>
      </c>
      <c r="E2330" t="s">
        <v>5192</v>
      </c>
      <c r="F2330" t="s">
        <v>45</v>
      </c>
      <c r="G2330" t="s">
        <v>24</v>
      </c>
      <c r="H2330" t="b">
        <v>0</v>
      </c>
      <c r="K2330" t="b">
        <v>0</v>
      </c>
      <c r="L2330" t="b">
        <v>0</v>
      </c>
      <c r="M2330" t="s">
        <v>5193</v>
      </c>
      <c r="N2330" t="s">
        <v>745</v>
      </c>
    </row>
    <row r="2331" spans="1:25" x14ac:dyDescent="0.2">
      <c r="A2331">
        <v>3708</v>
      </c>
      <c r="B2331" t="s">
        <v>5185</v>
      </c>
      <c r="C2331" t="s">
        <v>18</v>
      </c>
      <c r="D2331" t="s">
        <v>4704</v>
      </c>
      <c r="E2331" t="s">
        <v>4705</v>
      </c>
      <c r="F2331" t="s">
        <v>205</v>
      </c>
      <c r="G2331" t="s">
        <v>17</v>
      </c>
      <c r="H2331" t="b">
        <v>0</v>
      </c>
      <c r="K2331" t="b">
        <v>0</v>
      </c>
      <c r="L2331" t="b">
        <v>0</v>
      </c>
      <c r="M2331" t="s">
        <v>4706</v>
      </c>
      <c r="N2331" t="s">
        <v>745</v>
      </c>
    </row>
    <row r="2333" spans="1:25" x14ac:dyDescent="0.2">
      <c r="A2333" s="2">
        <v>371</v>
      </c>
      <c r="B2333" s="2" t="s">
        <v>5194</v>
      </c>
      <c r="C2333" s="2" t="s">
        <v>13</v>
      </c>
      <c r="D2333" s="2" t="s">
        <v>5195</v>
      </c>
      <c r="E2333" s="2" t="s">
        <v>5196</v>
      </c>
      <c r="F2333" s="2" t="s">
        <v>670</v>
      </c>
      <c r="G2333" s="2" t="s">
        <v>24</v>
      </c>
      <c r="H2333" s="2"/>
      <c r="I2333" s="2"/>
      <c r="J2333" s="2"/>
      <c r="K2333" s="2"/>
      <c r="L2333" s="2"/>
      <c r="M2333" s="2"/>
      <c r="N2333" s="2"/>
      <c r="O2333" s="2"/>
      <c r="P2333" s="2"/>
      <c r="Q2333" s="2"/>
      <c r="R2333" s="2"/>
      <c r="S2333" s="2"/>
      <c r="T2333" s="2"/>
      <c r="U2333" s="2"/>
      <c r="V2333" s="2"/>
      <c r="W2333" s="2"/>
      <c r="X2333" s="2"/>
      <c r="Y2333" s="2"/>
    </row>
    <row r="2334" spans="1:25" x14ac:dyDescent="0.2">
      <c r="A2334">
        <v>372</v>
      </c>
      <c r="B2334" t="s">
        <v>5194</v>
      </c>
      <c r="C2334" t="s">
        <v>18</v>
      </c>
      <c r="D2334" t="s">
        <v>5197</v>
      </c>
      <c r="E2334" t="s">
        <v>5198</v>
      </c>
      <c r="F2334" t="s">
        <v>670</v>
      </c>
      <c r="G2334" t="s">
        <v>24</v>
      </c>
      <c r="H2334" t="b">
        <v>1</v>
      </c>
      <c r="K2334" t="b">
        <v>1</v>
      </c>
      <c r="L2334" t="b">
        <v>1</v>
      </c>
      <c r="M2334" t="s">
        <v>5199</v>
      </c>
      <c r="N2334" t="s">
        <v>5200</v>
      </c>
    </row>
    <row r="2335" spans="1:25" x14ac:dyDescent="0.2">
      <c r="A2335">
        <v>373</v>
      </c>
      <c r="B2335" t="s">
        <v>5194</v>
      </c>
      <c r="C2335" t="s">
        <v>18</v>
      </c>
      <c r="D2335" t="s">
        <v>5201</v>
      </c>
      <c r="E2335" t="s">
        <v>5202</v>
      </c>
      <c r="F2335" t="s">
        <v>670</v>
      </c>
      <c r="G2335" t="s">
        <v>24</v>
      </c>
      <c r="H2335" t="b">
        <v>1</v>
      </c>
      <c r="K2335" t="b">
        <v>1</v>
      </c>
      <c r="L2335" t="b">
        <v>1</v>
      </c>
      <c r="M2335" t="s">
        <v>5203</v>
      </c>
      <c r="N2335" t="s">
        <v>5204</v>
      </c>
    </row>
    <row r="2336" spans="1:25" x14ac:dyDescent="0.2">
      <c r="A2336">
        <v>374</v>
      </c>
      <c r="B2336" t="s">
        <v>5194</v>
      </c>
      <c r="C2336" t="s">
        <v>18</v>
      </c>
      <c r="D2336" t="s">
        <v>5205</v>
      </c>
      <c r="E2336" t="s">
        <v>5206</v>
      </c>
      <c r="F2336" t="s">
        <v>23</v>
      </c>
      <c r="G2336" t="s">
        <v>24</v>
      </c>
      <c r="H2336" t="b">
        <v>0</v>
      </c>
      <c r="K2336" t="b">
        <v>0</v>
      </c>
      <c r="L2336" t="b">
        <v>0</v>
      </c>
      <c r="M2336" t="s">
        <v>5207</v>
      </c>
      <c r="N2336" t="s">
        <v>5208</v>
      </c>
    </row>
    <row r="2337" spans="1:25" x14ac:dyDescent="0.2">
      <c r="A2337">
        <v>375</v>
      </c>
      <c r="B2337" t="s">
        <v>5194</v>
      </c>
      <c r="C2337" t="s">
        <v>18</v>
      </c>
      <c r="D2337" t="s">
        <v>5209</v>
      </c>
      <c r="E2337" t="s">
        <v>3263</v>
      </c>
      <c r="F2337" t="s">
        <v>670</v>
      </c>
      <c r="G2337" t="s">
        <v>24</v>
      </c>
      <c r="H2337" t="b">
        <v>0</v>
      </c>
      <c r="K2337" t="b">
        <v>0</v>
      </c>
      <c r="L2337" t="b">
        <v>0</v>
      </c>
      <c r="M2337" t="s">
        <v>5210</v>
      </c>
      <c r="N2337" t="s">
        <v>5211</v>
      </c>
    </row>
    <row r="2338" spans="1:25" x14ac:dyDescent="0.2">
      <c r="A2338">
        <v>376</v>
      </c>
      <c r="B2338" t="s">
        <v>5194</v>
      </c>
      <c r="C2338" t="s">
        <v>18</v>
      </c>
      <c r="D2338" t="s">
        <v>4158</v>
      </c>
      <c r="E2338" t="s">
        <v>4159</v>
      </c>
      <c r="F2338" t="s">
        <v>168</v>
      </c>
      <c r="G2338" t="s">
        <v>24</v>
      </c>
      <c r="H2338" t="b">
        <v>0</v>
      </c>
      <c r="K2338" t="b">
        <v>0</v>
      </c>
      <c r="L2338" t="b">
        <v>0</v>
      </c>
      <c r="M2338" t="s">
        <v>4160</v>
      </c>
      <c r="N2338" t="s">
        <v>4161</v>
      </c>
    </row>
    <row r="2340" spans="1:25" x14ac:dyDescent="0.2">
      <c r="A2340" s="2">
        <v>3731</v>
      </c>
      <c r="B2340" s="2" t="s">
        <v>5212</v>
      </c>
      <c r="C2340" s="2" t="s">
        <v>13</v>
      </c>
      <c r="D2340" s="2" t="s">
        <v>5213</v>
      </c>
      <c r="E2340" s="2" t="s">
        <v>5214</v>
      </c>
      <c r="F2340" s="2" t="s">
        <v>78</v>
      </c>
      <c r="G2340" s="2" t="s">
        <v>17</v>
      </c>
      <c r="H2340" s="2"/>
      <c r="I2340" s="2"/>
      <c r="J2340" s="2"/>
      <c r="K2340" s="2"/>
      <c r="L2340" s="2"/>
      <c r="M2340" s="2"/>
      <c r="N2340" s="2"/>
      <c r="O2340" s="2"/>
      <c r="P2340" s="2"/>
      <c r="Q2340" s="2"/>
      <c r="R2340" s="2"/>
      <c r="S2340" s="2"/>
      <c r="T2340" s="2"/>
      <c r="U2340" s="2"/>
      <c r="V2340" s="2"/>
      <c r="W2340" s="2"/>
      <c r="X2340" s="2"/>
      <c r="Y2340" s="2"/>
    </row>
    <row r="2341" spans="1:25" x14ac:dyDescent="0.2">
      <c r="A2341">
        <v>3732</v>
      </c>
      <c r="B2341" t="s">
        <v>5212</v>
      </c>
      <c r="C2341" t="s">
        <v>18</v>
      </c>
      <c r="D2341" t="s">
        <v>5213</v>
      </c>
      <c r="E2341" t="s">
        <v>5214</v>
      </c>
      <c r="F2341" t="s">
        <v>5215</v>
      </c>
      <c r="G2341" t="s">
        <v>17</v>
      </c>
      <c r="H2341" t="b">
        <v>1</v>
      </c>
      <c r="I2341" t="b">
        <v>1</v>
      </c>
      <c r="L2341" t="b">
        <v>1</v>
      </c>
      <c r="M2341" t="s">
        <v>5216</v>
      </c>
      <c r="N2341" t="s">
        <v>5217</v>
      </c>
    </row>
    <row r="2342" spans="1:25" x14ac:dyDescent="0.2">
      <c r="A2342">
        <v>3733</v>
      </c>
      <c r="B2342" t="s">
        <v>5212</v>
      </c>
      <c r="C2342" t="s">
        <v>18</v>
      </c>
      <c r="D2342" t="s">
        <v>221</v>
      </c>
      <c r="E2342" t="s">
        <v>222</v>
      </c>
      <c r="F2342" t="s">
        <v>82</v>
      </c>
      <c r="G2342" t="s">
        <v>17</v>
      </c>
      <c r="H2342" t="b">
        <v>0</v>
      </c>
      <c r="I2342" t="b">
        <v>0</v>
      </c>
      <c r="L2342" t="b">
        <v>0</v>
      </c>
    </row>
    <row r="2343" spans="1:25" x14ac:dyDescent="0.2">
      <c r="A2343">
        <v>3734</v>
      </c>
      <c r="B2343" t="s">
        <v>5212</v>
      </c>
      <c r="C2343" t="s">
        <v>18</v>
      </c>
      <c r="D2343" t="s">
        <v>5218</v>
      </c>
      <c r="E2343" t="s">
        <v>5219</v>
      </c>
      <c r="F2343" t="s">
        <v>82</v>
      </c>
      <c r="G2343" t="s">
        <v>17</v>
      </c>
      <c r="H2343" t="b">
        <v>0</v>
      </c>
      <c r="I2343" t="b">
        <v>0</v>
      </c>
      <c r="L2343" t="b">
        <v>0</v>
      </c>
    </row>
    <row r="2344" spans="1:25" x14ac:dyDescent="0.2">
      <c r="A2344">
        <v>3735</v>
      </c>
      <c r="B2344" t="s">
        <v>5212</v>
      </c>
      <c r="C2344" t="s">
        <v>18</v>
      </c>
      <c r="D2344" t="s">
        <v>5220</v>
      </c>
      <c r="E2344" t="s">
        <v>5221</v>
      </c>
      <c r="F2344" t="s">
        <v>5215</v>
      </c>
      <c r="G2344" t="s">
        <v>5222</v>
      </c>
      <c r="H2344" t="b">
        <v>0</v>
      </c>
      <c r="I2344" t="b">
        <v>0</v>
      </c>
      <c r="L2344" t="b">
        <v>0</v>
      </c>
      <c r="M2344" t="s">
        <v>5223</v>
      </c>
      <c r="N2344" t="s">
        <v>5224</v>
      </c>
    </row>
    <row r="2345" spans="1:25" x14ac:dyDescent="0.2">
      <c r="A2345">
        <v>3736</v>
      </c>
      <c r="B2345" t="s">
        <v>5212</v>
      </c>
      <c r="C2345" t="s">
        <v>18</v>
      </c>
      <c r="D2345" t="s">
        <v>5225</v>
      </c>
      <c r="E2345" t="s">
        <v>5226</v>
      </c>
      <c r="F2345" t="s">
        <v>78</v>
      </c>
      <c r="G2345" t="s">
        <v>17</v>
      </c>
      <c r="H2345" t="b">
        <v>0</v>
      </c>
      <c r="I2345" t="b">
        <v>0</v>
      </c>
      <c r="L2345" t="b">
        <v>0</v>
      </c>
      <c r="M2345" t="s">
        <v>5227</v>
      </c>
      <c r="N2345" t="s">
        <v>5228</v>
      </c>
    </row>
    <row r="2347" spans="1:25" x14ac:dyDescent="0.2">
      <c r="A2347" s="2">
        <v>3738</v>
      </c>
      <c r="B2347" s="2" t="s">
        <v>5229</v>
      </c>
      <c r="C2347" s="2" t="s">
        <v>13</v>
      </c>
      <c r="D2347" s="2" t="s">
        <v>5230</v>
      </c>
      <c r="E2347" s="2" t="s">
        <v>5231</v>
      </c>
      <c r="F2347" s="2" t="s">
        <v>31</v>
      </c>
      <c r="G2347" s="2" t="s">
        <v>17</v>
      </c>
      <c r="H2347" s="2"/>
      <c r="I2347" s="2"/>
      <c r="J2347" s="2"/>
      <c r="K2347" s="2"/>
      <c r="L2347" s="2"/>
      <c r="M2347" s="2"/>
      <c r="N2347" s="2"/>
      <c r="O2347" s="2"/>
      <c r="P2347" s="2"/>
      <c r="Q2347" s="2"/>
      <c r="R2347" s="2"/>
      <c r="S2347" s="2"/>
      <c r="T2347" s="2"/>
      <c r="U2347" s="2"/>
      <c r="V2347" s="2"/>
      <c r="W2347" s="2"/>
      <c r="X2347" s="2"/>
      <c r="Y2347" s="2"/>
    </row>
    <row r="2348" spans="1:25" x14ac:dyDescent="0.2">
      <c r="A2348">
        <v>3739</v>
      </c>
      <c r="B2348" t="s">
        <v>5229</v>
      </c>
      <c r="C2348" t="s">
        <v>18</v>
      </c>
      <c r="D2348" t="s">
        <v>5232</v>
      </c>
      <c r="E2348" t="s">
        <v>3860</v>
      </c>
      <c r="F2348" t="s">
        <v>16</v>
      </c>
      <c r="G2348" t="s">
        <v>17</v>
      </c>
      <c r="H2348" t="b">
        <v>0</v>
      </c>
      <c r="K2348" t="b">
        <v>0</v>
      </c>
      <c r="L2348" t="b">
        <v>0</v>
      </c>
      <c r="M2348" t="s">
        <v>5233</v>
      </c>
      <c r="N2348" t="s">
        <v>5234</v>
      </c>
    </row>
    <row r="2349" spans="1:25" x14ac:dyDescent="0.2">
      <c r="A2349">
        <v>3740</v>
      </c>
      <c r="B2349" t="s">
        <v>5229</v>
      </c>
      <c r="C2349" t="s">
        <v>18</v>
      </c>
      <c r="D2349" t="s">
        <v>5235</v>
      </c>
      <c r="E2349" t="s">
        <v>5236</v>
      </c>
      <c r="F2349" t="s">
        <v>670</v>
      </c>
      <c r="G2349" t="s">
        <v>17</v>
      </c>
      <c r="H2349" t="b">
        <v>0</v>
      </c>
      <c r="K2349" t="b">
        <v>0</v>
      </c>
      <c r="L2349" t="b">
        <v>0</v>
      </c>
      <c r="M2349" t="s">
        <v>5237</v>
      </c>
      <c r="N2349" t="s">
        <v>5238</v>
      </c>
    </row>
    <row r="2350" spans="1:25" x14ac:dyDescent="0.2">
      <c r="A2350">
        <v>3741</v>
      </c>
      <c r="B2350" t="s">
        <v>5229</v>
      </c>
      <c r="C2350" t="s">
        <v>18</v>
      </c>
      <c r="D2350" t="s">
        <v>781</v>
      </c>
      <c r="E2350" t="s">
        <v>782</v>
      </c>
      <c r="F2350" t="s">
        <v>248</v>
      </c>
      <c r="G2350" t="s">
        <v>17</v>
      </c>
      <c r="H2350" t="b">
        <v>0</v>
      </c>
      <c r="K2350" t="b">
        <v>0</v>
      </c>
      <c r="L2350" t="b">
        <v>0</v>
      </c>
    </row>
    <row r="2351" spans="1:25" x14ac:dyDescent="0.2">
      <c r="A2351">
        <v>3742</v>
      </c>
      <c r="B2351" t="s">
        <v>5229</v>
      </c>
      <c r="C2351" t="s">
        <v>18</v>
      </c>
      <c r="D2351" t="s">
        <v>5239</v>
      </c>
      <c r="E2351" t="s">
        <v>643</v>
      </c>
      <c r="F2351" t="s">
        <v>670</v>
      </c>
      <c r="G2351" t="s">
        <v>17</v>
      </c>
      <c r="H2351" t="b">
        <v>0</v>
      </c>
      <c r="K2351" t="b">
        <v>0</v>
      </c>
      <c r="L2351" t="b">
        <v>0</v>
      </c>
      <c r="M2351" t="s">
        <v>5240</v>
      </c>
      <c r="N2351" t="s">
        <v>5241</v>
      </c>
    </row>
    <row r="2352" spans="1:25" x14ac:dyDescent="0.2">
      <c r="A2352">
        <v>3743</v>
      </c>
      <c r="B2352" t="s">
        <v>5229</v>
      </c>
      <c r="C2352" t="s">
        <v>18</v>
      </c>
      <c r="D2352" t="s">
        <v>3851</v>
      </c>
      <c r="E2352" t="s">
        <v>3852</v>
      </c>
      <c r="F2352" t="s">
        <v>670</v>
      </c>
      <c r="G2352" t="s">
        <v>17</v>
      </c>
      <c r="H2352" t="b">
        <v>0</v>
      </c>
      <c r="K2352" t="b">
        <v>0</v>
      </c>
      <c r="L2352" t="b">
        <v>0</v>
      </c>
      <c r="M2352" t="s">
        <v>3853</v>
      </c>
    </row>
    <row r="2354" spans="1:25" x14ac:dyDescent="0.2">
      <c r="A2354" s="2">
        <v>3752</v>
      </c>
      <c r="B2354" s="2" t="s">
        <v>5242</v>
      </c>
      <c r="C2354" s="2" t="s">
        <v>13</v>
      </c>
      <c r="D2354" s="2" t="s">
        <v>5243</v>
      </c>
      <c r="E2354" s="2" t="s">
        <v>5244</v>
      </c>
      <c r="F2354" s="2" t="s">
        <v>369</v>
      </c>
      <c r="G2354" s="2" t="s">
        <v>17</v>
      </c>
      <c r="H2354" s="2"/>
      <c r="I2354" s="2"/>
      <c r="J2354" s="2"/>
      <c r="K2354" s="2"/>
      <c r="L2354" s="2"/>
      <c r="M2354" s="2"/>
      <c r="N2354" s="2"/>
      <c r="O2354" s="2"/>
      <c r="P2354" s="2"/>
      <c r="Q2354" s="2"/>
      <c r="R2354" s="2"/>
      <c r="S2354" s="2"/>
      <c r="T2354" s="2"/>
      <c r="U2354" s="2"/>
      <c r="V2354" s="2"/>
      <c r="W2354" s="2"/>
      <c r="X2354" s="2"/>
      <c r="Y2354" s="2"/>
    </row>
    <row r="2355" spans="1:25" x14ac:dyDescent="0.2">
      <c r="A2355">
        <v>3753</v>
      </c>
      <c r="B2355" t="s">
        <v>5242</v>
      </c>
      <c r="C2355" t="s">
        <v>18</v>
      </c>
      <c r="D2355" t="s">
        <v>5243</v>
      </c>
      <c r="E2355" t="s">
        <v>5245</v>
      </c>
      <c r="F2355" t="s">
        <v>369</v>
      </c>
      <c r="G2355" t="s">
        <v>17</v>
      </c>
      <c r="H2355" t="b">
        <v>1</v>
      </c>
      <c r="K2355" t="b">
        <v>1</v>
      </c>
      <c r="L2355" t="b">
        <v>1</v>
      </c>
      <c r="M2355" t="s">
        <v>5246</v>
      </c>
      <c r="N2355" t="s">
        <v>5247</v>
      </c>
    </row>
    <row r="2356" spans="1:25" x14ac:dyDescent="0.2">
      <c r="A2356">
        <v>3754</v>
      </c>
      <c r="B2356" t="s">
        <v>5242</v>
      </c>
      <c r="C2356" t="s">
        <v>18</v>
      </c>
      <c r="D2356" t="s">
        <v>2905</v>
      </c>
      <c r="E2356" t="s">
        <v>2906</v>
      </c>
      <c r="F2356" t="s">
        <v>174</v>
      </c>
      <c r="G2356" t="s">
        <v>17</v>
      </c>
      <c r="H2356" t="b">
        <v>0</v>
      </c>
      <c r="K2356" t="b">
        <v>0</v>
      </c>
      <c r="L2356" t="b">
        <v>0</v>
      </c>
      <c r="M2356" t="s">
        <v>2907</v>
      </c>
      <c r="N2356" t="s">
        <v>2908</v>
      </c>
    </row>
    <row r="2357" spans="1:25" x14ac:dyDescent="0.2">
      <c r="A2357">
        <v>3755</v>
      </c>
      <c r="B2357" t="s">
        <v>5242</v>
      </c>
      <c r="C2357" t="s">
        <v>18</v>
      </c>
      <c r="D2357" t="s">
        <v>5248</v>
      </c>
      <c r="E2357" t="s">
        <v>5249</v>
      </c>
      <c r="F2357" t="s">
        <v>717</v>
      </c>
      <c r="G2357" t="s">
        <v>17</v>
      </c>
      <c r="H2357" t="b">
        <v>0</v>
      </c>
      <c r="K2357" t="b">
        <v>0</v>
      </c>
      <c r="L2357" t="b">
        <v>0</v>
      </c>
      <c r="M2357" t="s">
        <v>5250</v>
      </c>
      <c r="N2357" t="s">
        <v>5251</v>
      </c>
    </row>
    <row r="2358" spans="1:25" x14ac:dyDescent="0.2">
      <c r="A2358">
        <v>3756</v>
      </c>
      <c r="B2358" t="s">
        <v>5242</v>
      </c>
      <c r="C2358" t="s">
        <v>18</v>
      </c>
      <c r="D2358" t="s">
        <v>2901</v>
      </c>
      <c r="E2358" t="s">
        <v>2903</v>
      </c>
      <c r="F2358" t="s">
        <v>78</v>
      </c>
      <c r="G2358" t="s">
        <v>88</v>
      </c>
      <c r="H2358" t="b">
        <v>0</v>
      </c>
      <c r="K2358" t="b">
        <v>0</v>
      </c>
      <c r="L2358" t="b">
        <v>0</v>
      </c>
      <c r="M2358" t="s">
        <v>2904</v>
      </c>
    </row>
    <row r="2359" spans="1:25" x14ac:dyDescent="0.2">
      <c r="A2359">
        <v>3757</v>
      </c>
      <c r="B2359" t="s">
        <v>5242</v>
      </c>
      <c r="C2359" t="s">
        <v>18</v>
      </c>
      <c r="D2359" t="s">
        <v>5252</v>
      </c>
      <c r="E2359" t="s">
        <v>5253</v>
      </c>
      <c r="F2359" t="s">
        <v>16</v>
      </c>
      <c r="G2359" t="s">
        <v>24</v>
      </c>
      <c r="H2359" t="b">
        <v>0</v>
      </c>
      <c r="K2359" t="b">
        <v>0</v>
      </c>
      <c r="L2359" t="b">
        <v>0</v>
      </c>
      <c r="M2359" t="s">
        <v>5254</v>
      </c>
      <c r="N2359" t="s">
        <v>5255</v>
      </c>
    </row>
    <row r="2361" spans="1:25" x14ac:dyDescent="0.2">
      <c r="A2361" s="2">
        <v>3773</v>
      </c>
      <c r="B2361" s="2" t="s">
        <v>5256</v>
      </c>
      <c r="C2361" s="2" t="s">
        <v>13</v>
      </c>
      <c r="D2361" s="2" t="s">
        <v>2090</v>
      </c>
      <c r="E2361" s="2" t="s">
        <v>2091</v>
      </c>
      <c r="F2361" s="2" t="s">
        <v>200</v>
      </c>
      <c r="G2361" s="2" t="s">
        <v>345</v>
      </c>
      <c r="H2361" s="2"/>
      <c r="I2361" s="2"/>
      <c r="J2361" s="2"/>
      <c r="K2361" s="2"/>
      <c r="L2361" s="2"/>
      <c r="M2361" s="2"/>
      <c r="N2361" s="2"/>
      <c r="O2361" s="2"/>
      <c r="P2361" s="2"/>
      <c r="Q2361" s="2"/>
      <c r="R2361" s="2"/>
      <c r="S2361" s="2"/>
      <c r="T2361" s="2"/>
      <c r="U2361" s="2"/>
      <c r="V2361" s="2"/>
      <c r="W2361" s="2"/>
      <c r="X2361" s="2"/>
      <c r="Y2361" s="2"/>
    </row>
    <row r="2362" spans="1:25" x14ac:dyDescent="0.2">
      <c r="A2362">
        <v>3774</v>
      </c>
      <c r="B2362" t="s">
        <v>5256</v>
      </c>
      <c r="C2362" t="s">
        <v>18</v>
      </c>
      <c r="D2362" t="s">
        <v>2090</v>
      </c>
      <c r="E2362" t="s">
        <v>2091</v>
      </c>
      <c r="F2362" t="s">
        <v>200</v>
      </c>
      <c r="G2362" t="s">
        <v>345</v>
      </c>
      <c r="H2362" t="b">
        <v>1</v>
      </c>
      <c r="I2362" t="b">
        <v>1</v>
      </c>
      <c r="L2362" t="b">
        <v>1</v>
      </c>
      <c r="M2362" t="s">
        <v>2092</v>
      </c>
      <c r="N2362" t="s">
        <v>2093</v>
      </c>
      <c r="O2362" t="s">
        <v>2094</v>
      </c>
      <c r="P2362" t="s">
        <v>2095</v>
      </c>
    </row>
    <row r="2363" spans="1:25" x14ac:dyDescent="0.2">
      <c r="A2363">
        <v>3775</v>
      </c>
      <c r="B2363" t="s">
        <v>5256</v>
      </c>
      <c r="C2363" t="s">
        <v>18</v>
      </c>
      <c r="D2363" t="s">
        <v>5257</v>
      </c>
      <c r="E2363" t="s">
        <v>5258</v>
      </c>
      <c r="F2363" t="s">
        <v>200</v>
      </c>
      <c r="G2363" t="s">
        <v>32</v>
      </c>
      <c r="H2363" t="b">
        <v>1</v>
      </c>
      <c r="I2363" t="b">
        <v>1</v>
      </c>
      <c r="L2363" t="b">
        <v>1</v>
      </c>
      <c r="M2363" t="s">
        <v>5259</v>
      </c>
    </row>
    <row r="2364" spans="1:25" x14ac:dyDescent="0.2">
      <c r="A2364">
        <v>3776</v>
      </c>
      <c r="B2364" t="s">
        <v>5256</v>
      </c>
      <c r="C2364" t="s">
        <v>18</v>
      </c>
      <c r="D2364" t="s">
        <v>2080</v>
      </c>
      <c r="E2364" t="s">
        <v>2082</v>
      </c>
      <c r="F2364" t="s">
        <v>200</v>
      </c>
      <c r="G2364" t="s">
        <v>345</v>
      </c>
      <c r="H2364" t="b">
        <v>0</v>
      </c>
      <c r="I2364" t="b">
        <v>0</v>
      </c>
      <c r="L2364" t="b">
        <v>0</v>
      </c>
      <c r="M2364" t="s">
        <v>2083</v>
      </c>
      <c r="N2364" t="s">
        <v>2084</v>
      </c>
    </row>
    <row r="2365" spans="1:25" x14ac:dyDescent="0.2">
      <c r="A2365">
        <v>3777</v>
      </c>
      <c r="B2365" t="s">
        <v>5256</v>
      </c>
      <c r="C2365" t="s">
        <v>18</v>
      </c>
      <c r="D2365" t="s">
        <v>2096</v>
      </c>
      <c r="E2365" t="s">
        <v>2097</v>
      </c>
      <c r="F2365" t="s">
        <v>456</v>
      </c>
      <c r="G2365" t="s">
        <v>345</v>
      </c>
      <c r="H2365" t="b">
        <v>0</v>
      </c>
      <c r="I2365" t="b">
        <v>0</v>
      </c>
      <c r="L2365" t="b">
        <v>0</v>
      </c>
      <c r="M2365" t="s">
        <v>2098</v>
      </c>
    </row>
    <row r="2366" spans="1:25" x14ac:dyDescent="0.2">
      <c r="A2366">
        <v>3778</v>
      </c>
      <c r="B2366" t="s">
        <v>5256</v>
      </c>
      <c r="C2366" t="s">
        <v>18</v>
      </c>
      <c r="D2366" t="s">
        <v>2085</v>
      </c>
      <c r="E2366" t="s">
        <v>1435</v>
      </c>
      <c r="F2366" t="s">
        <v>200</v>
      </c>
      <c r="G2366" t="s">
        <v>32</v>
      </c>
      <c r="H2366" t="b">
        <v>0</v>
      </c>
      <c r="I2366" t="b">
        <v>0</v>
      </c>
      <c r="L2366" t="b">
        <v>0</v>
      </c>
    </row>
    <row r="2368" spans="1:25" x14ac:dyDescent="0.2">
      <c r="A2368" s="2">
        <v>378</v>
      </c>
      <c r="B2368" s="2" t="s">
        <v>5260</v>
      </c>
      <c r="C2368" s="2" t="s">
        <v>13</v>
      </c>
      <c r="D2368" s="2" t="s">
        <v>5261</v>
      </c>
      <c r="E2368" s="2" t="s">
        <v>5262</v>
      </c>
      <c r="F2368" s="2" t="s">
        <v>369</v>
      </c>
      <c r="G2368" s="2" t="s">
        <v>17</v>
      </c>
      <c r="H2368" s="2"/>
      <c r="I2368" s="2"/>
      <c r="J2368" s="2"/>
      <c r="K2368" s="2"/>
      <c r="L2368" s="2"/>
      <c r="M2368" s="2"/>
      <c r="N2368" s="2"/>
      <c r="O2368" s="2"/>
      <c r="P2368" s="2"/>
      <c r="Q2368" s="2"/>
      <c r="R2368" s="2"/>
      <c r="S2368" s="2"/>
      <c r="T2368" s="2"/>
      <c r="U2368" s="2"/>
      <c r="V2368" s="2"/>
      <c r="W2368" s="2"/>
      <c r="X2368" s="2"/>
      <c r="Y2368" s="2"/>
    </row>
    <row r="2369" spans="1:25" x14ac:dyDescent="0.2">
      <c r="A2369">
        <v>379</v>
      </c>
      <c r="B2369" t="s">
        <v>5260</v>
      </c>
      <c r="C2369" t="s">
        <v>18</v>
      </c>
      <c r="D2369" t="s">
        <v>5263</v>
      </c>
      <c r="E2369" t="s">
        <v>5264</v>
      </c>
      <c r="F2369" t="s">
        <v>369</v>
      </c>
      <c r="G2369" t="s">
        <v>17</v>
      </c>
      <c r="H2369" t="b">
        <v>0</v>
      </c>
      <c r="K2369" t="b">
        <v>1</v>
      </c>
      <c r="L2369" t="b">
        <v>0</v>
      </c>
      <c r="M2369" t="s">
        <v>5265</v>
      </c>
    </row>
    <row r="2370" spans="1:25" x14ac:dyDescent="0.2">
      <c r="A2370">
        <v>380</v>
      </c>
      <c r="B2370" t="s">
        <v>5260</v>
      </c>
      <c r="C2370" t="s">
        <v>18</v>
      </c>
      <c r="D2370" t="s">
        <v>5266</v>
      </c>
      <c r="E2370" t="s">
        <v>5267</v>
      </c>
      <c r="F2370" t="s">
        <v>369</v>
      </c>
      <c r="G2370" t="s">
        <v>17</v>
      </c>
      <c r="H2370" t="b">
        <v>0</v>
      </c>
      <c r="K2370" t="b">
        <v>1</v>
      </c>
      <c r="L2370" t="b">
        <v>0</v>
      </c>
    </row>
    <row r="2371" spans="1:25" x14ac:dyDescent="0.2">
      <c r="A2371">
        <v>381</v>
      </c>
      <c r="B2371" t="s">
        <v>5260</v>
      </c>
      <c r="C2371" t="s">
        <v>18</v>
      </c>
      <c r="D2371" t="s">
        <v>5268</v>
      </c>
      <c r="E2371" t="s">
        <v>5269</v>
      </c>
      <c r="F2371" t="s">
        <v>369</v>
      </c>
      <c r="G2371" t="s">
        <v>17</v>
      </c>
      <c r="H2371" t="b">
        <v>0</v>
      </c>
      <c r="K2371" t="b">
        <v>0</v>
      </c>
      <c r="L2371" t="b">
        <v>0</v>
      </c>
      <c r="M2371" t="s">
        <v>5270</v>
      </c>
      <c r="N2371" t="s">
        <v>5271</v>
      </c>
      <c r="O2371" t="s">
        <v>5272</v>
      </c>
    </row>
    <row r="2372" spans="1:25" x14ac:dyDescent="0.2">
      <c r="A2372">
        <v>382</v>
      </c>
      <c r="B2372" t="s">
        <v>5260</v>
      </c>
      <c r="C2372" t="s">
        <v>18</v>
      </c>
      <c r="D2372" t="s">
        <v>5273</v>
      </c>
      <c r="E2372" t="s">
        <v>5274</v>
      </c>
      <c r="F2372" t="s">
        <v>369</v>
      </c>
      <c r="G2372" t="s">
        <v>17</v>
      </c>
      <c r="H2372" t="b">
        <v>0</v>
      </c>
      <c r="K2372" t="b">
        <v>0</v>
      </c>
      <c r="L2372" t="b">
        <v>0</v>
      </c>
      <c r="M2372" t="s">
        <v>5275</v>
      </c>
      <c r="N2372" t="s">
        <v>5276</v>
      </c>
    </row>
    <row r="2373" spans="1:25" x14ac:dyDescent="0.2">
      <c r="A2373">
        <v>383</v>
      </c>
      <c r="B2373" t="s">
        <v>5260</v>
      </c>
      <c r="C2373" t="s">
        <v>18</v>
      </c>
      <c r="D2373" t="s">
        <v>5277</v>
      </c>
      <c r="E2373" t="s">
        <v>5278</v>
      </c>
      <c r="F2373" t="s">
        <v>159</v>
      </c>
      <c r="G2373" t="s">
        <v>17</v>
      </c>
      <c r="H2373" t="b">
        <v>0</v>
      </c>
      <c r="K2373" t="b">
        <v>0</v>
      </c>
      <c r="L2373" t="b">
        <v>0</v>
      </c>
      <c r="M2373" t="s">
        <v>5279</v>
      </c>
      <c r="N2373" t="s">
        <v>5280</v>
      </c>
    </row>
    <row r="2375" spans="1:25" x14ac:dyDescent="0.2">
      <c r="A2375" s="2">
        <v>3787</v>
      </c>
      <c r="B2375" s="2" t="s">
        <v>5281</v>
      </c>
      <c r="C2375" s="2" t="s">
        <v>13</v>
      </c>
      <c r="D2375" s="2" t="s">
        <v>2154</v>
      </c>
      <c r="E2375" s="2" t="s">
        <v>5282</v>
      </c>
      <c r="F2375" s="2" t="s">
        <v>205</v>
      </c>
      <c r="G2375" s="2" t="s">
        <v>252</v>
      </c>
      <c r="H2375" s="2"/>
      <c r="I2375" s="2"/>
      <c r="J2375" s="2"/>
      <c r="K2375" s="2"/>
      <c r="L2375" s="2"/>
      <c r="M2375" s="2"/>
      <c r="N2375" s="2"/>
      <c r="O2375" s="2"/>
      <c r="P2375" s="2"/>
      <c r="Q2375" s="2"/>
      <c r="R2375" s="2"/>
      <c r="S2375" s="2"/>
      <c r="T2375" s="2"/>
      <c r="U2375" s="2"/>
      <c r="V2375" s="2"/>
      <c r="W2375" s="2"/>
      <c r="X2375" s="2"/>
      <c r="Y2375" s="2"/>
    </row>
    <row r="2376" spans="1:25" x14ac:dyDescent="0.2">
      <c r="A2376">
        <v>3788</v>
      </c>
      <c r="B2376" t="s">
        <v>5281</v>
      </c>
      <c r="C2376" t="s">
        <v>18</v>
      </c>
      <c r="D2376" t="s">
        <v>2154</v>
      </c>
      <c r="E2376" t="s">
        <v>2155</v>
      </c>
      <c r="F2376" t="s">
        <v>205</v>
      </c>
      <c r="G2376" t="s">
        <v>252</v>
      </c>
      <c r="H2376" t="b">
        <v>1</v>
      </c>
      <c r="I2376" t="b">
        <v>1</v>
      </c>
      <c r="L2376" t="b">
        <v>1</v>
      </c>
      <c r="M2376" t="s">
        <v>2156</v>
      </c>
    </row>
    <row r="2377" spans="1:25" x14ac:dyDescent="0.2">
      <c r="A2377">
        <v>3789</v>
      </c>
      <c r="B2377" t="s">
        <v>5281</v>
      </c>
      <c r="C2377" t="s">
        <v>18</v>
      </c>
      <c r="D2377" t="s">
        <v>5283</v>
      </c>
      <c r="E2377" t="s">
        <v>1031</v>
      </c>
      <c r="F2377" t="s">
        <v>205</v>
      </c>
      <c r="G2377" t="s">
        <v>252</v>
      </c>
      <c r="H2377" t="b">
        <v>1</v>
      </c>
      <c r="I2377" t="b">
        <v>1</v>
      </c>
      <c r="L2377" t="b">
        <v>1</v>
      </c>
      <c r="M2377" t="s">
        <v>5284</v>
      </c>
    </row>
    <row r="2378" spans="1:25" x14ac:dyDescent="0.2">
      <c r="A2378">
        <v>3790</v>
      </c>
      <c r="B2378" t="s">
        <v>5281</v>
      </c>
      <c r="C2378" t="s">
        <v>18</v>
      </c>
      <c r="D2378" t="s">
        <v>2157</v>
      </c>
      <c r="E2378" t="s">
        <v>2158</v>
      </c>
      <c r="F2378" t="s">
        <v>2159</v>
      </c>
      <c r="G2378" t="s">
        <v>252</v>
      </c>
      <c r="H2378" t="b">
        <v>0</v>
      </c>
      <c r="I2378" t="b">
        <v>0</v>
      </c>
      <c r="L2378" t="b">
        <v>0</v>
      </c>
      <c r="M2378" t="s">
        <v>2160</v>
      </c>
      <c r="N2378" t="s">
        <v>2161</v>
      </c>
      <c r="O2378" t="s">
        <v>2162</v>
      </c>
      <c r="P2378" t="s">
        <v>2163</v>
      </c>
    </row>
    <row r="2379" spans="1:25" x14ac:dyDescent="0.2">
      <c r="A2379">
        <v>3791</v>
      </c>
      <c r="B2379" t="s">
        <v>5281</v>
      </c>
      <c r="C2379" t="s">
        <v>18</v>
      </c>
      <c r="D2379" t="s">
        <v>5285</v>
      </c>
      <c r="E2379" t="s">
        <v>5286</v>
      </c>
      <c r="F2379" t="s">
        <v>205</v>
      </c>
      <c r="G2379" t="s">
        <v>252</v>
      </c>
      <c r="H2379" t="b">
        <v>0</v>
      </c>
      <c r="I2379" t="b">
        <v>0</v>
      </c>
      <c r="L2379" t="b">
        <v>0</v>
      </c>
      <c r="M2379" t="s">
        <v>5287</v>
      </c>
    </row>
    <row r="2380" spans="1:25" x14ac:dyDescent="0.2">
      <c r="A2380">
        <v>3792</v>
      </c>
      <c r="B2380" t="s">
        <v>5281</v>
      </c>
      <c r="C2380" t="s">
        <v>18</v>
      </c>
      <c r="D2380" t="s">
        <v>2144</v>
      </c>
      <c r="E2380" t="s">
        <v>2145</v>
      </c>
      <c r="F2380" t="s">
        <v>654</v>
      </c>
      <c r="G2380" t="s">
        <v>252</v>
      </c>
      <c r="H2380" t="b">
        <v>0</v>
      </c>
      <c r="I2380" t="b">
        <v>0</v>
      </c>
      <c r="L2380" t="b">
        <v>0</v>
      </c>
      <c r="M2380" t="s">
        <v>2146</v>
      </c>
      <c r="N2380" t="s">
        <v>2147</v>
      </c>
      <c r="O2380" t="s">
        <v>2148</v>
      </c>
      <c r="P2380" t="s">
        <v>2149</v>
      </c>
    </row>
    <row r="2382" spans="1:25" x14ac:dyDescent="0.2">
      <c r="A2382" s="2">
        <v>3801</v>
      </c>
      <c r="B2382" s="2" t="s">
        <v>5288</v>
      </c>
      <c r="C2382" s="2" t="s">
        <v>13</v>
      </c>
      <c r="D2382" s="2" t="s">
        <v>5289</v>
      </c>
      <c r="E2382" s="2" t="s">
        <v>5290</v>
      </c>
      <c r="F2382" s="2" t="s">
        <v>159</v>
      </c>
      <c r="G2382" s="2" t="s">
        <v>17</v>
      </c>
      <c r="H2382" s="2"/>
      <c r="I2382" s="2"/>
      <c r="J2382" s="2"/>
      <c r="K2382" s="2"/>
      <c r="L2382" s="2"/>
      <c r="M2382" s="2"/>
      <c r="N2382" s="2"/>
      <c r="O2382" s="2"/>
      <c r="P2382" s="2"/>
      <c r="Q2382" s="2"/>
      <c r="R2382" s="2"/>
      <c r="S2382" s="2"/>
      <c r="T2382" s="2"/>
      <c r="U2382" s="2"/>
      <c r="V2382" s="2"/>
      <c r="W2382" s="2"/>
      <c r="X2382" s="2"/>
      <c r="Y2382" s="2"/>
    </row>
    <row r="2383" spans="1:25" x14ac:dyDescent="0.2">
      <c r="A2383">
        <v>3802</v>
      </c>
      <c r="B2383" t="s">
        <v>5288</v>
      </c>
      <c r="C2383" t="s">
        <v>18</v>
      </c>
      <c r="D2383" t="s">
        <v>5291</v>
      </c>
      <c r="E2383" t="s">
        <v>4483</v>
      </c>
      <c r="F2383" t="s">
        <v>248</v>
      </c>
      <c r="G2383" t="s">
        <v>345</v>
      </c>
      <c r="H2383" t="b">
        <v>0</v>
      </c>
      <c r="I2383" t="b">
        <v>0</v>
      </c>
      <c r="L2383" t="b">
        <v>0</v>
      </c>
      <c r="M2383" t="s">
        <v>5292</v>
      </c>
    </row>
    <row r="2384" spans="1:25" x14ac:dyDescent="0.2">
      <c r="A2384">
        <v>3803</v>
      </c>
      <c r="B2384" t="s">
        <v>5288</v>
      </c>
      <c r="C2384" t="s">
        <v>18</v>
      </c>
      <c r="D2384" t="s">
        <v>5293</v>
      </c>
      <c r="E2384" t="s">
        <v>381</v>
      </c>
      <c r="F2384" t="s">
        <v>31</v>
      </c>
      <c r="G2384" t="s">
        <v>24</v>
      </c>
      <c r="H2384" t="b">
        <v>0</v>
      </c>
      <c r="I2384" t="b">
        <v>0</v>
      </c>
      <c r="L2384" t="b">
        <v>0</v>
      </c>
      <c r="M2384" t="s">
        <v>5294</v>
      </c>
    </row>
    <row r="2385" spans="1:25" x14ac:dyDescent="0.2">
      <c r="A2385">
        <v>3804</v>
      </c>
      <c r="B2385" t="s">
        <v>5288</v>
      </c>
      <c r="C2385" t="s">
        <v>18</v>
      </c>
      <c r="D2385" t="s">
        <v>362</v>
      </c>
      <c r="E2385" t="s">
        <v>363</v>
      </c>
      <c r="F2385" t="s">
        <v>159</v>
      </c>
      <c r="G2385" t="s">
        <v>17</v>
      </c>
      <c r="H2385" t="b">
        <v>0</v>
      </c>
      <c r="I2385" t="b">
        <v>0</v>
      </c>
      <c r="L2385" t="b">
        <v>0</v>
      </c>
      <c r="M2385" t="s">
        <v>5295</v>
      </c>
    </row>
    <row r="2386" spans="1:25" x14ac:dyDescent="0.2">
      <c r="A2386">
        <v>3805</v>
      </c>
      <c r="B2386" t="s">
        <v>5288</v>
      </c>
      <c r="C2386" t="s">
        <v>18</v>
      </c>
      <c r="D2386" t="s">
        <v>367</v>
      </c>
      <c r="E2386" t="s">
        <v>368</v>
      </c>
      <c r="F2386" t="s">
        <v>369</v>
      </c>
      <c r="G2386" t="s">
        <v>17</v>
      </c>
      <c r="H2386" t="b">
        <v>0</v>
      </c>
      <c r="I2386" t="b">
        <v>0</v>
      </c>
      <c r="L2386" t="b">
        <v>0</v>
      </c>
      <c r="M2386" t="s">
        <v>5296</v>
      </c>
    </row>
    <row r="2387" spans="1:25" x14ac:dyDescent="0.2">
      <c r="A2387">
        <v>3806</v>
      </c>
      <c r="B2387" t="s">
        <v>5288</v>
      </c>
      <c r="C2387" t="s">
        <v>18</v>
      </c>
      <c r="D2387" t="s">
        <v>372</v>
      </c>
      <c r="E2387" t="s">
        <v>373</v>
      </c>
      <c r="F2387" t="s">
        <v>78</v>
      </c>
      <c r="G2387" t="s">
        <v>134</v>
      </c>
      <c r="H2387" t="b">
        <v>0</v>
      </c>
      <c r="I2387" t="b">
        <v>0</v>
      </c>
      <c r="L2387" t="b">
        <v>0</v>
      </c>
      <c r="M2387" t="s">
        <v>2794</v>
      </c>
      <c r="N2387" t="s">
        <v>2795</v>
      </c>
    </row>
    <row r="2389" spans="1:25" x14ac:dyDescent="0.2">
      <c r="A2389" s="2">
        <v>3815</v>
      </c>
      <c r="B2389" s="2" t="s">
        <v>5297</v>
      </c>
      <c r="C2389" s="2" t="s">
        <v>13</v>
      </c>
      <c r="D2389" s="2" t="s">
        <v>5298</v>
      </c>
      <c r="E2389" s="2" t="s">
        <v>5299</v>
      </c>
      <c r="F2389" s="2" t="s">
        <v>420</v>
      </c>
      <c r="G2389" s="2" t="s">
        <v>88</v>
      </c>
      <c r="H2389" s="2"/>
      <c r="I2389" s="2"/>
      <c r="J2389" s="2"/>
      <c r="K2389" s="2"/>
      <c r="L2389" s="2"/>
      <c r="M2389" s="2"/>
      <c r="N2389" s="2"/>
      <c r="O2389" s="2"/>
      <c r="P2389" s="2"/>
      <c r="Q2389" s="2"/>
      <c r="R2389" s="2"/>
      <c r="S2389" s="2"/>
      <c r="T2389" s="2"/>
      <c r="U2389" s="2"/>
      <c r="V2389" s="2"/>
      <c r="W2389" s="2"/>
      <c r="X2389" s="2"/>
      <c r="Y2389" s="2"/>
    </row>
    <row r="2390" spans="1:25" x14ac:dyDescent="0.2">
      <c r="A2390">
        <v>3816</v>
      </c>
      <c r="B2390" t="s">
        <v>5297</v>
      </c>
      <c r="C2390" t="s">
        <v>18</v>
      </c>
      <c r="D2390" t="s">
        <v>5298</v>
      </c>
      <c r="E2390" t="s">
        <v>5299</v>
      </c>
      <c r="F2390" t="s">
        <v>420</v>
      </c>
      <c r="G2390" t="s">
        <v>88</v>
      </c>
      <c r="H2390" t="b">
        <v>1</v>
      </c>
      <c r="I2390" t="b">
        <v>1</v>
      </c>
      <c r="L2390" t="b">
        <v>1</v>
      </c>
      <c r="M2390" t="s">
        <v>5300</v>
      </c>
      <c r="N2390" t="s">
        <v>5301</v>
      </c>
      <c r="O2390" t="s">
        <v>5302</v>
      </c>
      <c r="P2390" t="s">
        <v>5303</v>
      </c>
    </row>
    <row r="2391" spans="1:25" x14ac:dyDescent="0.2">
      <c r="A2391">
        <v>3817</v>
      </c>
      <c r="B2391" t="s">
        <v>5297</v>
      </c>
      <c r="C2391" t="s">
        <v>18</v>
      </c>
      <c r="D2391" t="s">
        <v>5304</v>
      </c>
      <c r="E2391" t="s">
        <v>5305</v>
      </c>
      <c r="F2391" t="s">
        <v>420</v>
      </c>
      <c r="G2391" t="s">
        <v>88</v>
      </c>
      <c r="H2391" t="b">
        <v>0</v>
      </c>
      <c r="I2391" t="b">
        <v>0</v>
      </c>
      <c r="L2391" t="b">
        <v>0</v>
      </c>
    </row>
    <row r="2392" spans="1:25" x14ac:dyDescent="0.2">
      <c r="A2392">
        <v>3818</v>
      </c>
      <c r="B2392" t="s">
        <v>5297</v>
      </c>
      <c r="C2392" t="s">
        <v>18</v>
      </c>
      <c r="D2392" t="s">
        <v>5306</v>
      </c>
      <c r="E2392" t="s">
        <v>5307</v>
      </c>
      <c r="F2392" t="s">
        <v>420</v>
      </c>
      <c r="G2392" t="s">
        <v>88</v>
      </c>
      <c r="H2392" t="b">
        <v>0</v>
      </c>
      <c r="I2392" t="b">
        <v>0</v>
      </c>
      <c r="L2392" t="b">
        <v>0</v>
      </c>
    </row>
    <row r="2393" spans="1:25" x14ac:dyDescent="0.2">
      <c r="A2393">
        <v>3819</v>
      </c>
      <c r="B2393" t="s">
        <v>5297</v>
      </c>
      <c r="C2393" t="s">
        <v>18</v>
      </c>
      <c r="D2393" t="s">
        <v>5308</v>
      </c>
      <c r="E2393" t="s">
        <v>5309</v>
      </c>
      <c r="F2393" t="s">
        <v>420</v>
      </c>
      <c r="G2393" t="s">
        <v>88</v>
      </c>
      <c r="H2393" t="b">
        <v>0</v>
      </c>
      <c r="I2393" t="b">
        <v>0</v>
      </c>
      <c r="L2393" t="b">
        <v>0</v>
      </c>
    </row>
    <row r="2394" spans="1:25" x14ac:dyDescent="0.2">
      <c r="A2394">
        <v>3820</v>
      </c>
      <c r="B2394" t="s">
        <v>5297</v>
      </c>
      <c r="C2394" t="s">
        <v>18</v>
      </c>
      <c r="D2394" t="s">
        <v>5310</v>
      </c>
      <c r="E2394" t="s">
        <v>5311</v>
      </c>
      <c r="F2394" t="s">
        <v>420</v>
      </c>
      <c r="G2394" t="s">
        <v>88</v>
      </c>
      <c r="H2394" t="b">
        <v>0</v>
      </c>
      <c r="I2394" t="b">
        <v>0</v>
      </c>
      <c r="L2394" t="b">
        <v>0</v>
      </c>
    </row>
    <row r="2396" spans="1:25" x14ac:dyDescent="0.2">
      <c r="A2396" s="2">
        <v>3836</v>
      </c>
      <c r="B2396" s="2" t="s">
        <v>5312</v>
      </c>
      <c r="C2396" s="2" t="s">
        <v>13</v>
      </c>
      <c r="D2396" s="2" t="s">
        <v>5313</v>
      </c>
      <c r="E2396" s="2" t="s">
        <v>5314</v>
      </c>
      <c r="F2396" s="2" t="s">
        <v>23</v>
      </c>
      <c r="G2396" s="2" t="s">
        <v>280</v>
      </c>
      <c r="H2396" s="2"/>
      <c r="I2396" s="2"/>
      <c r="J2396" s="2"/>
      <c r="K2396" s="2"/>
      <c r="L2396" s="2"/>
      <c r="M2396" s="2"/>
      <c r="N2396" s="2"/>
      <c r="O2396" s="2"/>
      <c r="P2396" s="2"/>
      <c r="Q2396" s="2"/>
      <c r="R2396" s="2"/>
      <c r="S2396" s="2"/>
      <c r="T2396" s="2"/>
      <c r="U2396" s="2"/>
      <c r="V2396" s="2"/>
      <c r="W2396" s="2"/>
      <c r="X2396" s="2"/>
      <c r="Y2396" s="2"/>
    </row>
    <row r="2397" spans="1:25" x14ac:dyDescent="0.2">
      <c r="A2397">
        <v>3837</v>
      </c>
      <c r="B2397" t="s">
        <v>5312</v>
      </c>
      <c r="C2397" t="s">
        <v>18</v>
      </c>
      <c r="D2397" t="s">
        <v>5313</v>
      </c>
      <c r="E2397" t="s">
        <v>4048</v>
      </c>
      <c r="F2397" t="s">
        <v>23</v>
      </c>
      <c r="G2397" t="s">
        <v>280</v>
      </c>
      <c r="H2397" t="b">
        <v>1</v>
      </c>
      <c r="K2397" t="b">
        <v>1</v>
      </c>
      <c r="L2397" t="b">
        <v>1</v>
      </c>
      <c r="M2397" t="s">
        <v>5315</v>
      </c>
      <c r="N2397" t="s">
        <v>5316</v>
      </c>
      <c r="O2397" t="s">
        <v>5317</v>
      </c>
    </row>
    <row r="2398" spans="1:25" x14ac:dyDescent="0.2">
      <c r="A2398">
        <v>3838</v>
      </c>
      <c r="B2398" t="s">
        <v>5312</v>
      </c>
      <c r="C2398" t="s">
        <v>18</v>
      </c>
      <c r="D2398" t="s">
        <v>5318</v>
      </c>
      <c r="E2398" t="s">
        <v>5319</v>
      </c>
      <c r="F2398" t="s">
        <v>23</v>
      </c>
      <c r="G2398" t="s">
        <v>280</v>
      </c>
      <c r="H2398" t="b">
        <v>1</v>
      </c>
      <c r="K2398" t="b">
        <v>1</v>
      </c>
      <c r="L2398" t="b">
        <v>1</v>
      </c>
      <c r="M2398" t="s">
        <v>5320</v>
      </c>
      <c r="N2398" t="s">
        <v>5321</v>
      </c>
      <c r="O2398" t="s">
        <v>5322</v>
      </c>
    </row>
    <row r="2399" spans="1:25" x14ac:dyDescent="0.2">
      <c r="A2399">
        <v>3839</v>
      </c>
      <c r="B2399" t="s">
        <v>5312</v>
      </c>
      <c r="C2399" t="s">
        <v>18</v>
      </c>
      <c r="D2399" t="s">
        <v>5323</v>
      </c>
      <c r="E2399" t="s">
        <v>3822</v>
      </c>
      <c r="F2399" t="s">
        <v>23</v>
      </c>
      <c r="G2399" t="s">
        <v>280</v>
      </c>
      <c r="H2399" t="b">
        <v>0</v>
      </c>
      <c r="K2399" t="b">
        <v>0</v>
      </c>
      <c r="L2399" t="b">
        <v>0</v>
      </c>
    </row>
    <row r="2400" spans="1:25" x14ac:dyDescent="0.2">
      <c r="A2400">
        <v>3840</v>
      </c>
      <c r="B2400" t="s">
        <v>5312</v>
      </c>
      <c r="C2400" t="s">
        <v>18</v>
      </c>
      <c r="D2400" t="s">
        <v>5324</v>
      </c>
      <c r="E2400" t="s">
        <v>4358</v>
      </c>
      <c r="F2400" t="s">
        <v>23</v>
      </c>
      <c r="G2400" t="s">
        <v>280</v>
      </c>
      <c r="H2400" t="b">
        <v>0</v>
      </c>
      <c r="K2400" t="b">
        <v>0</v>
      </c>
      <c r="L2400" t="b">
        <v>0</v>
      </c>
      <c r="M2400" t="s">
        <v>5325</v>
      </c>
    </row>
    <row r="2401" spans="1:25" x14ac:dyDescent="0.2">
      <c r="A2401">
        <v>3841</v>
      </c>
      <c r="B2401" t="s">
        <v>5312</v>
      </c>
      <c r="C2401" t="s">
        <v>18</v>
      </c>
      <c r="D2401" t="s">
        <v>5326</v>
      </c>
      <c r="E2401" t="s">
        <v>4558</v>
      </c>
      <c r="F2401" t="s">
        <v>23</v>
      </c>
      <c r="G2401" t="s">
        <v>280</v>
      </c>
      <c r="H2401" t="b">
        <v>0</v>
      </c>
      <c r="K2401" t="b">
        <v>0</v>
      </c>
      <c r="L2401" t="b">
        <v>0</v>
      </c>
      <c r="M2401" t="s">
        <v>5327</v>
      </c>
    </row>
    <row r="2403" spans="1:25" x14ac:dyDescent="0.2">
      <c r="A2403" s="2">
        <v>385</v>
      </c>
      <c r="B2403" s="2" t="s">
        <v>5328</v>
      </c>
      <c r="C2403" s="2" t="s">
        <v>13</v>
      </c>
      <c r="D2403" s="2" t="s">
        <v>5329</v>
      </c>
      <c r="E2403" s="2" t="s">
        <v>5330</v>
      </c>
      <c r="F2403" s="2" t="s">
        <v>248</v>
      </c>
      <c r="G2403" s="2" t="s">
        <v>134</v>
      </c>
      <c r="H2403" s="2"/>
      <c r="I2403" s="2"/>
      <c r="J2403" s="2"/>
      <c r="K2403" s="2"/>
      <c r="L2403" s="2"/>
      <c r="M2403" s="2"/>
      <c r="N2403" s="2"/>
      <c r="O2403" s="2"/>
      <c r="P2403" s="2"/>
      <c r="Q2403" s="2"/>
      <c r="R2403" s="2"/>
      <c r="S2403" s="2"/>
      <c r="T2403" s="2"/>
      <c r="U2403" s="2"/>
      <c r="V2403" s="2"/>
      <c r="W2403" s="2"/>
      <c r="X2403" s="2"/>
      <c r="Y2403" s="2"/>
    </row>
    <row r="2404" spans="1:25" x14ac:dyDescent="0.2">
      <c r="A2404">
        <v>386</v>
      </c>
      <c r="B2404" t="s">
        <v>5328</v>
      </c>
      <c r="C2404" t="s">
        <v>18</v>
      </c>
      <c r="D2404" t="s">
        <v>2308</v>
      </c>
      <c r="E2404" t="s">
        <v>2309</v>
      </c>
      <c r="F2404" t="s">
        <v>248</v>
      </c>
      <c r="G2404" t="s">
        <v>134</v>
      </c>
      <c r="H2404" t="b">
        <v>1</v>
      </c>
      <c r="I2404" t="b">
        <v>1</v>
      </c>
      <c r="L2404" t="b">
        <v>1</v>
      </c>
      <c r="M2404" t="s">
        <v>2310</v>
      </c>
      <c r="N2404" t="s">
        <v>2311</v>
      </c>
      <c r="O2404" t="s">
        <v>2312</v>
      </c>
    </row>
    <row r="2405" spans="1:25" x14ac:dyDescent="0.2">
      <c r="A2405">
        <v>387</v>
      </c>
      <c r="B2405" t="s">
        <v>5328</v>
      </c>
      <c r="C2405" t="s">
        <v>18</v>
      </c>
      <c r="D2405" t="s">
        <v>5331</v>
      </c>
      <c r="E2405" t="s">
        <v>5332</v>
      </c>
      <c r="F2405" t="s">
        <v>248</v>
      </c>
      <c r="G2405" t="s">
        <v>134</v>
      </c>
      <c r="H2405" t="b">
        <v>0</v>
      </c>
      <c r="I2405" t="b">
        <v>0</v>
      </c>
      <c r="L2405" t="b">
        <v>0</v>
      </c>
    </row>
    <row r="2406" spans="1:25" x14ac:dyDescent="0.2">
      <c r="A2406">
        <v>388</v>
      </c>
      <c r="B2406" t="s">
        <v>5328</v>
      </c>
      <c r="C2406" t="s">
        <v>18</v>
      </c>
      <c r="D2406" t="s">
        <v>5333</v>
      </c>
      <c r="E2406" t="s">
        <v>5334</v>
      </c>
      <c r="F2406" t="s">
        <v>248</v>
      </c>
      <c r="G2406" t="s">
        <v>134</v>
      </c>
      <c r="H2406" t="b">
        <v>0</v>
      </c>
      <c r="I2406" t="b">
        <v>0</v>
      </c>
      <c r="L2406" t="b">
        <v>0</v>
      </c>
    </row>
    <row r="2407" spans="1:25" x14ac:dyDescent="0.2">
      <c r="A2407">
        <v>389</v>
      </c>
      <c r="B2407" t="s">
        <v>5328</v>
      </c>
      <c r="C2407" t="s">
        <v>18</v>
      </c>
      <c r="D2407" t="s">
        <v>5335</v>
      </c>
      <c r="E2407" t="s">
        <v>5336</v>
      </c>
      <c r="F2407" t="s">
        <v>248</v>
      </c>
      <c r="G2407" t="s">
        <v>134</v>
      </c>
      <c r="H2407" t="b">
        <v>1</v>
      </c>
      <c r="I2407" t="b">
        <v>1</v>
      </c>
      <c r="L2407" t="b">
        <v>1</v>
      </c>
      <c r="M2407" t="s">
        <v>5337</v>
      </c>
    </row>
    <row r="2408" spans="1:25" x14ac:dyDescent="0.2">
      <c r="A2408">
        <v>390</v>
      </c>
      <c r="B2408" t="s">
        <v>5328</v>
      </c>
      <c r="C2408" t="s">
        <v>18</v>
      </c>
      <c r="D2408" t="s">
        <v>5338</v>
      </c>
      <c r="E2408" t="s">
        <v>5339</v>
      </c>
      <c r="F2408" t="s">
        <v>248</v>
      </c>
      <c r="G2408" t="s">
        <v>134</v>
      </c>
      <c r="H2408" t="b">
        <v>0</v>
      </c>
      <c r="I2408" t="b">
        <v>0</v>
      </c>
      <c r="L2408" t="b">
        <v>0</v>
      </c>
    </row>
    <row r="2410" spans="1:25" x14ac:dyDescent="0.2">
      <c r="A2410" s="2">
        <v>3864</v>
      </c>
      <c r="B2410" s="2" t="s">
        <v>5340</v>
      </c>
      <c r="C2410" s="2" t="s">
        <v>13</v>
      </c>
      <c r="D2410" s="2" t="s">
        <v>5341</v>
      </c>
      <c r="E2410" s="2" t="s">
        <v>5342</v>
      </c>
      <c r="F2410" s="2" t="s">
        <v>420</v>
      </c>
      <c r="G2410" s="2" t="s">
        <v>1405</v>
      </c>
      <c r="H2410" s="2"/>
      <c r="I2410" s="2"/>
      <c r="J2410" s="2"/>
      <c r="K2410" s="2"/>
      <c r="L2410" s="2"/>
      <c r="M2410" s="2"/>
      <c r="N2410" s="2"/>
      <c r="O2410" s="2"/>
      <c r="P2410" s="2"/>
      <c r="Q2410" s="2"/>
      <c r="R2410" s="2"/>
      <c r="S2410" s="2"/>
      <c r="T2410" s="2"/>
      <c r="U2410" s="2"/>
      <c r="V2410" s="2"/>
      <c r="W2410" s="2"/>
      <c r="X2410" s="2"/>
      <c r="Y2410" s="2"/>
    </row>
    <row r="2411" spans="1:25" x14ac:dyDescent="0.2">
      <c r="A2411">
        <v>3865</v>
      </c>
      <c r="B2411" t="s">
        <v>5340</v>
      </c>
      <c r="C2411" t="s">
        <v>18</v>
      </c>
      <c r="D2411" t="s">
        <v>5343</v>
      </c>
      <c r="E2411" t="s">
        <v>5344</v>
      </c>
      <c r="F2411" t="s">
        <v>420</v>
      </c>
      <c r="G2411" t="s">
        <v>1406</v>
      </c>
      <c r="H2411" t="b">
        <v>1</v>
      </c>
      <c r="I2411" t="b">
        <v>1</v>
      </c>
      <c r="L2411" t="b">
        <v>1</v>
      </c>
      <c r="M2411" t="s">
        <v>5345</v>
      </c>
    </row>
    <row r="2412" spans="1:25" x14ac:dyDescent="0.2">
      <c r="A2412">
        <v>3866</v>
      </c>
      <c r="B2412" t="s">
        <v>5340</v>
      </c>
      <c r="C2412" t="s">
        <v>18</v>
      </c>
      <c r="D2412" t="s">
        <v>5341</v>
      </c>
      <c r="E2412" t="s">
        <v>5346</v>
      </c>
      <c r="F2412" t="s">
        <v>420</v>
      </c>
      <c r="G2412" t="s">
        <v>1406</v>
      </c>
      <c r="H2412" t="b">
        <v>1</v>
      </c>
      <c r="I2412" t="b">
        <v>1</v>
      </c>
      <c r="L2412" t="b">
        <v>1</v>
      </c>
      <c r="M2412" t="s">
        <v>5347</v>
      </c>
    </row>
    <row r="2413" spans="1:25" x14ac:dyDescent="0.2">
      <c r="A2413">
        <v>3867</v>
      </c>
      <c r="B2413" t="s">
        <v>5340</v>
      </c>
      <c r="C2413" t="s">
        <v>18</v>
      </c>
      <c r="D2413" t="s">
        <v>5348</v>
      </c>
      <c r="E2413" t="s">
        <v>5349</v>
      </c>
      <c r="F2413" t="s">
        <v>205</v>
      </c>
      <c r="G2413" t="s">
        <v>1406</v>
      </c>
      <c r="H2413" t="b">
        <v>0</v>
      </c>
      <c r="I2413" t="b">
        <v>0</v>
      </c>
      <c r="L2413" t="b">
        <v>0</v>
      </c>
      <c r="M2413" t="s">
        <v>5350</v>
      </c>
      <c r="N2413" t="s">
        <v>5351</v>
      </c>
    </row>
    <row r="2414" spans="1:25" x14ac:dyDescent="0.2">
      <c r="A2414">
        <v>3868</v>
      </c>
      <c r="B2414" t="s">
        <v>5340</v>
      </c>
      <c r="C2414" t="s">
        <v>18</v>
      </c>
      <c r="D2414" t="s">
        <v>5352</v>
      </c>
      <c r="E2414" t="s">
        <v>3146</v>
      </c>
      <c r="F2414" t="s">
        <v>420</v>
      </c>
      <c r="G2414" t="s">
        <v>1406</v>
      </c>
      <c r="H2414" t="b">
        <v>0</v>
      </c>
      <c r="I2414" t="b">
        <v>0</v>
      </c>
      <c r="L2414" t="b">
        <v>0</v>
      </c>
      <c r="M2414" t="s">
        <v>5353</v>
      </c>
      <c r="N2414" t="s">
        <v>5354</v>
      </c>
    </row>
    <row r="2415" spans="1:25" x14ac:dyDescent="0.2">
      <c r="A2415">
        <v>3869</v>
      </c>
      <c r="B2415" t="s">
        <v>5340</v>
      </c>
      <c r="C2415" t="s">
        <v>18</v>
      </c>
      <c r="D2415" t="s">
        <v>5355</v>
      </c>
      <c r="E2415" t="s">
        <v>5356</v>
      </c>
      <c r="F2415" t="s">
        <v>205</v>
      </c>
      <c r="G2415" t="s">
        <v>1406</v>
      </c>
      <c r="H2415" t="b">
        <v>0</v>
      </c>
      <c r="I2415" t="b">
        <v>0</v>
      </c>
      <c r="L2415" t="b">
        <v>0</v>
      </c>
      <c r="M2415" t="s">
        <v>5357</v>
      </c>
      <c r="N2415" t="s">
        <v>745</v>
      </c>
    </row>
    <row r="2417" spans="1:25" x14ac:dyDescent="0.2">
      <c r="A2417" s="2">
        <v>3885</v>
      </c>
      <c r="B2417" s="2" t="s">
        <v>5358</v>
      </c>
      <c r="C2417" s="2" t="s">
        <v>13</v>
      </c>
      <c r="D2417" s="2" t="s">
        <v>5359</v>
      </c>
      <c r="E2417" s="2" t="s">
        <v>5360</v>
      </c>
      <c r="F2417" s="2" t="s">
        <v>31</v>
      </c>
      <c r="G2417" s="2" t="s">
        <v>638</v>
      </c>
      <c r="H2417" s="2"/>
      <c r="I2417" s="2"/>
      <c r="J2417" s="2"/>
      <c r="K2417" s="2"/>
      <c r="L2417" s="2"/>
      <c r="M2417" s="2"/>
      <c r="N2417" s="2"/>
      <c r="O2417" s="2"/>
      <c r="P2417" s="2"/>
      <c r="Q2417" s="2"/>
      <c r="R2417" s="2"/>
      <c r="S2417" s="2"/>
      <c r="T2417" s="2"/>
      <c r="U2417" s="2"/>
      <c r="V2417" s="2"/>
      <c r="W2417" s="2"/>
      <c r="X2417" s="2"/>
      <c r="Y2417" s="2"/>
    </row>
    <row r="2418" spans="1:25" x14ac:dyDescent="0.2">
      <c r="A2418">
        <v>3886</v>
      </c>
      <c r="B2418" t="s">
        <v>5358</v>
      </c>
      <c r="C2418" t="s">
        <v>18</v>
      </c>
      <c r="D2418" t="s">
        <v>5359</v>
      </c>
      <c r="E2418" t="s">
        <v>5361</v>
      </c>
      <c r="F2418" t="s">
        <v>31</v>
      </c>
      <c r="G2418" t="s">
        <v>638</v>
      </c>
      <c r="H2418" t="b">
        <v>1</v>
      </c>
      <c r="K2418" t="b">
        <v>1</v>
      </c>
      <c r="L2418" t="b">
        <v>1</v>
      </c>
      <c r="M2418" t="s">
        <v>5362</v>
      </c>
      <c r="N2418" t="s">
        <v>5363</v>
      </c>
    </row>
    <row r="2419" spans="1:25" x14ac:dyDescent="0.2">
      <c r="A2419">
        <v>3887</v>
      </c>
      <c r="B2419" t="s">
        <v>5358</v>
      </c>
      <c r="C2419" t="s">
        <v>18</v>
      </c>
      <c r="D2419" t="s">
        <v>5364</v>
      </c>
      <c r="E2419" t="s">
        <v>5365</v>
      </c>
      <c r="F2419" t="s">
        <v>456</v>
      </c>
      <c r="G2419" t="s">
        <v>62</v>
      </c>
      <c r="H2419" t="b">
        <v>0</v>
      </c>
      <c r="K2419" t="b">
        <v>0</v>
      </c>
      <c r="L2419" t="b">
        <v>0</v>
      </c>
      <c r="M2419" t="s">
        <v>5366</v>
      </c>
      <c r="N2419" t="s">
        <v>5367</v>
      </c>
    </row>
    <row r="2420" spans="1:25" x14ac:dyDescent="0.2">
      <c r="A2420">
        <v>3888</v>
      </c>
      <c r="B2420" t="s">
        <v>5358</v>
      </c>
      <c r="C2420" t="s">
        <v>18</v>
      </c>
      <c r="D2420" t="s">
        <v>5368</v>
      </c>
      <c r="E2420" t="s">
        <v>5369</v>
      </c>
      <c r="F2420" t="s">
        <v>31</v>
      </c>
      <c r="G2420" t="s">
        <v>24</v>
      </c>
      <c r="H2420" t="b">
        <v>0</v>
      </c>
      <c r="K2420" t="b">
        <v>0</v>
      </c>
      <c r="L2420" t="b">
        <v>0</v>
      </c>
      <c r="M2420" t="s">
        <v>5370</v>
      </c>
    </row>
    <row r="2421" spans="1:25" x14ac:dyDescent="0.2">
      <c r="A2421">
        <v>3889</v>
      </c>
      <c r="B2421" t="s">
        <v>5358</v>
      </c>
      <c r="C2421" t="s">
        <v>18</v>
      </c>
      <c r="D2421" t="s">
        <v>5371</v>
      </c>
      <c r="E2421" t="s">
        <v>2403</v>
      </c>
      <c r="F2421" t="s">
        <v>31</v>
      </c>
      <c r="G2421" t="s">
        <v>1867</v>
      </c>
      <c r="H2421" t="b">
        <v>0</v>
      </c>
      <c r="K2421" t="b">
        <v>0</v>
      </c>
      <c r="L2421" t="b">
        <v>0</v>
      </c>
      <c r="M2421" t="s">
        <v>5372</v>
      </c>
    </row>
    <row r="2422" spans="1:25" x14ac:dyDescent="0.2">
      <c r="A2422">
        <v>3890</v>
      </c>
      <c r="B2422" t="s">
        <v>5358</v>
      </c>
      <c r="C2422" t="s">
        <v>18</v>
      </c>
      <c r="D2422" t="s">
        <v>5373</v>
      </c>
      <c r="E2422" t="s">
        <v>1745</v>
      </c>
      <c r="F2422" t="s">
        <v>31</v>
      </c>
      <c r="G2422" t="s">
        <v>1867</v>
      </c>
      <c r="H2422" t="b">
        <v>0</v>
      </c>
      <c r="K2422" t="b">
        <v>0</v>
      </c>
      <c r="L2422" t="b">
        <v>0</v>
      </c>
      <c r="M2422" t="s">
        <v>5374</v>
      </c>
    </row>
    <row r="2424" spans="1:25" x14ac:dyDescent="0.2">
      <c r="A2424" s="2">
        <v>3892</v>
      </c>
      <c r="B2424" s="2" t="s">
        <v>5375</v>
      </c>
      <c r="C2424" s="2" t="s">
        <v>13</v>
      </c>
      <c r="D2424" s="2" t="s">
        <v>5376</v>
      </c>
      <c r="E2424" s="2" t="s">
        <v>5377</v>
      </c>
      <c r="F2424" s="2" t="s">
        <v>717</v>
      </c>
      <c r="G2424" s="2" t="s">
        <v>252</v>
      </c>
      <c r="H2424" s="2"/>
      <c r="I2424" s="2"/>
      <c r="J2424" s="2"/>
      <c r="K2424" s="2"/>
      <c r="L2424" s="2"/>
      <c r="M2424" s="2"/>
      <c r="N2424" s="2"/>
      <c r="O2424" s="2"/>
      <c r="P2424" s="2"/>
      <c r="Q2424" s="2"/>
      <c r="R2424" s="2"/>
      <c r="S2424" s="2"/>
      <c r="T2424" s="2"/>
      <c r="U2424" s="2"/>
      <c r="V2424" s="2"/>
      <c r="W2424" s="2"/>
      <c r="X2424" s="2"/>
      <c r="Y2424" s="2"/>
    </row>
    <row r="2425" spans="1:25" x14ac:dyDescent="0.2">
      <c r="A2425">
        <v>3893</v>
      </c>
      <c r="B2425" t="s">
        <v>5375</v>
      </c>
      <c r="C2425" t="s">
        <v>18</v>
      </c>
      <c r="D2425" t="s">
        <v>5376</v>
      </c>
      <c r="E2425" t="s">
        <v>5377</v>
      </c>
      <c r="F2425" t="s">
        <v>717</v>
      </c>
      <c r="G2425" t="s">
        <v>252</v>
      </c>
      <c r="H2425" t="b">
        <v>1</v>
      </c>
      <c r="I2425" t="b">
        <v>1</v>
      </c>
      <c r="L2425" t="b">
        <v>1</v>
      </c>
      <c r="M2425" t="s">
        <v>5378</v>
      </c>
      <c r="N2425" t="s">
        <v>5379</v>
      </c>
    </row>
    <row r="2426" spans="1:25" x14ac:dyDescent="0.2">
      <c r="A2426">
        <v>3894</v>
      </c>
      <c r="B2426" t="s">
        <v>5375</v>
      </c>
      <c r="C2426" t="s">
        <v>18</v>
      </c>
      <c r="D2426" t="s">
        <v>5380</v>
      </c>
      <c r="E2426" t="s">
        <v>5381</v>
      </c>
      <c r="F2426" t="s">
        <v>717</v>
      </c>
      <c r="G2426" t="s">
        <v>88</v>
      </c>
      <c r="H2426" t="b">
        <v>0</v>
      </c>
      <c r="I2426" t="b">
        <v>0</v>
      </c>
      <c r="L2426" t="b">
        <v>0</v>
      </c>
      <c r="M2426" t="s">
        <v>5382</v>
      </c>
    </row>
    <row r="2427" spans="1:25" x14ac:dyDescent="0.2">
      <c r="A2427">
        <v>3895</v>
      </c>
      <c r="B2427" t="s">
        <v>5375</v>
      </c>
      <c r="C2427" t="s">
        <v>18</v>
      </c>
      <c r="D2427" t="s">
        <v>5383</v>
      </c>
      <c r="E2427" t="s">
        <v>1991</v>
      </c>
      <c r="F2427" t="s">
        <v>717</v>
      </c>
      <c r="G2427" t="s">
        <v>88</v>
      </c>
      <c r="H2427" t="b">
        <v>0</v>
      </c>
      <c r="I2427" t="b">
        <v>0</v>
      </c>
      <c r="L2427" t="b">
        <v>0</v>
      </c>
      <c r="M2427" t="s">
        <v>5384</v>
      </c>
    </row>
    <row r="2428" spans="1:25" x14ac:dyDescent="0.2">
      <c r="A2428">
        <v>3896</v>
      </c>
      <c r="B2428" t="s">
        <v>5375</v>
      </c>
      <c r="C2428" t="s">
        <v>18</v>
      </c>
      <c r="D2428" t="s">
        <v>1549</v>
      </c>
      <c r="E2428" t="s">
        <v>1550</v>
      </c>
      <c r="F2428" t="s">
        <v>205</v>
      </c>
      <c r="G2428" t="s">
        <v>252</v>
      </c>
      <c r="H2428" t="b">
        <v>0</v>
      </c>
      <c r="I2428" t="b">
        <v>0</v>
      </c>
      <c r="L2428" t="b">
        <v>0</v>
      </c>
      <c r="M2428" t="s">
        <v>1551</v>
      </c>
    </row>
    <row r="2429" spans="1:25" x14ac:dyDescent="0.2">
      <c r="A2429">
        <v>3897</v>
      </c>
      <c r="B2429" t="s">
        <v>5375</v>
      </c>
      <c r="C2429" t="s">
        <v>18</v>
      </c>
      <c r="D2429" t="s">
        <v>3795</v>
      </c>
      <c r="E2429" t="s">
        <v>195</v>
      </c>
      <c r="F2429" t="s">
        <v>654</v>
      </c>
      <c r="G2429" t="s">
        <v>252</v>
      </c>
      <c r="H2429" t="b">
        <v>0</v>
      </c>
      <c r="I2429" t="b">
        <v>0</v>
      </c>
      <c r="L2429" t="b">
        <v>0</v>
      </c>
      <c r="M2429" t="s">
        <v>3797</v>
      </c>
      <c r="N2429" t="s">
        <v>3798</v>
      </c>
    </row>
    <row r="2431" spans="1:25" x14ac:dyDescent="0.2">
      <c r="A2431" s="2">
        <v>3913</v>
      </c>
      <c r="B2431" s="2" t="s">
        <v>5385</v>
      </c>
      <c r="C2431" s="2" t="s">
        <v>13</v>
      </c>
      <c r="D2431" s="2" t="s">
        <v>5386</v>
      </c>
      <c r="E2431" s="2" t="s">
        <v>5387</v>
      </c>
      <c r="F2431" s="2" t="s">
        <v>369</v>
      </c>
      <c r="G2431" s="2" t="s">
        <v>24</v>
      </c>
      <c r="H2431" s="2"/>
      <c r="I2431" s="2"/>
      <c r="J2431" s="2"/>
      <c r="K2431" s="2"/>
      <c r="L2431" s="2"/>
      <c r="M2431" s="2"/>
      <c r="N2431" s="2"/>
      <c r="O2431" s="2"/>
      <c r="P2431" s="2"/>
      <c r="Q2431" s="2"/>
      <c r="R2431" s="2"/>
      <c r="S2431" s="2"/>
      <c r="T2431" s="2"/>
      <c r="U2431" s="2"/>
      <c r="V2431" s="2"/>
      <c r="W2431" s="2"/>
      <c r="X2431" s="2"/>
      <c r="Y2431" s="2"/>
    </row>
    <row r="2432" spans="1:25" x14ac:dyDescent="0.2">
      <c r="A2432">
        <v>3914</v>
      </c>
      <c r="B2432" t="s">
        <v>5385</v>
      </c>
      <c r="C2432" t="s">
        <v>18</v>
      </c>
      <c r="D2432" t="s">
        <v>5386</v>
      </c>
      <c r="E2432" t="s">
        <v>5387</v>
      </c>
      <c r="F2432" t="s">
        <v>369</v>
      </c>
      <c r="G2432" t="s">
        <v>24</v>
      </c>
      <c r="H2432" t="b">
        <v>1</v>
      </c>
      <c r="I2432" t="b">
        <v>1</v>
      </c>
      <c r="L2432" t="b">
        <v>1</v>
      </c>
      <c r="M2432" t="s">
        <v>5388</v>
      </c>
      <c r="N2432" t="s">
        <v>5389</v>
      </c>
      <c r="O2432" t="s">
        <v>5390</v>
      </c>
    </row>
    <row r="2433" spans="1:25" x14ac:dyDescent="0.2">
      <c r="A2433">
        <v>3915</v>
      </c>
      <c r="B2433" t="s">
        <v>5385</v>
      </c>
      <c r="C2433" t="s">
        <v>18</v>
      </c>
      <c r="D2433" t="s">
        <v>5391</v>
      </c>
      <c r="E2433" t="s">
        <v>5392</v>
      </c>
      <c r="F2433" t="s">
        <v>369</v>
      </c>
      <c r="G2433" t="s">
        <v>17</v>
      </c>
      <c r="H2433" t="b">
        <v>0</v>
      </c>
      <c r="I2433" t="b">
        <v>0</v>
      </c>
      <c r="L2433" t="b">
        <v>0</v>
      </c>
      <c r="M2433" t="s">
        <v>5393</v>
      </c>
      <c r="N2433" t="s">
        <v>745</v>
      </c>
    </row>
    <row r="2434" spans="1:25" x14ac:dyDescent="0.2">
      <c r="A2434">
        <v>3916</v>
      </c>
      <c r="B2434" t="s">
        <v>5385</v>
      </c>
      <c r="C2434" t="s">
        <v>18</v>
      </c>
      <c r="D2434" t="s">
        <v>5394</v>
      </c>
      <c r="E2434" t="s">
        <v>5395</v>
      </c>
      <c r="F2434" t="s">
        <v>369</v>
      </c>
      <c r="G2434" t="s">
        <v>24</v>
      </c>
      <c r="H2434" t="b">
        <v>0</v>
      </c>
      <c r="I2434" t="b">
        <v>0</v>
      </c>
      <c r="L2434" t="b">
        <v>0</v>
      </c>
    </row>
    <row r="2435" spans="1:25" x14ac:dyDescent="0.2">
      <c r="A2435">
        <v>3917</v>
      </c>
      <c r="B2435" t="s">
        <v>5385</v>
      </c>
      <c r="C2435" t="s">
        <v>18</v>
      </c>
      <c r="D2435" t="s">
        <v>5396</v>
      </c>
      <c r="E2435" t="s">
        <v>5397</v>
      </c>
      <c r="F2435" t="s">
        <v>369</v>
      </c>
      <c r="G2435" t="s">
        <v>17</v>
      </c>
      <c r="H2435" t="b">
        <v>0</v>
      </c>
      <c r="I2435" t="b">
        <v>0</v>
      </c>
      <c r="L2435" t="b">
        <v>0</v>
      </c>
    </row>
    <row r="2436" spans="1:25" x14ac:dyDescent="0.2">
      <c r="A2436">
        <v>3918</v>
      </c>
      <c r="B2436" t="s">
        <v>5385</v>
      </c>
      <c r="C2436" t="s">
        <v>18</v>
      </c>
      <c r="D2436" t="s">
        <v>5398</v>
      </c>
      <c r="E2436" t="s">
        <v>5399</v>
      </c>
      <c r="F2436" t="s">
        <v>369</v>
      </c>
      <c r="G2436" t="s">
        <v>17</v>
      </c>
      <c r="H2436" t="b">
        <v>0</v>
      </c>
      <c r="I2436" t="b">
        <v>0</v>
      </c>
      <c r="L2436" t="b">
        <v>0</v>
      </c>
    </row>
    <row r="2438" spans="1:25" x14ac:dyDescent="0.2">
      <c r="A2438" s="2">
        <v>392</v>
      </c>
      <c r="B2438" s="2" t="s">
        <v>5400</v>
      </c>
      <c r="C2438" s="2" t="s">
        <v>13</v>
      </c>
      <c r="D2438" s="2" t="s">
        <v>5401</v>
      </c>
      <c r="E2438" s="2" t="s">
        <v>5402</v>
      </c>
      <c r="F2438" s="2" t="s">
        <v>2122</v>
      </c>
      <c r="G2438" s="2" t="s">
        <v>5403</v>
      </c>
      <c r="H2438" s="2"/>
      <c r="I2438" s="2"/>
      <c r="J2438" s="2"/>
      <c r="K2438" s="2"/>
      <c r="L2438" s="2"/>
      <c r="M2438" s="2"/>
      <c r="N2438" s="2"/>
      <c r="O2438" s="2"/>
      <c r="P2438" s="2"/>
      <c r="Q2438" s="2"/>
      <c r="R2438" s="2"/>
      <c r="S2438" s="2"/>
      <c r="T2438" s="2"/>
      <c r="U2438" s="2"/>
      <c r="V2438" s="2"/>
      <c r="W2438" s="2"/>
      <c r="X2438" s="2"/>
      <c r="Y2438" s="2"/>
    </row>
    <row r="2439" spans="1:25" x14ac:dyDescent="0.2">
      <c r="A2439">
        <v>393</v>
      </c>
      <c r="B2439" t="s">
        <v>5400</v>
      </c>
      <c r="C2439" t="s">
        <v>18</v>
      </c>
      <c r="D2439" t="s">
        <v>5401</v>
      </c>
      <c r="E2439" t="s">
        <v>5404</v>
      </c>
      <c r="F2439" t="s">
        <v>2122</v>
      </c>
      <c r="G2439" t="s">
        <v>5403</v>
      </c>
      <c r="H2439" t="b">
        <v>1</v>
      </c>
      <c r="K2439" t="b">
        <v>1</v>
      </c>
      <c r="L2439" t="b">
        <v>1</v>
      </c>
      <c r="M2439" t="s">
        <v>5405</v>
      </c>
    </row>
    <row r="2440" spans="1:25" x14ac:dyDescent="0.2">
      <c r="A2440">
        <v>394</v>
      </c>
      <c r="B2440" t="s">
        <v>5400</v>
      </c>
      <c r="C2440" t="s">
        <v>18</v>
      </c>
      <c r="D2440" t="s">
        <v>5406</v>
      </c>
      <c r="E2440" t="s">
        <v>2801</v>
      </c>
      <c r="F2440" t="s">
        <v>45</v>
      </c>
      <c r="G2440" t="s">
        <v>5403</v>
      </c>
      <c r="H2440" t="b">
        <v>0</v>
      </c>
      <c r="K2440" t="b">
        <v>0</v>
      </c>
      <c r="L2440" t="b">
        <v>0</v>
      </c>
      <c r="M2440" t="s">
        <v>5407</v>
      </c>
    </row>
    <row r="2441" spans="1:25" x14ac:dyDescent="0.2">
      <c r="A2441">
        <v>395</v>
      </c>
      <c r="B2441" t="s">
        <v>5400</v>
      </c>
      <c r="C2441" t="s">
        <v>18</v>
      </c>
      <c r="D2441" t="s">
        <v>5408</v>
      </c>
      <c r="E2441" t="s">
        <v>5409</v>
      </c>
      <c r="F2441" t="s">
        <v>2122</v>
      </c>
      <c r="G2441" t="s">
        <v>255</v>
      </c>
      <c r="H2441" t="b">
        <v>0</v>
      </c>
      <c r="K2441" t="b">
        <v>0</v>
      </c>
      <c r="L2441" t="b">
        <v>0</v>
      </c>
      <c r="M2441" t="s">
        <v>5410</v>
      </c>
      <c r="N2441" t="s">
        <v>5411</v>
      </c>
      <c r="O2441" t="s">
        <v>5412</v>
      </c>
      <c r="P2441" t="s">
        <v>5413</v>
      </c>
    </row>
    <row r="2442" spans="1:25" x14ac:dyDescent="0.2">
      <c r="A2442">
        <v>396</v>
      </c>
      <c r="B2442" t="s">
        <v>5400</v>
      </c>
      <c r="C2442" t="s">
        <v>18</v>
      </c>
      <c r="D2442" t="s">
        <v>5414</v>
      </c>
      <c r="E2442" t="s">
        <v>5415</v>
      </c>
      <c r="F2442" t="s">
        <v>2122</v>
      </c>
      <c r="G2442" t="s">
        <v>88</v>
      </c>
      <c r="H2442" t="b">
        <v>0</v>
      </c>
      <c r="K2442" t="b">
        <v>0</v>
      </c>
      <c r="L2442" t="b">
        <v>0</v>
      </c>
    </row>
    <row r="2443" spans="1:25" x14ac:dyDescent="0.2">
      <c r="A2443">
        <v>397</v>
      </c>
      <c r="B2443" t="s">
        <v>5400</v>
      </c>
      <c r="C2443" t="s">
        <v>18</v>
      </c>
      <c r="D2443" t="s">
        <v>5416</v>
      </c>
      <c r="E2443" t="s">
        <v>5417</v>
      </c>
      <c r="F2443" t="s">
        <v>2122</v>
      </c>
      <c r="G2443" t="s">
        <v>2278</v>
      </c>
      <c r="H2443" t="b">
        <v>0</v>
      </c>
      <c r="K2443" t="b">
        <v>0</v>
      </c>
      <c r="L2443" t="b">
        <v>0</v>
      </c>
    </row>
    <row r="2445" spans="1:25" x14ac:dyDescent="0.2">
      <c r="A2445" s="2">
        <v>3927</v>
      </c>
      <c r="B2445" s="2" t="s">
        <v>5418</v>
      </c>
      <c r="C2445" s="2" t="s">
        <v>13</v>
      </c>
      <c r="D2445" s="2" t="s">
        <v>5419</v>
      </c>
      <c r="E2445" s="2" t="s">
        <v>5420</v>
      </c>
      <c r="F2445" s="2" t="s">
        <v>16</v>
      </c>
      <c r="G2445" s="2" t="s">
        <v>17</v>
      </c>
      <c r="H2445" s="2"/>
      <c r="I2445" s="2"/>
      <c r="J2445" s="2"/>
      <c r="K2445" s="2"/>
      <c r="L2445" s="2"/>
      <c r="M2445" s="2"/>
      <c r="N2445" s="2"/>
      <c r="O2445" s="2"/>
      <c r="P2445" s="2"/>
      <c r="Q2445" s="2"/>
      <c r="R2445" s="2"/>
      <c r="S2445" s="2"/>
      <c r="T2445" s="2"/>
      <c r="U2445" s="2"/>
      <c r="V2445" s="2"/>
      <c r="W2445" s="2"/>
      <c r="X2445" s="2"/>
      <c r="Y2445" s="2"/>
    </row>
    <row r="2446" spans="1:25" x14ac:dyDescent="0.2">
      <c r="A2446">
        <v>3928</v>
      </c>
      <c r="B2446" t="s">
        <v>5418</v>
      </c>
      <c r="C2446" t="s">
        <v>18</v>
      </c>
      <c r="D2446" t="s">
        <v>5419</v>
      </c>
      <c r="E2446" t="s">
        <v>5421</v>
      </c>
      <c r="F2446" t="s">
        <v>16</v>
      </c>
      <c r="G2446" t="s">
        <v>17</v>
      </c>
      <c r="H2446" t="b">
        <v>1</v>
      </c>
      <c r="K2446" t="b">
        <v>1</v>
      </c>
      <c r="L2446" t="b">
        <v>1</v>
      </c>
      <c r="M2446" t="s">
        <v>5422</v>
      </c>
      <c r="N2446" t="s">
        <v>5423</v>
      </c>
    </row>
    <row r="2447" spans="1:25" x14ac:dyDescent="0.2">
      <c r="A2447">
        <v>3929</v>
      </c>
      <c r="B2447" t="s">
        <v>5418</v>
      </c>
      <c r="C2447" t="s">
        <v>18</v>
      </c>
      <c r="D2447" t="s">
        <v>5424</v>
      </c>
      <c r="E2447" t="s">
        <v>5425</v>
      </c>
      <c r="F2447" t="s">
        <v>16</v>
      </c>
      <c r="G2447" t="s">
        <v>17</v>
      </c>
      <c r="H2447" t="b">
        <v>0</v>
      </c>
      <c r="K2447" t="b">
        <v>0</v>
      </c>
      <c r="L2447" t="b">
        <v>0</v>
      </c>
      <c r="M2447" t="s">
        <v>5426</v>
      </c>
    </row>
    <row r="2448" spans="1:25" x14ac:dyDescent="0.2">
      <c r="A2448">
        <v>3930</v>
      </c>
      <c r="B2448" t="s">
        <v>5418</v>
      </c>
      <c r="C2448" t="s">
        <v>18</v>
      </c>
      <c r="D2448" t="s">
        <v>5427</v>
      </c>
      <c r="E2448" t="s">
        <v>5428</v>
      </c>
      <c r="F2448" t="s">
        <v>16</v>
      </c>
      <c r="G2448" t="s">
        <v>17</v>
      </c>
      <c r="H2448" t="b">
        <v>0</v>
      </c>
      <c r="K2448" t="b">
        <v>0</v>
      </c>
      <c r="L2448" t="b">
        <v>0</v>
      </c>
      <c r="M2448" t="s">
        <v>5429</v>
      </c>
    </row>
    <row r="2449" spans="1:25" x14ac:dyDescent="0.2">
      <c r="A2449">
        <v>3931</v>
      </c>
      <c r="B2449" t="s">
        <v>5418</v>
      </c>
      <c r="C2449" t="s">
        <v>18</v>
      </c>
      <c r="D2449" t="s">
        <v>5430</v>
      </c>
      <c r="E2449" t="s">
        <v>5431</v>
      </c>
      <c r="F2449" t="s">
        <v>16</v>
      </c>
      <c r="G2449" t="s">
        <v>17</v>
      </c>
      <c r="H2449" t="b">
        <v>0</v>
      </c>
      <c r="K2449" t="b">
        <v>0</v>
      </c>
      <c r="L2449" t="b">
        <v>0</v>
      </c>
      <c r="M2449" t="s">
        <v>5432</v>
      </c>
      <c r="N2449" t="s">
        <v>5433</v>
      </c>
    </row>
    <row r="2450" spans="1:25" x14ac:dyDescent="0.2">
      <c r="A2450">
        <v>3932</v>
      </c>
      <c r="B2450" t="s">
        <v>5418</v>
      </c>
      <c r="C2450" t="s">
        <v>18</v>
      </c>
      <c r="D2450" t="s">
        <v>5434</v>
      </c>
      <c r="E2450" t="s">
        <v>5435</v>
      </c>
      <c r="F2450" t="s">
        <v>16</v>
      </c>
      <c r="G2450" t="s">
        <v>17</v>
      </c>
      <c r="H2450" t="b">
        <v>0</v>
      </c>
      <c r="K2450" t="b">
        <v>0</v>
      </c>
      <c r="L2450" t="b">
        <v>0</v>
      </c>
    </row>
    <row r="2452" spans="1:25" x14ac:dyDescent="0.2">
      <c r="A2452" s="2">
        <v>3948</v>
      </c>
      <c r="B2452" s="2" t="s">
        <v>5436</v>
      </c>
      <c r="C2452" s="2" t="s">
        <v>13</v>
      </c>
      <c r="D2452" s="2" t="s">
        <v>5437</v>
      </c>
      <c r="E2452" s="2" t="s">
        <v>5438</v>
      </c>
      <c r="F2452" s="2" t="s">
        <v>670</v>
      </c>
      <c r="G2452" s="2" t="s">
        <v>88</v>
      </c>
      <c r="H2452" s="2"/>
      <c r="I2452" s="2"/>
      <c r="J2452" s="2"/>
      <c r="K2452" s="2"/>
      <c r="L2452" s="2"/>
      <c r="M2452" s="2"/>
      <c r="N2452" s="2"/>
      <c r="O2452" s="2"/>
      <c r="P2452" s="2"/>
      <c r="Q2452" s="2"/>
      <c r="R2452" s="2"/>
      <c r="S2452" s="2"/>
      <c r="T2452" s="2"/>
      <c r="U2452" s="2"/>
      <c r="V2452" s="2"/>
      <c r="W2452" s="2"/>
      <c r="X2452" s="2"/>
      <c r="Y2452" s="2"/>
    </row>
    <row r="2453" spans="1:25" x14ac:dyDescent="0.2">
      <c r="A2453">
        <v>3949</v>
      </c>
      <c r="B2453" t="s">
        <v>5436</v>
      </c>
      <c r="C2453" t="s">
        <v>18</v>
      </c>
      <c r="D2453" t="s">
        <v>5437</v>
      </c>
      <c r="E2453" t="s">
        <v>5438</v>
      </c>
      <c r="F2453" t="s">
        <v>670</v>
      </c>
      <c r="G2453" t="s">
        <v>88</v>
      </c>
      <c r="H2453" t="b">
        <v>1</v>
      </c>
      <c r="I2453" t="b">
        <v>1</v>
      </c>
      <c r="L2453" t="b">
        <v>1</v>
      </c>
      <c r="M2453" t="s">
        <v>5439</v>
      </c>
      <c r="N2453" t="s">
        <v>5440</v>
      </c>
      <c r="O2453" t="s">
        <v>5441</v>
      </c>
      <c r="P2453" t="s">
        <v>5442</v>
      </c>
    </row>
    <row r="2454" spans="1:25" x14ac:dyDescent="0.2">
      <c r="A2454">
        <v>3950</v>
      </c>
      <c r="B2454" t="s">
        <v>5436</v>
      </c>
      <c r="C2454" t="s">
        <v>18</v>
      </c>
      <c r="D2454" t="s">
        <v>232</v>
      </c>
      <c r="E2454" t="s">
        <v>233</v>
      </c>
      <c r="F2454" t="s">
        <v>151</v>
      </c>
      <c r="G2454" t="s">
        <v>24</v>
      </c>
      <c r="H2454" t="b">
        <v>0</v>
      </c>
      <c r="I2454" t="b">
        <v>0</v>
      </c>
      <c r="L2454" t="b">
        <v>0</v>
      </c>
    </row>
    <row r="2455" spans="1:25" x14ac:dyDescent="0.2">
      <c r="A2455">
        <v>3951</v>
      </c>
      <c r="B2455" t="s">
        <v>5436</v>
      </c>
      <c r="C2455" t="s">
        <v>18</v>
      </c>
      <c r="D2455" t="s">
        <v>5443</v>
      </c>
      <c r="E2455" t="s">
        <v>5444</v>
      </c>
      <c r="F2455" t="s">
        <v>45</v>
      </c>
      <c r="G2455" t="s">
        <v>24</v>
      </c>
      <c r="H2455" t="b">
        <v>0</v>
      </c>
      <c r="I2455" t="b">
        <v>0</v>
      </c>
      <c r="L2455" t="b">
        <v>0</v>
      </c>
      <c r="M2455" t="s">
        <v>5445</v>
      </c>
    </row>
    <row r="2456" spans="1:25" x14ac:dyDescent="0.2">
      <c r="A2456">
        <v>3952</v>
      </c>
      <c r="B2456" t="s">
        <v>5436</v>
      </c>
      <c r="C2456" t="s">
        <v>18</v>
      </c>
      <c r="D2456" t="s">
        <v>5446</v>
      </c>
      <c r="E2456" t="s">
        <v>5447</v>
      </c>
      <c r="F2456" t="s">
        <v>31</v>
      </c>
      <c r="G2456" t="s">
        <v>24</v>
      </c>
      <c r="H2456" t="b">
        <v>0</v>
      </c>
      <c r="I2456" t="b">
        <v>0</v>
      </c>
      <c r="L2456" t="b">
        <v>0</v>
      </c>
      <c r="M2456" t="s">
        <v>5448</v>
      </c>
      <c r="N2456" t="s">
        <v>5449</v>
      </c>
    </row>
    <row r="2457" spans="1:25" x14ac:dyDescent="0.2">
      <c r="A2457">
        <v>3953</v>
      </c>
      <c r="B2457" t="s">
        <v>5436</v>
      </c>
      <c r="C2457" t="s">
        <v>18</v>
      </c>
      <c r="D2457" t="s">
        <v>5450</v>
      </c>
      <c r="E2457" t="s">
        <v>5451</v>
      </c>
      <c r="F2457" t="s">
        <v>248</v>
      </c>
      <c r="G2457" t="s">
        <v>62</v>
      </c>
      <c r="H2457" t="b">
        <v>0</v>
      </c>
      <c r="I2457" t="b">
        <v>0</v>
      </c>
      <c r="L2457" t="b">
        <v>0</v>
      </c>
    </row>
    <row r="2459" spans="1:25" x14ac:dyDescent="0.2">
      <c r="A2459" s="2">
        <v>3955</v>
      </c>
      <c r="B2459" s="2" t="s">
        <v>5452</v>
      </c>
      <c r="C2459" s="2" t="s">
        <v>13</v>
      </c>
      <c r="D2459" s="2" t="s">
        <v>5453</v>
      </c>
      <c r="E2459" s="2" t="s">
        <v>5454</v>
      </c>
      <c r="F2459" s="2" t="s">
        <v>31</v>
      </c>
      <c r="G2459" s="2" t="s">
        <v>17</v>
      </c>
      <c r="H2459" s="2"/>
      <c r="I2459" s="2"/>
      <c r="J2459" s="2"/>
      <c r="K2459" s="2"/>
      <c r="L2459" s="2"/>
      <c r="M2459" s="2"/>
      <c r="N2459" s="2"/>
      <c r="O2459" s="2"/>
      <c r="P2459" s="2"/>
      <c r="Q2459" s="2"/>
      <c r="R2459" s="2"/>
      <c r="S2459" s="2"/>
      <c r="T2459" s="2"/>
      <c r="U2459" s="2"/>
      <c r="V2459" s="2"/>
      <c r="W2459" s="2"/>
      <c r="X2459" s="2"/>
      <c r="Y2459" s="2"/>
    </row>
    <row r="2460" spans="1:25" x14ac:dyDescent="0.2">
      <c r="A2460">
        <v>3956</v>
      </c>
      <c r="B2460" t="s">
        <v>5452</v>
      </c>
      <c r="C2460" t="s">
        <v>18</v>
      </c>
      <c r="D2460" t="s">
        <v>5453</v>
      </c>
      <c r="E2460" t="s">
        <v>339</v>
      </c>
      <c r="F2460" t="s">
        <v>31</v>
      </c>
      <c r="G2460" t="s">
        <v>17</v>
      </c>
      <c r="H2460" t="b">
        <v>1</v>
      </c>
      <c r="K2460" t="b">
        <v>1</v>
      </c>
      <c r="L2460" t="b">
        <v>1</v>
      </c>
      <c r="M2460" t="s">
        <v>5455</v>
      </c>
      <c r="N2460" t="s">
        <v>5456</v>
      </c>
    </row>
    <row r="2461" spans="1:25" x14ac:dyDescent="0.2">
      <c r="A2461">
        <v>3957</v>
      </c>
      <c r="B2461" t="s">
        <v>5452</v>
      </c>
      <c r="C2461" t="s">
        <v>18</v>
      </c>
      <c r="D2461" t="s">
        <v>5457</v>
      </c>
      <c r="E2461" t="s">
        <v>5458</v>
      </c>
      <c r="F2461" t="s">
        <v>31</v>
      </c>
      <c r="G2461" t="s">
        <v>17</v>
      </c>
      <c r="H2461" t="b">
        <v>1</v>
      </c>
      <c r="K2461" t="b">
        <v>1</v>
      </c>
      <c r="L2461" t="b">
        <v>1</v>
      </c>
      <c r="M2461" t="s">
        <v>5459</v>
      </c>
    </row>
    <row r="2462" spans="1:25" x14ac:dyDescent="0.2">
      <c r="A2462">
        <v>3958</v>
      </c>
      <c r="B2462" t="s">
        <v>5452</v>
      </c>
      <c r="C2462" t="s">
        <v>18</v>
      </c>
      <c r="D2462" t="s">
        <v>5460</v>
      </c>
      <c r="E2462" t="s">
        <v>5461</v>
      </c>
      <c r="F2462" t="s">
        <v>31</v>
      </c>
      <c r="G2462" t="s">
        <v>17</v>
      </c>
      <c r="H2462" t="b">
        <v>0</v>
      </c>
      <c r="K2462" t="b">
        <v>0</v>
      </c>
      <c r="L2462" t="b">
        <v>0</v>
      </c>
      <c r="M2462" t="s">
        <v>5462</v>
      </c>
      <c r="N2462" t="s">
        <v>5463</v>
      </c>
    </row>
    <row r="2463" spans="1:25" x14ac:dyDescent="0.2">
      <c r="A2463">
        <v>3959</v>
      </c>
      <c r="B2463" t="s">
        <v>5452</v>
      </c>
      <c r="C2463" t="s">
        <v>18</v>
      </c>
      <c r="D2463" t="s">
        <v>5464</v>
      </c>
      <c r="E2463" t="s">
        <v>5465</v>
      </c>
      <c r="F2463" t="s">
        <v>31</v>
      </c>
      <c r="G2463" t="s">
        <v>17</v>
      </c>
      <c r="H2463" t="b">
        <v>0</v>
      </c>
      <c r="K2463" t="b">
        <v>0</v>
      </c>
      <c r="L2463" t="b">
        <v>0</v>
      </c>
      <c r="M2463" t="s">
        <v>5466</v>
      </c>
      <c r="N2463" t="s">
        <v>5467</v>
      </c>
    </row>
    <row r="2464" spans="1:25" x14ac:dyDescent="0.2">
      <c r="A2464">
        <v>3960</v>
      </c>
      <c r="B2464" t="s">
        <v>5452</v>
      </c>
      <c r="C2464" t="s">
        <v>18</v>
      </c>
      <c r="D2464" t="s">
        <v>5468</v>
      </c>
      <c r="E2464" t="s">
        <v>5469</v>
      </c>
      <c r="F2464" t="s">
        <v>31</v>
      </c>
      <c r="G2464" t="s">
        <v>17</v>
      </c>
      <c r="H2464" t="b">
        <v>0</v>
      </c>
      <c r="K2464" t="b">
        <v>0</v>
      </c>
      <c r="L2464" t="b">
        <v>0</v>
      </c>
    </row>
    <row r="2466" spans="1:25" x14ac:dyDescent="0.2">
      <c r="A2466" s="2">
        <v>3962</v>
      </c>
      <c r="B2466" s="2" t="s">
        <v>5470</v>
      </c>
      <c r="C2466" s="2" t="s">
        <v>13</v>
      </c>
      <c r="D2466" s="2" t="s">
        <v>5471</v>
      </c>
      <c r="E2466" s="2" t="s">
        <v>5472</v>
      </c>
      <c r="F2466" s="2" t="s">
        <v>151</v>
      </c>
      <c r="G2466" s="2" t="s">
        <v>24</v>
      </c>
      <c r="H2466" s="2"/>
      <c r="I2466" s="2"/>
      <c r="J2466" s="2"/>
      <c r="K2466" s="2"/>
      <c r="L2466" s="2"/>
      <c r="M2466" s="2"/>
      <c r="N2466" s="2"/>
      <c r="O2466" s="2"/>
      <c r="P2466" s="2"/>
      <c r="Q2466" s="2"/>
      <c r="R2466" s="2"/>
      <c r="S2466" s="2"/>
      <c r="T2466" s="2"/>
      <c r="U2466" s="2"/>
      <c r="V2466" s="2"/>
      <c r="W2466" s="2"/>
      <c r="X2466" s="2"/>
      <c r="Y2466" s="2"/>
    </row>
    <row r="2467" spans="1:25" x14ac:dyDescent="0.2">
      <c r="A2467">
        <v>3963</v>
      </c>
      <c r="B2467" t="s">
        <v>5470</v>
      </c>
      <c r="C2467" t="s">
        <v>18</v>
      </c>
      <c r="D2467" t="s">
        <v>5473</v>
      </c>
      <c r="E2467" t="s">
        <v>5474</v>
      </c>
      <c r="F2467" t="s">
        <v>151</v>
      </c>
      <c r="G2467" t="s">
        <v>24</v>
      </c>
      <c r="H2467" t="b">
        <v>0</v>
      </c>
      <c r="K2467" t="b">
        <v>0</v>
      </c>
      <c r="L2467" t="b">
        <v>0</v>
      </c>
      <c r="M2467" t="s">
        <v>5475</v>
      </c>
    </row>
    <row r="2468" spans="1:25" x14ac:dyDescent="0.2">
      <c r="A2468">
        <v>3964</v>
      </c>
      <c r="B2468" t="s">
        <v>5470</v>
      </c>
      <c r="C2468" t="s">
        <v>18</v>
      </c>
      <c r="D2468" t="s">
        <v>5476</v>
      </c>
      <c r="E2468" t="s">
        <v>5477</v>
      </c>
      <c r="F2468" t="s">
        <v>151</v>
      </c>
      <c r="G2468" t="s">
        <v>24</v>
      </c>
      <c r="H2468" t="b">
        <v>0</v>
      </c>
      <c r="K2468" t="b">
        <v>1</v>
      </c>
      <c r="L2468" t="b">
        <v>1</v>
      </c>
      <c r="M2468" t="s">
        <v>5478</v>
      </c>
      <c r="N2468" t="s">
        <v>5479</v>
      </c>
      <c r="O2468" t="s">
        <v>5480</v>
      </c>
    </row>
    <row r="2469" spans="1:25" x14ac:dyDescent="0.2">
      <c r="A2469">
        <v>3965</v>
      </c>
      <c r="B2469" t="s">
        <v>5470</v>
      </c>
      <c r="C2469" t="s">
        <v>18</v>
      </c>
      <c r="D2469" t="s">
        <v>5481</v>
      </c>
      <c r="E2469" t="s">
        <v>5482</v>
      </c>
      <c r="F2469" t="s">
        <v>151</v>
      </c>
      <c r="G2469" t="s">
        <v>17</v>
      </c>
      <c r="H2469" t="b">
        <v>0</v>
      </c>
      <c r="K2469" t="b">
        <v>0</v>
      </c>
      <c r="L2469" t="b">
        <v>0</v>
      </c>
      <c r="M2469" t="s">
        <v>5483</v>
      </c>
      <c r="N2469" t="s">
        <v>745</v>
      </c>
    </row>
    <row r="2470" spans="1:25" x14ac:dyDescent="0.2">
      <c r="A2470">
        <v>3966</v>
      </c>
      <c r="B2470" t="s">
        <v>5470</v>
      </c>
      <c r="C2470" t="s">
        <v>18</v>
      </c>
      <c r="D2470" t="s">
        <v>5484</v>
      </c>
      <c r="E2470" t="s">
        <v>5485</v>
      </c>
      <c r="F2470" t="s">
        <v>151</v>
      </c>
      <c r="G2470" t="s">
        <v>24</v>
      </c>
      <c r="H2470" t="b">
        <v>0</v>
      </c>
      <c r="K2470" t="b">
        <v>0</v>
      </c>
      <c r="L2470" t="b">
        <v>0</v>
      </c>
      <c r="M2470" t="s">
        <v>5486</v>
      </c>
      <c r="N2470" t="s">
        <v>5487</v>
      </c>
    </row>
    <row r="2471" spans="1:25" x14ac:dyDescent="0.2">
      <c r="A2471">
        <v>3967</v>
      </c>
      <c r="B2471" t="s">
        <v>5470</v>
      </c>
      <c r="C2471" t="s">
        <v>18</v>
      </c>
      <c r="D2471" t="s">
        <v>5488</v>
      </c>
      <c r="E2471" t="s">
        <v>5489</v>
      </c>
      <c r="F2471" t="s">
        <v>151</v>
      </c>
      <c r="G2471" t="s">
        <v>24</v>
      </c>
      <c r="H2471" t="b">
        <v>0</v>
      </c>
      <c r="K2471" t="b">
        <v>0</v>
      </c>
      <c r="L2471" t="b">
        <v>0</v>
      </c>
      <c r="M2471" t="s">
        <v>5490</v>
      </c>
      <c r="N2471" t="s">
        <v>745</v>
      </c>
    </row>
    <row r="2473" spans="1:25" x14ac:dyDescent="0.2">
      <c r="A2473" s="2">
        <v>3976</v>
      </c>
      <c r="B2473" s="2" t="s">
        <v>5491</v>
      </c>
      <c r="C2473" s="2" t="s">
        <v>13</v>
      </c>
      <c r="D2473" s="2" t="s">
        <v>5492</v>
      </c>
      <c r="E2473" s="2" t="s">
        <v>5493</v>
      </c>
      <c r="F2473" s="2" t="s">
        <v>159</v>
      </c>
      <c r="G2473" s="2" t="s">
        <v>130</v>
      </c>
      <c r="H2473" s="2"/>
      <c r="I2473" s="2"/>
      <c r="J2473" s="2"/>
      <c r="K2473" s="2"/>
      <c r="L2473" s="2"/>
      <c r="M2473" s="2"/>
      <c r="N2473" s="2"/>
      <c r="O2473" s="2"/>
      <c r="P2473" s="2"/>
      <c r="Q2473" s="2"/>
      <c r="R2473" s="2"/>
      <c r="S2473" s="2"/>
      <c r="T2473" s="2"/>
      <c r="U2473" s="2"/>
      <c r="V2473" s="2"/>
      <c r="W2473" s="2"/>
      <c r="X2473" s="2"/>
      <c r="Y2473" s="2"/>
    </row>
    <row r="2474" spans="1:25" x14ac:dyDescent="0.2">
      <c r="A2474">
        <v>3977</v>
      </c>
      <c r="B2474" t="s">
        <v>5491</v>
      </c>
      <c r="C2474" t="s">
        <v>18</v>
      </c>
      <c r="D2474" t="s">
        <v>5492</v>
      </c>
      <c r="E2474" t="s">
        <v>5494</v>
      </c>
      <c r="F2474" t="s">
        <v>159</v>
      </c>
      <c r="G2474" t="s">
        <v>130</v>
      </c>
      <c r="H2474" t="b">
        <v>1</v>
      </c>
      <c r="K2474" t="b">
        <v>1</v>
      </c>
      <c r="L2474" t="b">
        <v>1</v>
      </c>
      <c r="M2474" t="s">
        <v>5495</v>
      </c>
      <c r="N2474" t="s">
        <v>5496</v>
      </c>
    </row>
    <row r="2475" spans="1:25" x14ac:dyDescent="0.2">
      <c r="A2475">
        <v>3978</v>
      </c>
      <c r="B2475" t="s">
        <v>5491</v>
      </c>
      <c r="C2475" t="s">
        <v>18</v>
      </c>
      <c r="D2475" t="s">
        <v>5497</v>
      </c>
      <c r="E2475" t="s">
        <v>5498</v>
      </c>
      <c r="F2475" t="s">
        <v>159</v>
      </c>
      <c r="G2475" t="s">
        <v>130</v>
      </c>
      <c r="H2475" t="b">
        <v>1</v>
      </c>
      <c r="K2475" t="b">
        <v>1</v>
      </c>
      <c r="L2475" t="b">
        <v>1</v>
      </c>
      <c r="M2475" t="s">
        <v>5499</v>
      </c>
      <c r="N2475" t="s">
        <v>5500</v>
      </c>
    </row>
    <row r="2476" spans="1:25" x14ac:dyDescent="0.2">
      <c r="A2476">
        <v>3979</v>
      </c>
      <c r="B2476" t="s">
        <v>5491</v>
      </c>
      <c r="C2476" t="s">
        <v>18</v>
      </c>
      <c r="D2476" t="s">
        <v>5501</v>
      </c>
      <c r="E2476" t="s">
        <v>5502</v>
      </c>
      <c r="F2476" t="s">
        <v>670</v>
      </c>
      <c r="G2476" t="s">
        <v>130</v>
      </c>
      <c r="H2476" t="b">
        <v>0</v>
      </c>
      <c r="K2476" t="b">
        <v>0</v>
      </c>
      <c r="L2476" t="b">
        <v>0</v>
      </c>
    </row>
    <row r="2477" spans="1:25" x14ac:dyDescent="0.2">
      <c r="A2477">
        <v>3980</v>
      </c>
      <c r="B2477" t="s">
        <v>5491</v>
      </c>
      <c r="C2477" t="s">
        <v>18</v>
      </c>
      <c r="D2477" t="s">
        <v>2157</v>
      </c>
      <c r="E2477" t="s">
        <v>2158</v>
      </c>
      <c r="F2477" t="s">
        <v>2159</v>
      </c>
      <c r="G2477" t="s">
        <v>252</v>
      </c>
      <c r="H2477" t="b">
        <v>0</v>
      </c>
      <c r="K2477" t="b">
        <v>0</v>
      </c>
      <c r="L2477" t="b">
        <v>0</v>
      </c>
      <c r="M2477" t="s">
        <v>2160</v>
      </c>
      <c r="N2477" t="s">
        <v>2161</v>
      </c>
      <c r="O2477" t="s">
        <v>2162</v>
      </c>
      <c r="P2477" t="s">
        <v>2163</v>
      </c>
    </row>
    <row r="2478" spans="1:25" x14ac:dyDescent="0.2">
      <c r="A2478">
        <v>3981</v>
      </c>
      <c r="B2478" t="s">
        <v>5491</v>
      </c>
      <c r="C2478" t="s">
        <v>18</v>
      </c>
      <c r="D2478" t="s">
        <v>2862</v>
      </c>
      <c r="E2478" t="s">
        <v>2243</v>
      </c>
      <c r="F2478" t="s">
        <v>78</v>
      </c>
      <c r="G2478" t="s">
        <v>130</v>
      </c>
      <c r="H2478" t="b">
        <v>0</v>
      </c>
      <c r="K2478" t="b">
        <v>0</v>
      </c>
      <c r="L2478" t="b">
        <v>0</v>
      </c>
      <c r="M2478" t="s">
        <v>2864</v>
      </c>
      <c r="N2478" t="s">
        <v>2865</v>
      </c>
    </row>
    <row r="2480" spans="1:25" x14ac:dyDescent="0.2">
      <c r="A2480" s="2">
        <v>3983</v>
      </c>
      <c r="B2480" s="2" t="s">
        <v>5503</v>
      </c>
      <c r="C2480" s="2" t="s">
        <v>13</v>
      </c>
      <c r="D2480" s="2" t="s">
        <v>5504</v>
      </c>
      <c r="E2480" s="2" t="s">
        <v>5505</v>
      </c>
      <c r="F2480" s="2" t="s">
        <v>78</v>
      </c>
      <c r="G2480" s="2" t="s">
        <v>130</v>
      </c>
      <c r="H2480" s="2"/>
      <c r="I2480" s="2"/>
      <c r="J2480" s="2"/>
      <c r="K2480" s="2"/>
      <c r="L2480" s="2"/>
      <c r="M2480" s="2"/>
      <c r="N2480" s="2"/>
      <c r="O2480" s="2"/>
      <c r="P2480" s="2"/>
      <c r="Q2480" s="2"/>
      <c r="R2480" s="2"/>
      <c r="S2480" s="2"/>
      <c r="T2480" s="2"/>
      <c r="U2480" s="2"/>
      <c r="V2480" s="2"/>
      <c r="W2480" s="2"/>
      <c r="X2480" s="2"/>
      <c r="Y2480" s="2"/>
    </row>
    <row r="2481" spans="1:25" x14ac:dyDescent="0.2">
      <c r="A2481">
        <v>3984</v>
      </c>
      <c r="B2481" t="s">
        <v>5503</v>
      </c>
      <c r="C2481" t="s">
        <v>18</v>
      </c>
      <c r="D2481" t="s">
        <v>5504</v>
      </c>
      <c r="E2481" t="s">
        <v>5505</v>
      </c>
      <c r="F2481" t="s">
        <v>78</v>
      </c>
      <c r="G2481" t="s">
        <v>130</v>
      </c>
      <c r="H2481" t="b">
        <v>1</v>
      </c>
      <c r="I2481" t="b">
        <v>1</v>
      </c>
      <c r="L2481" t="b">
        <v>1</v>
      </c>
      <c r="M2481" t="s">
        <v>5506</v>
      </c>
      <c r="N2481" t="s">
        <v>5507</v>
      </c>
      <c r="O2481" t="s">
        <v>5508</v>
      </c>
    </row>
    <row r="2482" spans="1:25" x14ac:dyDescent="0.2">
      <c r="A2482">
        <v>3985</v>
      </c>
      <c r="B2482" t="s">
        <v>5503</v>
      </c>
      <c r="C2482" t="s">
        <v>18</v>
      </c>
      <c r="D2482" t="s">
        <v>2866</v>
      </c>
      <c r="E2482" t="s">
        <v>2867</v>
      </c>
      <c r="F2482" t="s">
        <v>78</v>
      </c>
      <c r="G2482" t="s">
        <v>130</v>
      </c>
      <c r="H2482" t="b">
        <v>0</v>
      </c>
      <c r="I2482" t="b">
        <v>0</v>
      </c>
      <c r="L2482" t="b">
        <v>0</v>
      </c>
      <c r="M2482" t="s">
        <v>2868</v>
      </c>
      <c r="N2482" t="s">
        <v>2869</v>
      </c>
      <c r="O2482" t="s">
        <v>2870</v>
      </c>
      <c r="P2482" t="s">
        <v>2871</v>
      </c>
    </row>
    <row r="2483" spans="1:25" x14ac:dyDescent="0.2">
      <c r="A2483">
        <v>3986</v>
      </c>
      <c r="B2483" t="s">
        <v>5503</v>
      </c>
      <c r="C2483" t="s">
        <v>18</v>
      </c>
      <c r="D2483" t="s">
        <v>5509</v>
      </c>
      <c r="E2483" t="s">
        <v>5510</v>
      </c>
      <c r="F2483" t="s">
        <v>78</v>
      </c>
      <c r="G2483" t="s">
        <v>17</v>
      </c>
      <c r="H2483" t="b">
        <v>0</v>
      </c>
      <c r="I2483" t="b">
        <v>0</v>
      </c>
      <c r="L2483" t="b">
        <v>0</v>
      </c>
      <c r="M2483" t="s">
        <v>5511</v>
      </c>
      <c r="N2483" t="s">
        <v>5512</v>
      </c>
    </row>
    <row r="2484" spans="1:25" x14ac:dyDescent="0.2">
      <c r="A2484">
        <v>3987</v>
      </c>
      <c r="B2484" t="s">
        <v>5503</v>
      </c>
      <c r="C2484" t="s">
        <v>18</v>
      </c>
      <c r="D2484" t="s">
        <v>5513</v>
      </c>
      <c r="E2484" t="s">
        <v>5514</v>
      </c>
      <c r="F2484" t="s">
        <v>23</v>
      </c>
      <c r="G2484" t="s">
        <v>17</v>
      </c>
      <c r="H2484" t="b">
        <v>0</v>
      </c>
      <c r="I2484" t="b">
        <v>0</v>
      </c>
      <c r="L2484" t="b">
        <v>0</v>
      </c>
    </row>
    <row r="2485" spans="1:25" x14ac:dyDescent="0.2">
      <c r="A2485">
        <v>3988</v>
      </c>
      <c r="B2485" t="s">
        <v>5503</v>
      </c>
      <c r="C2485" t="s">
        <v>18</v>
      </c>
      <c r="D2485" t="s">
        <v>5497</v>
      </c>
      <c r="E2485" t="s">
        <v>5498</v>
      </c>
      <c r="F2485" t="s">
        <v>159</v>
      </c>
      <c r="G2485" t="s">
        <v>130</v>
      </c>
      <c r="H2485" t="b">
        <v>0</v>
      </c>
      <c r="I2485" t="b">
        <v>0</v>
      </c>
      <c r="L2485" t="b">
        <v>0</v>
      </c>
      <c r="M2485" t="s">
        <v>5499</v>
      </c>
      <c r="N2485" t="s">
        <v>5500</v>
      </c>
    </row>
    <row r="2487" spans="1:25" x14ac:dyDescent="0.2">
      <c r="A2487" s="2">
        <v>399</v>
      </c>
      <c r="B2487" s="2" t="s">
        <v>5515</v>
      </c>
      <c r="C2487" s="2" t="s">
        <v>13</v>
      </c>
      <c r="D2487" s="2" t="s">
        <v>5516</v>
      </c>
      <c r="E2487" s="2" t="s">
        <v>5517</v>
      </c>
      <c r="F2487" s="2" t="s">
        <v>670</v>
      </c>
      <c r="G2487" s="2" t="s">
        <v>879</v>
      </c>
      <c r="H2487" s="2"/>
      <c r="I2487" s="2"/>
      <c r="J2487" s="2"/>
      <c r="K2487" s="2"/>
      <c r="L2487" s="2"/>
      <c r="M2487" s="2"/>
      <c r="N2487" s="2"/>
      <c r="O2487" s="2"/>
      <c r="P2487" s="2"/>
      <c r="Q2487" s="2"/>
      <c r="R2487" s="2"/>
      <c r="S2487" s="2"/>
      <c r="T2487" s="2"/>
      <c r="U2487" s="2"/>
      <c r="V2487" s="2"/>
      <c r="W2487" s="2"/>
      <c r="X2487" s="2"/>
      <c r="Y2487" s="2"/>
    </row>
    <row r="2488" spans="1:25" x14ac:dyDescent="0.2">
      <c r="A2488">
        <v>400</v>
      </c>
      <c r="B2488" t="s">
        <v>5515</v>
      </c>
      <c r="C2488" t="s">
        <v>18</v>
      </c>
      <c r="D2488" t="s">
        <v>5518</v>
      </c>
      <c r="E2488" t="s">
        <v>2709</v>
      </c>
      <c r="F2488" t="s">
        <v>670</v>
      </c>
      <c r="G2488" t="s">
        <v>879</v>
      </c>
      <c r="H2488" t="b">
        <v>1</v>
      </c>
      <c r="I2488" t="b">
        <v>1</v>
      </c>
      <c r="L2488" t="b">
        <v>1</v>
      </c>
      <c r="M2488" t="s">
        <v>5519</v>
      </c>
      <c r="N2488" t="s">
        <v>5520</v>
      </c>
    </row>
    <row r="2489" spans="1:25" x14ac:dyDescent="0.2">
      <c r="A2489">
        <v>401</v>
      </c>
      <c r="B2489" t="s">
        <v>5515</v>
      </c>
      <c r="C2489" t="s">
        <v>18</v>
      </c>
      <c r="D2489" t="s">
        <v>2522</v>
      </c>
      <c r="E2489" t="s">
        <v>2523</v>
      </c>
      <c r="F2489" t="s">
        <v>78</v>
      </c>
      <c r="G2489" t="s">
        <v>417</v>
      </c>
      <c r="H2489" t="b">
        <v>0</v>
      </c>
      <c r="I2489" t="b">
        <v>0</v>
      </c>
      <c r="L2489" t="b">
        <v>0</v>
      </c>
      <c r="M2489" t="s">
        <v>2524</v>
      </c>
      <c r="N2489" t="s">
        <v>2525</v>
      </c>
      <c r="O2489" t="s">
        <v>2526</v>
      </c>
    </row>
    <row r="2490" spans="1:25" x14ac:dyDescent="0.2">
      <c r="A2490">
        <v>402</v>
      </c>
      <c r="B2490" t="s">
        <v>5515</v>
      </c>
      <c r="C2490" t="s">
        <v>18</v>
      </c>
      <c r="D2490" t="s">
        <v>5521</v>
      </c>
      <c r="E2490" t="s">
        <v>5522</v>
      </c>
      <c r="F2490" t="s">
        <v>670</v>
      </c>
      <c r="G2490" t="s">
        <v>88</v>
      </c>
      <c r="H2490" t="b">
        <v>0</v>
      </c>
      <c r="I2490" t="b">
        <v>0</v>
      </c>
      <c r="L2490" t="b">
        <v>0</v>
      </c>
    </row>
    <row r="2491" spans="1:25" x14ac:dyDescent="0.2">
      <c r="A2491">
        <v>403</v>
      </c>
      <c r="B2491" t="s">
        <v>5515</v>
      </c>
      <c r="C2491" t="s">
        <v>18</v>
      </c>
      <c r="D2491" t="s">
        <v>5523</v>
      </c>
      <c r="E2491" t="s">
        <v>898</v>
      </c>
      <c r="F2491" t="s">
        <v>174</v>
      </c>
      <c r="G2491" t="s">
        <v>879</v>
      </c>
      <c r="H2491" t="b">
        <v>0</v>
      </c>
      <c r="I2491" t="b">
        <v>0</v>
      </c>
      <c r="L2491" t="b">
        <v>0</v>
      </c>
      <c r="M2491" t="s">
        <v>5524</v>
      </c>
    </row>
    <row r="2492" spans="1:25" x14ac:dyDescent="0.2">
      <c r="A2492">
        <v>404</v>
      </c>
      <c r="B2492" t="s">
        <v>5515</v>
      </c>
      <c r="C2492" t="s">
        <v>18</v>
      </c>
      <c r="D2492" t="s">
        <v>5525</v>
      </c>
      <c r="E2492" t="s">
        <v>5526</v>
      </c>
      <c r="F2492" t="s">
        <v>670</v>
      </c>
      <c r="G2492" t="s">
        <v>417</v>
      </c>
      <c r="H2492" t="b">
        <v>0</v>
      </c>
      <c r="I2492" t="b">
        <v>0</v>
      </c>
      <c r="L2492" t="b">
        <v>0</v>
      </c>
      <c r="M2492" t="s">
        <v>5527</v>
      </c>
      <c r="N2492" t="s">
        <v>5528</v>
      </c>
    </row>
    <row r="2494" spans="1:25" x14ac:dyDescent="0.2">
      <c r="A2494" s="2">
        <v>3990</v>
      </c>
      <c r="B2494" s="2" t="s">
        <v>5529</v>
      </c>
      <c r="C2494" s="2" t="s">
        <v>13</v>
      </c>
      <c r="D2494" s="2" t="s">
        <v>2866</v>
      </c>
      <c r="E2494" s="2" t="s">
        <v>2867</v>
      </c>
      <c r="F2494" s="2" t="s">
        <v>78</v>
      </c>
      <c r="G2494" s="2" t="s">
        <v>130</v>
      </c>
      <c r="H2494" s="2"/>
      <c r="I2494" s="2"/>
      <c r="J2494" s="2"/>
      <c r="K2494" s="2"/>
      <c r="L2494" s="2"/>
      <c r="M2494" s="2"/>
      <c r="N2494" s="2"/>
      <c r="O2494" s="2"/>
      <c r="P2494" s="2"/>
      <c r="Q2494" s="2"/>
      <c r="R2494" s="2"/>
      <c r="S2494" s="2"/>
      <c r="T2494" s="2"/>
      <c r="U2494" s="2"/>
      <c r="V2494" s="2"/>
      <c r="W2494" s="2"/>
      <c r="X2494" s="2"/>
      <c r="Y2494" s="2"/>
    </row>
    <row r="2495" spans="1:25" x14ac:dyDescent="0.2">
      <c r="A2495">
        <v>3991</v>
      </c>
      <c r="B2495" t="s">
        <v>5529</v>
      </c>
      <c r="C2495" t="s">
        <v>18</v>
      </c>
      <c r="D2495" t="s">
        <v>2866</v>
      </c>
      <c r="E2495" t="s">
        <v>2867</v>
      </c>
      <c r="F2495" t="s">
        <v>78</v>
      </c>
      <c r="G2495" t="s">
        <v>130</v>
      </c>
      <c r="H2495" t="b">
        <v>1</v>
      </c>
      <c r="I2495" t="b">
        <v>1</v>
      </c>
      <c r="L2495" t="b">
        <v>1</v>
      </c>
      <c r="M2495" t="s">
        <v>2868</v>
      </c>
      <c r="N2495" t="s">
        <v>2869</v>
      </c>
      <c r="O2495" t="s">
        <v>2870</v>
      </c>
      <c r="P2495" t="s">
        <v>2871</v>
      </c>
    </row>
    <row r="2496" spans="1:25" x14ac:dyDescent="0.2">
      <c r="A2496">
        <v>3992</v>
      </c>
      <c r="B2496" t="s">
        <v>5529</v>
      </c>
      <c r="C2496" t="s">
        <v>18</v>
      </c>
      <c r="D2496" t="s">
        <v>2862</v>
      </c>
      <c r="E2496" t="s">
        <v>2243</v>
      </c>
      <c r="F2496" t="s">
        <v>78</v>
      </c>
      <c r="G2496" t="s">
        <v>130</v>
      </c>
      <c r="H2496" t="b">
        <v>0</v>
      </c>
      <c r="I2496" t="b">
        <v>0</v>
      </c>
      <c r="L2496" t="b">
        <v>0</v>
      </c>
      <c r="M2496" t="s">
        <v>2864</v>
      </c>
      <c r="N2496" t="s">
        <v>2865</v>
      </c>
    </row>
    <row r="2497" spans="1:25" x14ac:dyDescent="0.2">
      <c r="A2497">
        <v>3993</v>
      </c>
      <c r="B2497" t="s">
        <v>5529</v>
      </c>
      <c r="C2497" t="s">
        <v>18</v>
      </c>
      <c r="D2497" t="s">
        <v>5497</v>
      </c>
      <c r="E2497" t="s">
        <v>5498</v>
      </c>
      <c r="F2497" t="s">
        <v>159</v>
      </c>
      <c r="G2497" t="s">
        <v>130</v>
      </c>
      <c r="H2497" t="b">
        <v>0</v>
      </c>
      <c r="I2497" t="b">
        <v>0</v>
      </c>
      <c r="L2497" t="b">
        <v>0</v>
      </c>
      <c r="M2497" t="s">
        <v>5499</v>
      </c>
      <c r="N2497" t="s">
        <v>5500</v>
      </c>
    </row>
    <row r="2498" spans="1:25" x14ac:dyDescent="0.2">
      <c r="A2498">
        <v>3994</v>
      </c>
      <c r="B2498" t="s">
        <v>5529</v>
      </c>
      <c r="C2498" t="s">
        <v>18</v>
      </c>
      <c r="D2498" t="s">
        <v>5530</v>
      </c>
      <c r="E2498" t="s">
        <v>5531</v>
      </c>
      <c r="F2498" t="s">
        <v>78</v>
      </c>
      <c r="G2498" t="s">
        <v>130</v>
      </c>
      <c r="H2498" t="b">
        <v>0</v>
      </c>
      <c r="I2498" t="b">
        <v>0</v>
      </c>
      <c r="L2498" t="b">
        <v>0</v>
      </c>
      <c r="M2498" t="s">
        <v>5532</v>
      </c>
    </row>
    <row r="2499" spans="1:25" x14ac:dyDescent="0.2">
      <c r="A2499">
        <v>3995</v>
      </c>
      <c r="B2499" t="s">
        <v>5529</v>
      </c>
      <c r="C2499" t="s">
        <v>18</v>
      </c>
      <c r="D2499" t="s">
        <v>5533</v>
      </c>
      <c r="E2499" t="s">
        <v>5534</v>
      </c>
      <c r="F2499" t="s">
        <v>78</v>
      </c>
      <c r="G2499" t="s">
        <v>130</v>
      </c>
      <c r="H2499" t="b">
        <v>0</v>
      </c>
      <c r="I2499" t="b">
        <v>0</v>
      </c>
      <c r="L2499" t="b">
        <v>0</v>
      </c>
      <c r="M2499" t="s">
        <v>5535</v>
      </c>
    </row>
    <row r="2501" spans="1:25" x14ac:dyDescent="0.2">
      <c r="A2501" s="2">
        <v>3997</v>
      </c>
      <c r="B2501" s="2" t="s">
        <v>5536</v>
      </c>
      <c r="C2501" s="2" t="s">
        <v>13</v>
      </c>
      <c r="D2501" s="2" t="s">
        <v>5537</v>
      </c>
      <c r="E2501" s="2" t="s">
        <v>5538</v>
      </c>
      <c r="F2501" s="2" t="s">
        <v>159</v>
      </c>
      <c r="G2501" s="2" t="s">
        <v>17</v>
      </c>
      <c r="H2501" s="2"/>
      <c r="I2501" s="2"/>
      <c r="J2501" s="2"/>
      <c r="K2501" s="2"/>
      <c r="L2501" s="2"/>
      <c r="M2501" s="2"/>
      <c r="N2501" s="2"/>
      <c r="O2501" s="2"/>
      <c r="P2501" s="2"/>
      <c r="Q2501" s="2"/>
      <c r="R2501" s="2"/>
      <c r="S2501" s="2"/>
      <c r="T2501" s="2"/>
      <c r="U2501" s="2"/>
      <c r="V2501" s="2"/>
      <c r="W2501" s="2"/>
      <c r="X2501" s="2"/>
      <c r="Y2501" s="2"/>
    </row>
    <row r="2502" spans="1:25" x14ac:dyDescent="0.2">
      <c r="A2502">
        <v>3998</v>
      </c>
      <c r="B2502" t="s">
        <v>5536</v>
      </c>
      <c r="C2502" t="s">
        <v>18</v>
      </c>
      <c r="D2502" t="s">
        <v>5537</v>
      </c>
      <c r="E2502" t="s">
        <v>165</v>
      </c>
      <c r="F2502" t="s">
        <v>159</v>
      </c>
      <c r="G2502" t="s">
        <v>17</v>
      </c>
      <c r="H2502" t="b">
        <v>1</v>
      </c>
      <c r="K2502" t="b">
        <v>1</v>
      </c>
      <c r="L2502" t="b">
        <v>1</v>
      </c>
      <c r="M2502" t="s">
        <v>5539</v>
      </c>
    </row>
    <row r="2503" spans="1:25" x14ac:dyDescent="0.2">
      <c r="A2503">
        <v>3999</v>
      </c>
      <c r="B2503" t="s">
        <v>5536</v>
      </c>
      <c r="C2503" t="s">
        <v>18</v>
      </c>
      <c r="D2503" t="s">
        <v>5277</v>
      </c>
      <c r="E2503" t="s">
        <v>5278</v>
      </c>
      <c r="F2503" t="s">
        <v>159</v>
      </c>
      <c r="G2503" t="s">
        <v>17</v>
      </c>
      <c r="H2503" t="b">
        <v>1</v>
      </c>
      <c r="K2503" t="b">
        <v>1</v>
      </c>
      <c r="L2503" t="b">
        <v>1</v>
      </c>
      <c r="M2503" t="s">
        <v>5279</v>
      </c>
      <c r="N2503" t="s">
        <v>5280</v>
      </c>
    </row>
    <row r="2504" spans="1:25" x14ac:dyDescent="0.2">
      <c r="A2504">
        <v>4000</v>
      </c>
      <c r="B2504" t="s">
        <v>5536</v>
      </c>
      <c r="C2504" t="s">
        <v>18</v>
      </c>
      <c r="D2504" t="s">
        <v>5540</v>
      </c>
      <c r="E2504" t="s">
        <v>5541</v>
      </c>
      <c r="F2504" t="s">
        <v>168</v>
      </c>
      <c r="G2504" t="s">
        <v>17</v>
      </c>
      <c r="H2504" t="b">
        <v>0</v>
      </c>
      <c r="K2504" t="b">
        <v>0</v>
      </c>
      <c r="L2504" t="b">
        <v>0</v>
      </c>
      <c r="M2504" t="s">
        <v>5542</v>
      </c>
      <c r="N2504" t="s">
        <v>745</v>
      </c>
    </row>
    <row r="2505" spans="1:25" x14ac:dyDescent="0.2">
      <c r="A2505">
        <v>4001</v>
      </c>
      <c r="B2505" t="s">
        <v>5536</v>
      </c>
      <c r="C2505" t="s">
        <v>18</v>
      </c>
      <c r="D2505" t="s">
        <v>5543</v>
      </c>
      <c r="E2505" t="s">
        <v>5544</v>
      </c>
      <c r="F2505" t="s">
        <v>23</v>
      </c>
      <c r="G2505" t="s">
        <v>17</v>
      </c>
      <c r="H2505" t="b">
        <v>0</v>
      </c>
      <c r="K2505" t="b">
        <v>0</v>
      </c>
      <c r="L2505" t="b">
        <v>0</v>
      </c>
    </row>
    <row r="2506" spans="1:25" x14ac:dyDescent="0.2">
      <c r="A2506">
        <v>4002</v>
      </c>
      <c r="B2506" t="s">
        <v>5536</v>
      </c>
      <c r="C2506" t="s">
        <v>18</v>
      </c>
      <c r="D2506" t="s">
        <v>5545</v>
      </c>
      <c r="E2506" t="s">
        <v>5546</v>
      </c>
      <c r="F2506" t="s">
        <v>23</v>
      </c>
      <c r="G2506" t="s">
        <v>17</v>
      </c>
      <c r="H2506" t="b">
        <v>0</v>
      </c>
      <c r="K2506" t="b">
        <v>0</v>
      </c>
      <c r="L2506" t="b">
        <v>0</v>
      </c>
    </row>
    <row r="2508" spans="1:25" x14ac:dyDescent="0.2">
      <c r="A2508" s="2">
        <v>4018</v>
      </c>
      <c r="B2508" s="2" t="s">
        <v>5547</v>
      </c>
      <c r="C2508" s="2" t="s">
        <v>13</v>
      </c>
      <c r="D2508" s="2" t="s">
        <v>5548</v>
      </c>
      <c r="E2508" s="2" t="s">
        <v>5549</v>
      </c>
      <c r="F2508" s="2" t="s">
        <v>16</v>
      </c>
      <c r="G2508" s="2" t="s">
        <v>24</v>
      </c>
      <c r="H2508" s="2"/>
      <c r="I2508" s="2"/>
      <c r="J2508" s="2"/>
      <c r="K2508" s="2"/>
      <c r="L2508" s="2"/>
      <c r="M2508" s="2"/>
      <c r="N2508" s="2"/>
      <c r="O2508" s="2"/>
      <c r="P2508" s="2"/>
      <c r="Q2508" s="2"/>
      <c r="R2508" s="2"/>
      <c r="S2508" s="2"/>
      <c r="T2508" s="2"/>
      <c r="U2508" s="2"/>
      <c r="V2508" s="2"/>
      <c r="W2508" s="2"/>
      <c r="X2508" s="2"/>
      <c r="Y2508" s="2"/>
    </row>
    <row r="2509" spans="1:25" x14ac:dyDescent="0.2">
      <c r="A2509">
        <v>4019</v>
      </c>
      <c r="B2509" t="s">
        <v>5547</v>
      </c>
      <c r="C2509" t="s">
        <v>18</v>
      </c>
      <c r="D2509" t="s">
        <v>5548</v>
      </c>
      <c r="E2509" t="s">
        <v>5549</v>
      </c>
      <c r="F2509" t="s">
        <v>16</v>
      </c>
      <c r="G2509" t="s">
        <v>24</v>
      </c>
      <c r="H2509" t="b">
        <v>1</v>
      </c>
      <c r="I2509" t="b">
        <v>1</v>
      </c>
      <c r="L2509" t="b">
        <v>1</v>
      </c>
      <c r="M2509" t="s">
        <v>5550</v>
      </c>
      <c r="N2509" t="s">
        <v>745</v>
      </c>
    </row>
    <row r="2510" spans="1:25" x14ac:dyDescent="0.2">
      <c r="A2510">
        <v>4020</v>
      </c>
      <c r="B2510" t="s">
        <v>5547</v>
      </c>
      <c r="C2510" t="s">
        <v>18</v>
      </c>
      <c r="D2510" t="s">
        <v>5551</v>
      </c>
      <c r="E2510" t="s">
        <v>5552</v>
      </c>
      <c r="F2510" t="s">
        <v>16</v>
      </c>
      <c r="G2510" t="s">
        <v>24</v>
      </c>
      <c r="H2510" t="b">
        <v>0</v>
      </c>
      <c r="I2510" t="b">
        <v>0</v>
      </c>
      <c r="L2510" t="b">
        <v>0</v>
      </c>
      <c r="M2510" t="s">
        <v>5553</v>
      </c>
      <c r="N2510" t="s">
        <v>5554</v>
      </c>
    </row>
    <row r="2511" spans="1:25" x14ac:dyDescent="0.2">
      <c r="A2511">
        <v>4021</v>
      </c>
      <c r="B2511" t="s">
        <v>5547</v>
      </c>
      <c r="C2511" t="s">
        <v>18</v>
      </c>
      <c r="D2511" t="s">
        <v>3181</v>
      </c>
      <c r="E2511" t="s">
        <v>3182</v>
      </c>
      <c r="F2511" t="s">
        <v>16</v>
      </c>
      <c r="G2511" t="s">
        <v>1406</v>
      </c>
      <c r="H2511" t="b">
        <v>0</v>
      </c>
      <c r="I2511" t="b">
        <v>0</v>
      </c>
      <c r="L2511" t="b">
        <v>0</v>
      </c>
      <c r="M2511" t="s">
        <v>3183</v>
      </c>
      <c r="N2511" t="s">
        <v>3184</v>
      </c>
    </row>
    <row r="2512" spans="1:25" x14ac:dyDescent="0.2">
      <c r="A2512">
        <v>4022</v>
      </c>
      <c r="B2512" t="s">
        <v>5547</v>
      </c>
      <c r="C2512" t="s">
        <v>18</v>
      </c>
      <c r="D2512" t="s">
        <v>5555</v>
      </c>
      <c r="E2512" t="s">
        <v>2504</v>
      </c>
      <c r="F2512" t="s">
        <v>16</v>
      </c>
      <c r="G2512" t="s">
        <v>1406</v>
      </c>
      <c r="H2512" t="b">
        <v>0</v>
      </c>
      <c r="I2512" t="b">
        <v>0</v>
      </c>
      <c r="L2512" t="b">
        <v>0</v>
      </c>
      <c r="M2512" t="s">
        <v>5556</v>
      </c>
    </row>
    <row r="2513" spans="1:25" x14ac:dyDescent="0.2">
      <c r="A2513">
        <v>4023</v>
      </c>
      <c r="B2513" t="s">
        <v>5547</v>
      </c>
      <c r="C2513" t="s">
        <v>18</v>
      </c>
      <c r="D2513" t="s">
        <v>5557</v>
      </c>
      <c r="E2513" t="s">
        <v>5558</v>
      </c>
      <c r="F2513" t="s">
        <v>82</v>
      </c>
      <c r="G2513" t="s">
        <v>82</v>
      </c>
      <c r="H2513" t="b">
        <v>0</v>
      </c>
      <c r="I2513" t="b">
        <v>0</v>
      </c>
      <c r="L2513" t="b">
        <v>0</v>
      </c>
    </row>
    <row r="2515" spans="1:25" x14ac:dyDescent="0.2">
      <c r="A2515" s="2">
        <v>4025</v>
      </c>
      <c r="B2515" s="2" t="s">
        <v>5559</v>
      </c>
      <c r="C2515" s="2" t="s">
        <v>13</v>
      </c>
      <c r="D2515" s="2" t="s">
        <v>5560</v>
      </c>
      <c r="E2515" s="2" t="s">
        <v>3182</v>
      </c>
      <c r="F2515" s="2" t="s">
        <v>16</v>
      </c>
      <c r="G2515" s="2" t="s">
        <v>1405</v>
      </c>
      <c r="H2515" s="2"/>
      <c r="I2515" s="2"/>
      <c r="J2515" s="2"/>
      <c r="K2515" s="2"/>
      <c r="L2515" s="2"/>
      <c r="M2515" s="2"/>
      <c r="N2515" s="2"/>
      <c r="O2515" s="2"/>
      <c r="P2515" s="2"/>
      <c r="Q2515" s="2"/>
      <c r="R2515" s="2"/>
      <c r="S2515" s="2"/>
      <c r="T2515" s="2"/>
      <c r="U2515" s="2"/>
      <c r="V2515" s="2"/>
      <c r="W2515" s="2"/>
      <c r="X2515" s="2"/>
      <c r="Y2515" s="2"/>
    </row>
    <row r="2516" spans="1:25" x14ac:dyDescent="0.2">
      <c r="A2516">
        <v>4026</v>
      </c>
      <c r="B2516" t="s">
        <v>5559</v>
      </c>
      <c r="C2516" t="s">
        <v>18</v>
      </c>
      <c r="D2516" t="s">
        <v>3181</v>
      </c>
      <c r="E2516" t="s">
        <v>3182</v>
      </c>
      <c r="F2516" t="s">
        <v>16</v>
      </c>
      <c r="G2516" t="s">
        <v>1406</v>
      </c>
      <c r="H2516" t="b">
        <v>1</v>
      </c>
      <c r="K2516" t="b">
        <v>1</v>
      </c>
      <c r="L2516" t="b">
        <v>1</v>
      </c>
      <c r="M2516" t="s">
        <v>3183</v>
      </c>
      <c r="N2516" t="s">
        <v>3184</v>
      </c>
    </row>
    <row r="2517" spans="1:25" x14ac:dyDescent="0.2">
      <c r="A2517">
        <v>4027</v>
      </c>
      <c r="B2517" t="s">
        <v>5559</v>
      </c>
      <c r="C2517" t="s">
        <v>18</v>
      </c>
      <c r="D2517" t="s">
        <v>3177</v>
      </c>
      <c r="E2517" t="s">
        <v>3178</v>
      </c>
      <c r="F2517" t="s">
        <v>16</v>
      </c>
      <c r="G2517" t="s">
        <v>1406</v>
      </c>
      <c r="H2517" t="b">
        <v>0</v>
      </c>
      <c r="K2517" t="b">
        <v>0</v>
      </c>
      <c r="L2517" t="b">
        <v>0</v>
      </c>
      <c r="M2517" t="s">
        <v>3179</v>
      </c>
      <c r="N2517" t="s">
        <v>3180</v>
      </c>
    </row>
    <row r="2518" spans="1:25" x14ac:dyDescent="0.2">
      <c r="A2518">
        <v>4028</v>
      </c>
      <c r="B2518" t="s">
        <v>5559</v>
      </c>
      <c r="C2518" t="s">
        <v>18</v>
      </c>
      <c r="D2518" t="s">
        <v>3173</v>
      </c>
      <c r="E2518" t="s">
        <v>3174</v>
      </c>
      <c r="F2518" t="s">
        <v>16</v>
      </c>
      <c r="G2518" t="s">
        <v>1406</v>
      </c>
      <c r="H2518" t="b">
        <v>0</v>
      </c>
      <c r="K2518" t="b">
        <v>0</v>
      </c>
      <c r="L2518" t="b">
        <v>0</v>
      </c>
      <c r="M2518" t="s">
        <v>3175</v>
      </c>
      <c r="N2518" t="s">
        <v>3176</v>
      </c>
    </row>
    <row r="2519" spans="1:25" x14ac:dyDescent="0.2">
      <c r="A2519">
        <v>4029</v>
      </c>
      <c r="B2519" t="s">
        <v>5559</v>
      </c>
      <c r="C2519" t="s">
        <v>18</v>
      </c>
      <c r="D2519" t="s">
        <v>5551</v>
      </c>
      <c r="E2519" t="s">
        <v>5552</v>
      </c>
      <c r="F2519" t="s">
        <v>16</v>
      </c>
      <c r="G2519" t="s">
        <v>24</v>
      </c>
      <c r="H2519" t="b">
        <v>0</v>
      </c>
      <c r="K2519" t="b">
        <v>0</v>
      </c>
      <c r="L2519" t="b">
        <v>0</v>
      </c>
      <c r="M2519" t="s">
        <v>5553</v>
      </c>
      <c r="N2519" t="s">
        <v>5554</v>
      </c>
    </row>
    <row r="2520" spans="1:25" x14ac:dyDescent="0.2">
      <c r="A2520">
        <v>4030</v>
      </c>
      <c r="B2520" t="s">
        <v>5559</v>
      </c>
      <c r="C2520" t="s">
        <v>18</v>
      </c>
      <c r="D2520" t="s">
        <v>5561</v>
      </c>
      <c r="E2520" t="s">
        <v>5562</v>
      </c>
      <c r="F2520" t="s">
        <v>16</v>
      </c>
      <c r="G2520" t="s">
        <v>1406</v>
      </c>
      <c r="H2520" t="b">
        <v>0</v>
      </c>
      <c r="K2520" t="b">
        <v>0</v>
      </c>
      <c r="L2520" t="b">
        <v>0</v>
      </c>
      <c r="M2520" t="s">
        <v>5563</v>
      </c>
      <c r="N2520" t="s">
        <v>5564</v>
      </c>
      <c r="O2520" t="s">
        <v>5565</v>
      </c>
      <c r="P2520" t="s">
        <v>5566</v>
      </c>
    </row>
    <row r="2522" spans="1:25" x14ac:dyDescent="0.2">
      <c r="A2522" s="2">
        <v>4032</v>
      </c>
      <c r="B2522" s="2" t="s">
        <v>5567</v>
      </c>
      <c r="C2522" s="2" t="s">
        <v>13</v>
      </c>
      <c r="D2522" s="2" t="s">
        <v>5568</v>
      </c>
      <c r="E2522" s="2" t="s">
        <v>5569</v>
      </c>
      <c r="F2522" s="2" t="s">
        <v>168</v>
      </c>
      <c r="G2522" s="2" t="s">
        <v>17</v>
      </c>
      <c r="H2522" s="2"/>
      <c r="I2522" s="2"/>
      <c r="J2522" s="2"/>
      <c r="K2522" s="2"/>
      <c r="L2522" s="2"/>
      <c r="M2522" s="2"/>
      <c r="N2522" s="2"/>
      <c r="O2522" s="2"/>
      <c r="P2522" s="2"/>
      <c r="Q2522" s="2"/>
      <c r="R2522" s="2"/>
      <c r="S2522" s="2"/>
      <c r="T2522" s="2"/>
      <c r="U2522" s="2"/>
      <c r="V2522" s="2"/>
      <c r="W2522" s="2"/>
      <c r="X2522" s="2"/>
      <c r="Y2522" s="2"/>
    </row>
    <row r="2523" spans="1:25" x14ac:dyDescent="0.2">
      <c r="A2523">
        <v>4033</v>
      </c>
      <c r="B2523" t="s">
        <v>5567</v>
      </c>
      <c r="C2523" t="s">
        <v>18</v>
      </c>
      <c r="D2523" t="s">
        <v>5568</v>
      </c>
      <c r="E2523" t="s">
        <v>5569</v>
      </c>
      <c r="F2523" t="s">
        <v>168</v>
      </c>
      <c r="G2523" t="s">
        <v>17</v>
      </c>
      <c r="H2523" t="b">
        <v>1</v>
      </c>
      <c r="I2523" t="b">
        <v>1</v>
      </c>
      <c r="L2523" t="b">
        <v>1</v>
      </c>
      <c r="M2523" t="s">
        <v>5570</v>
      </c>
      <c r="N2523" t="s">
        <v>5571</v>
      </c>
      <c r="O2523" t="s">
        <v>5572</v>
      </c>
    </row>
    <row r="2524" spans="1:25" x14ac:dyDescent="0.2">
      <c r="A2524">
        <v>4034</v>
      </c>
      <c r="B2524" t="s">
        <v>5567</v>
      </c>
      <c r="C2524" t="s">
        <v>18</v>
      </c>
      <c r="D2524" t="s">
        <v>1329</v>
      </c>
      <c r="E2524" t="s">
        <v>1330</v>
      </c>
      <c r="F2524" t="s">
        <v>369</v>
      </c>
      <c r="G2524" t="s">
        <v>17</v>
      </c>
      <c r="H2524" t="b">
        <v>0</v>
      </c>
      <c r="I2524" t="b">
        <v>0</v>
      </c>
      <c r="L2524" t="b">
        <v>0</v>
      </c>
      <c r="M2524" t="s">
        <v>1331</v>
      </c>
      <c r="N2524" t="s">
        <v>1332</v>
      </c>
    </row>
    <row r="2525" spans="1:25" x14ac:dyDescent="0.2">
      <c r="A2525">
        <v>4035</v>
      </c>
      <c r="B2525" t="s">
        <v>5567</v>
      </c>
      <c r="C2525" t="s">
        <v>18</v>
      </c>
      <c r="D2525" t="s">
        <v>1325</v>
      </c>
      <c r="E2525" t="s">
        <v>1326</v>
      </c>
      <c r="F2525" t="s">
        <v>174</v>
      </c>
      <c r="G2525" t="s">
        <v>17</v>
      </c>
      <c r="H2525" t="b">
        <v>0</v>
      </c>
      <c r="I2525" t="b">
        <v>0</v>
      </c>
      <c r="L2525" t="b">
        <v>0</v>
      </c>
      <c r="M2525" t="s">
        <v>1327</v>
      </c>
      <c r="N2525" t="s">
        <v>1328</v>
      </c>
    </row>
    <row r="2526" spans="1:25" x14ac:dyDescent="0.2">
      <c r="A2526">
        <v>4036</v>
      </c>
      <c r="B2526" t="s">
        <v>5567</v>
      </c>
      <c r="C2526" t="s">
        <v>18</v>
      </c>
      <c r="D2526" t="s">
        <v>4218</v>
      </c>
      <c r="E2526" t="s">
        <v>4219</v>
      </c>
      <c r="F2526" t="s">
        <v>31</v>
      </c>
      <c r="G2526" t="s">
        <v>17</v>
      </c>
      <c r="H2526" t="b">
        <v>0</v>
      </c>
      <c r="I2526" t="b">
        <v>0</v>
      </c>
      <c r="L2526" t="b">
        <v>0</v>
      </c>
      <c r="M2526" t="s">
        <v>4220</v>
      </c>
      <c r="N2526" t="s">
        <v>4221</v>
      </c>
      <c r="O2526" t="s">
        <v>4222</v>
      </c>
    </row>
    <row r="2527" spans="1:25" x14ac:dyDescent="0.2">
      <c r="A2527">
        <v>4037</v>
      </c>
      <c r="B2527" t="s">
        <v>5567</v>
      </c>
      <c r="C2527" t="s">
        <v>18</v>
      </c>
      <c r="D2527" t="s">
        <v>5551</v>
      </c>
      <c r="E2527" t="s">
        <v>5552</v>
      </c>
      <c r="F2527" t="s">
        <v>16</v>
      </c>
      <c r="G2527" t="s">
        <v>24</v>
      </c>
      <c r="H2527" t="b">
        <v>0</v>
      </c>
      <c r="I2527" t="b">
        <v>0</v>
      </c>
      <c r="L2527" t="b">
        <v>0</v>
      </c>
      <c r="M2527" t="s">
        <v>5553</v>
      </c>
      <c r="N2527" t="s">
        <v>5554</v>
      </c>
    </row>
    <row r="2529" spans="1:25" x14ac:dyDescent="0.2">
      <c r="A2529" s="2">
        <v>4046</v>
      </c>
      <c r="B2529" s="2" t="s">
        <v>5573</v>
      </c>
      <c r="C2529" s="2" t="s">
        <v>13</v>
      </c>
      <c r="D2529" s="2" t="s">
        <v>5574</v>
      </c>
      <c r="E2529" s="2" t="s">
        <v>5575</v>
      </c>
      <c r="F2529" s="2" t="s">
        <v>205</v>
      </c>
      <c r="G2529" s="2" t="s">
        <v>88</v>
      </c>
      <c r="H2529" s="2"/>
      <c r="I2529" s="2"/>
      <c r="J2529" s="2"/>
      <c r="K2529" s="2"/>
      <c r="L2529" s="2"/>
      <c r="M2529" s="2"/>
      <c r="N2529" s="2"/>
      <c r="O2529" s="2"/>
      <c r="P2529" s="2"/>
      <c r="Q2529" s="2"/>
      <c r="R2529" s="2"/>
      <c r="S2529" s="2"/>
      <c r="T2529" s="2"/>
      <c r="U2529" s="2"/>
      <c r="V2529" s="2"/>
      <c r="W2529" s="2"/>
      <c r="X2529" s="2"/>
      <c r="Y2529" s="2"/>
    </row>
    <row r="2530" spans="1:25" x14ac:dyDescent="0.2">
      <c r="A2530">
        <v>4047</v>
      </c>
      <c r="B2530" t="s">
        <v>5573</v>
      </c>
      <c r="C2530" t="s">
        <v>18</v>
      </c>
      <c r="D2530" t="s">
        <v>5574</v>
      </c>
      <c r="E2530" t="s">
        <v>4167</v>
      </c>
      <c r="F2530" t="s">
        <v>205</v>
      </c>
      <c r="G2530" t="s">
        <v>88</v>
      </c>
      <c r="H2530" t="b">
        <v>1</v>
      </c>
      <c r="I2530" t="b">
        <v>1</v>
      </c>
      <c r="L2530" t="b">
        <v>1</v>
      </c>
      <c r="M2530" t="s">
        <v>5576</v>
      </c>
      <c r="N2530" t="s">
        <v>5577</v>
      </c>
    </row>
    <row r="2531" spans="1:25" x14ac:dyDescent="0.2">
      <c r="A2531">
        <v>4048</v>
      </c>
      <c r="B2531" t="s">
        <v>5573</v>
      </c>
      <c r="C2531" t="s">
        <v>18</v>
      </c>
      <c r="D2531" t="s">
        <v>2350</v>
      </c>
      <c r="E2531" t="s">
        <v>2351</v>
      </c>
      <c r="F2531" t="s">
        <v>31</v>
      </c>
      <c r="G2531" t="s">
        <v>17</v>
      </c>
      <c r="H2531" t="b">
        <v>0</v>
      </c>
      <c r="I2531" t="b">
        <v>0</v>
      </c>
      <c r="L2531" t="b">
        <v>0</v>
      </c>
      <c r="M2531" t="s">
        <v>2352</v>
      </c>
    </row>
    <row r="2532" spans="1:25" x14ac:dyDescent="0.2">
      <c r="A2532">
        <v>4049</v>
      </c>
      <c r="B2532" t="s">
        <v>5573</v>
      </c>
      <c r="C2532" t="s">
        <v>18</v>
      </c>
      <c r="D2532" t="s">
        <v>1618</v>
      </c>
      <c r="E2532" t="s">
        <v>1619</v>
      </c>
      <c r="F2532" t="s">
        <v>31</v>
      </c>
      <c r="G2532" t="s">
        <v>17</v>
      </c>
      <c r="H2532" t="b">
        <v>0</v>
      </c>
      <c r="I2532" t="b">
        <v>0</v>
      </c>
      <c r="L2532" t="b">
        <v>0</v>
      </c>
      <c r="M2532" t="s">
        <v>1620</v>
      </c>
      <c r="N2532" t="s">
        <v>1621</v>
      </c>
      <c r="O2532" t="s">
        <v>1622</v>
      </c>
    </row>
    <row r="2533" spans="1:25" x14ac:dyDescent="0.2">
      <c r="A2533">
        <v>4050</v>
      </c>
      <c r="B2533" t="s">
        <v>5573</v>
      </c>
      <c r="C2533" t="s">
        <v>18</v>
      </c>
      <c r="D2533" t="s">
        <v>5578</v>
      </c>
      <c r="E2533" t="s">
        <v>5552</v>
      </c>
      <c r="F2533" t="s">
        <v>16</v>
      </c>
      <c r="G2533" t="s">
        <v>24</v>
      </c>
      <c r="H2533" t="b">
        <v>0</v>
      </c>
      <c r="I2533" t="b">
        <v>0</v>
      </c>
      <c r="L2533" t="b">
        <v>0</v>
      </c>
      <c r="M2533" t="s">
        <v>5579</v>
      </c>
      <c r="N2533" t="s">
        <v>5580</v>
      </c>
    </row>
    <row r="2534" spans="1:25" x14ac:dyDescent="0.2">
      <c r="A2534">
        <v>4051</v>
      </c>
      <c r="B2534" t="s">
        <v>5573</v>
      </c>
      <c r="C2534" t="s">
        <v>18</v>
      </c>
      <c r="D2534" t="s">
        <v>4106</v>
      </c>
      <c r="E2534" t="s">
        <v>4107</v>
      </c>
      <c r="F2534" t="s">
        <v>174</v>
      </c>
      <c r="G2534" t="s">
        <v>17</v>
      </c>
      <c r="H2534" t="b">
        <v>0</v>
      </c>
      <c r="I2534" t="b">
        <v>0</v>
      </c>
      <c r="L2534" t="b">
        <v>0</v>
      </c>
      <c r="M2534" t="s">
        <v>5581</v>
      </c>
      <c r="N2534" t="s">
        <v>5582</v>
      </c>
      <c r="O2534" t="s">
        <v>5583</v>
      </c>
    </row>
    <row r="2536" spans="1:25" x14ac:dyDescent="0.2">
      <c r="A2536" s="2">
        <v>4053</v>
      </c>
      <c r="B2536" s="2" t="s">
        <v>5584</v>
      </c>
      <c r="C2536" s="2" t="s">
        <v>13</v>
      </c>
      <c r="D2536" s="2" t="s">
        <v>5585</v>
      </c>
      <c r="E2536" s="2" t="s">
        <v>5586</v>
      </c>
      <c r="F2536" s="2" t="s">
        <v>174</v>
      </c>
      <c r="G2536" s="2" t="s">
        <v>17</v>
      </c>
      <c r="H2536" s="2"/>
      <c r="I2536" s="2"/>
      <c r="J2536" s="2"/>
      <c r="K2536" s="2"/>
      <c r="L2536" s="2"/>
      <c r="M2536" s="2"/>
      <c r="N2536" s="2"/>
      <c r="O2536" s="2"/>
      <c r="P2536" s="2"/>
      <c r="Q2536" s="2"/>
      <c r="R2536" s="2"/>
      <c r="S2536" s="2"/>
      <c r="T2536" s="2"/>
      <c r="U2536" s="2"/>
      <c r="V2536" s="2"/>
      <c r="W2536" s="2"/>
      <c r="X2536" s="2"/>
      <c r="Y2536" s="2"/>
    </row>
    <row r="2537" spans="1:25" x14ac:dyDescent="0.2">
      <c r="A2537">
        <v>4054</v>
      </c>
      <c r="B2537" t="s">
        <v>5584</v>
      </c>
      <c r="C2537" t="s">
        <v>18</v>
      </c>
      <c r="D2537" t="s">
        <v>5587</v>
      </c>
      <c r="E2537" t="s">
        <v>190</v>
      </c>
      <c r="F2537" t="s">
        <v>174</v>
      </c>
      <c r="G2537" t="s">
        <v>17</v>
      </c>
      <c r="H2537" t="b">
        <v>1</v>
      </c>
      <c r="K2537" t="b">
        <v>1</v>
      </c>
      <c r="L2537" t="b">
        <v>1</v>
      </c>
      <c r="M2537" t="s">
        <v>5588</v>
      </c>
      <c r="N2537" t="s">
        <v>5589</v>
      </c>
    </row>
    <row r="2538" spans="1:25" x14ac:dyDescent="0.2">
      <c r="A2538">
        <v>4055</v>
      </c>
      <c r="B2538" t="s">
        <v>5584</v>
      </c>
      <c r="C2538" t="s">
        <v>18</v>
      </c>
      <c r="D2538" t="s">
        <v>4203</v>
      </c>
      <c r="E2538" t="s">
        <v>4204</v>
      </c>
      <c r="F2538" t="s">
        <v>16</v>
      </c>
      <c r="G2538" t="s">
        <v>17</v>
      </c>
      <c r="H2538" t="b">
        <v>0</v>
      </c>
      <c r="K2538" t="b">
        <v>0</v>
      </c>
      <c r="L2538" t="b">
        <v>0</v>
      </c>
      <c r="M2538" t="s">
        <v>4205</v>
      </c>
      <c r="N2538" t="s">
        <v>4206</v>
      </c>
    </row>
    <row r="2539" spans="1:25" x14ac:dyDescent="0.2">
      <c r="A2539">
        <v>4056</v>
      </c>
      <c r="B2539" t="s">
        <v>5584</v>
      </c>
      <c r="C2539" t="s">
        <v>18</v>
      </c>
      <c r="D2539" t="s">
        <v>5590</v>
      </c>
      <c r="E2539" t="s">
        <v>5591</v>
      </c>
      <c r="F2539" t="s">
        <v>369</v>
      </c>
      <c r="G2539" t="s">
        <v>17</v>
      </c>
      <c r="H2539" t="b">
        <v>0</v>
      </c>
      <c r="K2539" t="b">
        <v>0</v>
      </c>
      <c r="L2539" t="b">
        <v>0</v>
      </c>
      <c r="M2539" t="s">
        <v>5592</v>
      </c>
      <c r="N2539" t="s">
        <v>5593</v>
      </c>
    </row>
    <row r="2540" spans="1:25" x14ac:dyDescent="0.2">
      <c r="A2540">
        <v>4057</v>
      </c>
      <c r="B2540" t="s">
        <v>5584</v>
      </c>
      <c r="C2540" t="s">
        <v>18</v>
      </c>
      <c r="D2540" t="s">
        <v>3445</v>
      </c>
      <c r="E2540" t="s">
        <v>3446</v>
      </c>
      <c r="F2540" t="s">
        <v>151</v>
      </c>
      <c r="G2540" t="s">
        <v>17</v>
      </c>
      <c r="H2540" t="b">
        <v>0</v>
      </c>
      <c r="K2540" t="b">
        <v>0</v>
      </c>
      <c r="L2540" t="b">
        <v>0</v>
      </c>
      <c r="M2540" t="s">
        <v>3447</v>
      </c>
      <c r="N2540" t="s">
        <v>3448</v>
      </c>
    </row>
    <row r="2541" spans="1:25" x14ac:dyDescent="0.2">
      <c r="A2541">
        <v>4058</v>
      </c>
      <c r="B2541" t="s">
        <v>5584</v>
      </c>
      <c r="C2541" t="s">
        <v>18</v>
      </c>
      <c r="D2541" t="s">
        <v>5594</v>
      </c>
      <c r="E2541" t="s">
        <v>2399</v>
      </c>
      <c r="F2541" t="s">
        <v>78</v>
      </c>
      <c r="G2541" t="s">
        <v>17</v>
      </c>
      <c r="H2541" t="b">
        <v>0</v>
      </c>
      <c r="K2541" t="b">
        <v>0</v>
      </c>
      <c r="L2541" t="b">
        <v>0</v>
      </c>
      <c r="M2541" t="s">
        <v>5595</v>
      </c>
      <c r="N2541" t="s">
        <v>5596</v>
      </c>
    </row>
    <row r="2543" spans="1:25" x14ac:dyDescent="0.2">
      <c r="A2543" s="2">
        <v>406</v>
      </c>
      <c r="B2543" s="2" t="s">
        <v>5597</v>
      </c>
      <c r="C2543" s="2" t="s">
        <v>13</v>
      </c>
      <c r="D2543" s="2" t="s">
        <v>5598</v>
      </c>
      <c r="E2543" s="2" t="s">
        <v>5599</v>
      </c>
      <c r="F2543" s="2" t="s">
        <v>369</v>
      </c>
      <c r="G2543" s="2" t="s">
        <v>130</v>
      </c>
      <c r="H2543" s="2"/>
      <c r="I2543" s="2"/>
      <c r="J2543" s="2"/>
      <c r="K2543" s="2"/>
      <c r="L2543" s="2"/>
      <c r="M2543" s="2"/>
      <c r="N2543" s="2"/>
      <c r="O2543" s="2"/>
      <c r="P2543" s="2"/>
      <c r="Q2543" s="2"/>
      <c r="R2543" s="2"/>
      <c r="S2543" s="2"/>
      <c r="T2543" s="2"/>
      <c r="U2543" s="2"/>
      <c r="V2543" s="2"/>
      <c r="W2543" s="2"/>
      <c r="X2543" s="2"/>
      <c r="Y2543" s="2"/>
    </row>
    <row r="2544" spans="1:25" x14ac:dyDescent="0.2">
      <c r="A2544">
        <v>407</v>
      </c>
      <c r="B2544" t="s">
        <v>5597</v>
      </c>
      <c r="C2544" t="s">
        <v>18</v>
      </c>
      <c r="D2544" t="s">
        <v>5600</v>
      </c>
      <c r="E2544" t="s">
        <v>5601</v>
      </c>
      <c r="F2544" t="s">
        <v>369</v>
      </c>
      <c r="G2544" t="s">
        <v>130</v>
      </c>
      <c r="H2544" t="b">
        <v>1</v>
      </c>
      <c r="I2544" t="b">
        <v>1</v>
      </c>
      <c r="L2544" t="b">
        <v>1</v>
      </c>
      <c r="M2544" t="s">
        <v>5602</v>
      </c>
    </row>
    <row r="2545" spans="1:25" x14ac:dyDescent="0.2">
      <c r="A2545">
        <v>408</v>
      </c>
      <c r="B2545" t="s">
        <v>5597</v>
      </c>
      <c r="C2545" t="s">
        <v>18</v>
      </c>
      <c r="D2545" t="s">
        <v>5603</v>
      </c>
      <c r="E2545" t="s">
        <v>5604</v>
      </c>
      <c r="F2545" t="s">
        <v>82</v>
      </c>
      <c r="G2545" t="s">
        <v>32</v>
      </c>
      <c r="H2545" t="b">
        <v>0</v>
      </c>
      <c r="I2545" t="b">
        <v>0</v>
      </c>
      <c r="L2545" t="b">
        <v>0</v>
      </c>
    </row>
    <row r="2546" spans="1:25" x14ac:dyDescent="0.2">
      <c r="A2546">
        <v>409</v>
      </c>
      <c r="B2546" t="s">
        <v>5597</v>
      </c>
      <c r="C2546" t="s">
        <v>18</v>
      </c>
      <c r="D2546" t="s">
        <v>2862</v>
      </c>
      <c r="E2546" t="s">
        <v>2243</v>
      </c>
      <c r="F2546" t="s">
        <v>78</v>
      </c>
      <c r="G2546" t="s">
        <v>130</v>
      </c>
      <c r="H2546" t="b">
        <v>0</v>
      </c>
      <c r="I2546" t="b">
        <v>0</v>
      </c>
      <c r="L2546" t="b">
        <v>0</v>
      </c>
      <c r="M2546" t="s">
        <v>2864</v>
      </c>
      <c r="N2546" t="s">
        <v>2865</v>
      </c>
    </row>
    <row r="2547" spans="1:25" x14ac:dyDescent="0.2">
      <c r="A2547">
        <v>410</v>
      </c>
      <c r="B2547" t="s">
        <v>5597</v>
      </c>
      <c r="C2547" t="s">
        <v>18</v>
      </c>
      <c r="D2547" t="s">
        <v>5605</v>
      </c>
      <c r="E2547" t="s">
        <v>5606</v>
      </c>
      <c r="F2547" t="s">
        <v>248</v>
      </c>
      <c r="G2547" t="s">
        <v>17</v>
      </c>
      <c r="H2547" t="b">
        <v>0</v>
      </c>
      <c r="I2547" t="b">
        <v>0</v>
      </c>
      <c r="L2547" t="b">
        <v>0</v>
      </c>
    </row>
    <row r="2548" spans="1:25" x14ac:dyDescent="0.2">
      <c r="A2548">
        <v>411</v>
      </c>
      <c r="B2548" t="s">
        <v>5597</v>
      </c>
      <c r="C2548" t="s">
        <v>18</v>
      </c>
      <c r="D2548" t="s">
        <v>5607</v>
      </c>
      <c r="E2548" t="s">
        <v>3565</v>
      </c>
      <c r="F2548" t="s">
        <v>78</v>
      </c>
      <c r="G2548" t="s">
        <v>130</v>
      </c>
      <c r="H2548" t="b">
        <v>0</v>
      </c>
      <c r="I2548" t="b">
        <v>0</v>
      </c>
      <c r="L2548" t="b">
        <v>0</v>
      </c>
      <c r="M2548" t="s">
        <v>5608</v>
      </c>
    </row>
    <row r="2550" spans="1:25" x14ac:dyDescent="0.2">
      <c r="A2550" s="2">
        <v>4067</v>
      </c>
      <c r="B2550" s="2" t="s">
        <v>5609</v>
      </c>
      <c r="C2550" s="2" t="s">
        <v>13</v>
      </c>
      <c r="D2550" s="2" t="s">
        <v>5610</v>
      </c>
      <c r="E2550" s="2" t="s">
        <v>5611</v>
      </c>
      <c r="F2550" s="2" t="s">
        <v>159</v>
      </c>
      <c r="G2550" s="2" t="s">
        <v>134</v>
      </c>
      <c r="H2550" s="2"/>
      <c r="I2550" s="2"/>
      <c r="J2550" s="2"/>
      <c r="K2550" s="2"/>
      <c r="L2550" s="2"/>
      <c r="M2550" s="2"/>
      <c r="N2550" s="2"/>
      <c r="O2550" s="2"/>
      <c r="P2550" s="2"/>
      <c r="Q2550" s="2"/>
      <c r="R2550" s="2"/>
      <c r="S2550" s="2"/>
      <c r="T2550" s="2"/>
      <c r="U2550" s="2"/>
      <c r="V2550" s="2"/>
      <c r="W2550" s="2"/>
      <c r="X2550" s="2"/>
      <c r="Y2550" s="2"/>
    </row>
    <row r="2551" spans="1:25" x14ac:dyDescent="0.2">
      <c r="A2551">
        <v>4068</v>
      </c>
      <c r="B2551" t="s">
        <v>5609</v>
      </c>
      <c r="C2551" t="s">
        <v>18</v>
      </c>
      <c r="D2551" t="s">
        <v>5610</v>
      </c>
      <c r="E2551" t="s">
        <v>4071</v>
      </c>
      <c r="F2551" t="s">
        <v>159</v>
      </c>
      <c r="G2551" t="s">
        <v>134</v>
      </c>
      <c r="H2551" t="b">
        <v>1</v>
      </c>
      <c r="I2551" t="b">
        <v>1</v>
      </c>
      <c r="L2551" t="b">
        <v>1</v>
      </c>
      <c r="M2551" t="s">
        <v>5612</v>
      </c>
    </row>
    <row r="2552" spans="1:25" x14ac:dyDescent="0.2">
      <c r="A2552">
        <v>4069</v>
      </c>
      <c r="B2552" t="s">
        <v>5609</v>
      </c>
      <c r="C2552" t="s">
        <v>18</v>
      </c>
      <c r="D2552" t="s">
        <v>2432</v>
      </c>
      <c r="E2552" t="s">
        <v>2433</v>
      </c>
      <c r="F2552" t="s">
        <v>87</v>
      </c>
      <c r="G2552" t="s">
        <v>134</v>
      </c>
      <c r="H2552" t="b">
        <v>0</v>
      </c>
      <c r="I2552" t="b">
        <v>0</v>
      </c>
      <c r="L2552" t="b">
        <v>0</v>
      </c>
      <c r="M2552" t="s">
        <v>2434</v>
      </c>
    </row>
    <row r="2553" spans="1:25" x14ac:dyDescent="0.2">
      <c r="A2553">
        <v>4070</v>
      </c>
      <c r="B2553" t="s">
        <v>5609</v>
      </c>
      <c r="C2553" t="s">
        <v>18</v>
      </c>
      <c r="D2553" t="s">
        <v>5613</v>
      </c>
      <c r="E2553" t="s">
        <v>5614</v>
      </c>
      <c r="F2553" t="s">
        <v>248</v>
      </c>
      <c r="G2553" t="s">
        <v>134</v>
      </c>
      <c r="H2553" t="b">
        <v>0</v>
      </c>
      <c r="I2553" t="b">
        <v>0</v>
      </c>
      <c r="L2553" t="b">
        <v>0</v>
      </c>
    </row>
    <row r="2554" spans="1:25" x14ac:dyDescent="0.2">
      <c r="A2554">
        <v>4071</v>
      </c>
      <c r="B2554" t="s">
        <v>5609</v>
      </c>
      <c r="C2554" t="s">
        <v>18</v>
      </c>
      <c r="D2554" t="s">
        <v>5615</v>
      </c>
      <c r="E2554" t="s">
        <v>5616</v>
      </c>
      <c r="F2554" t="s">
        <v>248</v>
      </c>
      <c r="G2554" t="s">
        <v>134</v>
      </c>
      <c r="H2554" t="b">
        <v>0</v>
      </c>
      <c r="I2554" t="b">
        <v>0</v>
      </c>
      <c r="L2554" t="b">
        <v>0</v>
      </c>
      <c r="M2554" t="s">
        <v>5617</v>
      </c>
    </row>
    <row r="2555" spans="1:25" x14ac:dyDescent="0.2">
      <c r="A2555">
        <v>4072</v>
      </c>
      <c r="B2555" t="s">
        <v>5609</v>
      </c>
      <c r="C2555" t="s">
        <v>18</v>
      </c>
      <c r="D2555" t="s">
        <v>5618</v>
      </c>
      <c r="E2555" t="s">
        <v>5619</v>
      </c>
      <c r="F2555" t="s">
        <v>151</v>
      </c>
      <c r="G2555" t="s">
        <v>134</v>
      </c>
      <c r="H2555" t="b">
        <v>0</v>
      </c>
      <c r="I2555" t="b">
        <v>0</v>
      </c>
      <c r="L2555" t="b">
        <v>0</v>
      </c>
      <c r="M2555" t="s">
        <v>5620</v>
      </c>
    </row>
    <row r="2557" spans="1:25" x14ac:dyDescent="0.2">
      <c r="A2557" s="2">
        <v>4074</v>
      </c>
      <c r="B2557" s="2" t="s">
        <v>5621</v>
      </c>
      <c r="C2557" s="2" t="s">
        <v>13</v>
      </c>
      <c r="D2557" s="2" t="s">
        <v>5622</v>
      </c>
      <c r="E2557" s="2" t="s">
        <v>5623</v>
      </c>
      <c r="F2557" s="2" t="s">
        <v>168</v>
      </c>
      <c r="G2557" s="2" t="s">
        <v>17</v>
      </c>
      <c r="H2557" s="2"/>
      <c r="I2557" s="2"/>
      <c r="J2557" s="2"/>
      <c r="K2557" s="2"/>
      <c r="L2557" s="2"/>
      <c r="M2557" s="2"/>
      <c r="N2557" s="2"/>
      <c r="O2557" s="2"/>
      <c r="P2557" s="2"/>
      <c r="Q2557" s="2"/>
      <c r="R2557" s="2"/>
      <c r="S2557" s="2"/>
      <c r="T2557" s="2"/>
      <c r="U2557" s="2"/>
      <c r="V2557" s="2"/>
      <c r="W2557" s="2"/>
      <c r="X2557" s="2"/>
      <c r="Y2557" s="2"/>
    </row>
    <row r="2558" spans="1:25" x14ac:dyDescent="0.2">
      <c r="A2558">
        <v>4075</v>
      </c>
      <c r="B2558" t="s">
        <v>5621</v>
      </c>
      <c r="C2558" t="s">
        <v>18</v>
      </c>
      <c r="D2558" t="s">
        <v>5622</v>
      </c>
      <c r="E2558" t="s">
        <v>5623</v>
      </c>
      <c r="F2558" t="s">
        <v>168</v>
      </c>
      <c r="G2558" t="s">
        <v>17</v>
      </c>
      <c r="H2558" t="b">
        <v>1</v>
      </c>
      <c r="I2558" t="b">
        <v>1</v>
      </c>
      <c r="L2558" t="b">
        <v>1</v>
      </c>
      <c r="M2558" t="s">
        <v>5624</v>
      </c>
      <c r="N2558" t="s">
        <v>5625</v>
      </c>
    </row>
    <row r="2559" spans="1:25" x14ac:dyDescent="0.2">
      <c r="A2559">
        <v>4076</v>
      </c>
      <c r="B2559" t="s">
        <v>5621</v>
      </c>
      <c r="C2559" t="s">
        <v>18</v>
      </c>
      <c r="D2559" t="s">
        <v>5626</v>
      </c>
      <c r="E2559" t="s">
        <v>5627</v>
      </c>
      <c r="F2559" t="s">
        <v>168</v>
      </c>
      <c r="G2559" t="s">
        <v>17</v>
      </c>
      <c r="H2559" t="b">
        <v>0</v>
      </c>
      <c r="I2559" t="b">
        <v>0</v>
      </c>
      <c r="L2559" t="b">
        <v>0</v>
      </c>
      <c r="M2559" t="s">
        <v>5628</v>
      </c>
    </row>
    <row r="2560" spans="1:25" x14ac:dyDescent="0.2">
      <c r="A2560">
        <v>4077</v>
      </c>
      <c r="B2560" t="s">
        <v>5621</v>
      </c>
      <c r="C2560" t="s">
        <v>18</v>
      </c>
      <c r="D2560" t="s">
        <v>5629</v>
      </c>
      <c r="E2560" t="s">
        <v>5630</v>
      </c>
      <c r="F2560" t="s">
        <v>168</v>
      </c>
      <c r="G2560" t="s">
        <v>17</v>
      </c>
      <c r="H2560" t="b">
        <v>0</v>
      </c>
      <c r="I2560" t="b">
        <v>0</v>
      </c>
      <c r="L2560" t="b">
        <v>0</v>
      </c>
      <c r="M2560" t="s">
        <v>5631</v>
      </c>
      <c r="N2560" t="s">
        <v>5632</v>
      </c>
    </row>
    <row r="2561" spans="1:25" x14ac:dyDescent="0.2">
      <c r="A2561">
        <v>4078</v>
      </c>
      <c r="B2561" t="s">
        <v>5621</v>
      </c>
      <c r="C2561" t="s">
        <v>18</v>
      </c>
      <c r="D2561" t="s">
        <v>5633</v>
      </c>
      <c r="E2561" t="s">
        <v>5634</v>
      </c>
      <c r="F2561" t="s">
        <v>168</v>
      </c>
      <c r="G2561" t="s">
        <v>17</v>
      </c>
      <c r="H2561" t="b">
        <v>0</v>
      </c>
      <c r="I2561" t="b">
        <v>0</v>
      </c>
      <c r="L2561" t="b">
        <v>0</v>
      </c>
      <c r="M2561" t="s">
        <v>5635</v>
      </c>
      <c r="N2561" t="s">
        <v>5636</v>
      </c>
    </row>
    <row r="2562" spans="1:25" x14ac:dyDescent="0.2">
      <c r="A2562">
        <v>4079</v>
      </c>
      <c r="B2562" t="s">
        <v>5621</v>
      </c>
      <c r="C2562" t="s">
        <v>18</v>
      </c>
      <c r="D2562" t="s">
        <v>5637</v>
      </c>
      <c r="E2562" t="s">
        <v>5638</v>
      </c>
      <c r="F2562" t="s">
        <v>168</v>
      </c>
      <c r="G2562" t="s">
        <v>17</v>
      </c>
      <c r="H2562" t="b">
        <v>0</v>
      </c>
      <c r="I2562" t="b">
        <v>0</v>
      </c>
      <c r="L2562" t="b">
        <v>0</v>
      </c>
      <c r="M2562" t="s">
        <v>5639</v>
      </c>
      <c r="N2562" t="s">
        <v>5640</v>
      </c>
    </row>
    <row r="2564" spans="1:25" x14ac:dyDescent="0.2">
      <c r="A2564" s="2">
        <v>4081</v>
      </c>
      <c r="B2564" s="2" t="s">
        <v>5641</v>
      </c>
      <c r="C2564" s="2" t="s">
        <v>13</v>
      </c>
      <c r="D2564" s="2" t="s">
        <v>5642</v>
      </c>
      <c r="E2564" s="2" t="s">
        <v>5643</v>
      </c>
      <c r="F2564" s="2" t="s">
        <v>670</v>
      </c>
      <c r="G2564" s="2" t="s">
        <v>24</v>
      </c>
      <c r="H2564" s="2"/>
      <c r="I2564" s="2"/>
      <c r="J2564" s="2"/>
      <c r="K2564" s="2"/>
      <c r="L2564" s="2"/>
      <c r="M2564" s="2"/>
      <c r="N2564" s="2"/>
      <c r="O2564" s="2"/>
      <c r="P2564" s="2"/>
      <c r="Q2564" s="2"/>
      <c r="R2564" s="2"/>
      <c r="S2564" s="2"/>
      <c r="T2564" s="2"/>
      <c r="U2564" s="2"/>
      <c r="V2564" s="2"/>
      <c r="W2564" s="2"/>
      <c r="X2564" s="2"/>
      <c r="Y2564" s="2"/>
    </row>
    <row r="2565" spans="1:25" x14ac:dyDescent="0.2">
      <c r="A2565">
        <v>4082</v>
      </c>
      <c r="B2565" t="s">
        <v>5641</v>
      </c>
      <c r="C2565" t="s">
        <v>18</v>
      </c>
      <c r="D2565" t="s">
        <v>5642</v>
      </c>
      <c r="E2565" t="s">
        <v>5644</v>
      </c>
      <c r="F2565" t="s">
        <v>670</v>
      </c>
      <c r="G2565" t="s">
        <v>24</v>
      </c>
      <c r="H2565" t="b">
        <v>1</v>
      </c>
      <c r="I2565" t="b">
        <v>1</v>
      </c>
      <c r="L2565" t="b">
        <v>1</v>
      </c>
      <c r="M2565" t="s">
        <v>5645</v>
      </c>
      <c r="N2565" t="s">
        <v>5646</v>
      </c>
    </row>
    <row r="2566" spans="1:25" x14ac:dyDescent="0.2">
      <c r="A2566">
        <v>4083</v>
      </c>
      <c r="B2566" t="s">
        <v>5641</v>
      </c>
      <c r="C2566" t="s">
        <v>18</v>
      </c>
      <c r="D2566" t="s">
        <v>5647</v>
      </c>
      <c r="E2566" t="s">
        <v>5648</v>
      </c>
      <c r="F2566" t="s">
        <v>670</v>
      </c>
      <c r="G2566" t="s">
        <v>24</v>
      </c>
      <c r="H2566" t="b">
        <v>0</v>
      </c>
      <c r="I2566" t="b">
        <v>0</v>
      </c>
      <c r="L2566" t="b">
        <v>0</v>
      </c>
      <c r="M2566" t="s">
        <v>5649</v>
      </c>
    </row>
    <row r="2567" spans="1:25" x14ac:dyDescent="0.2">
      <c r="A2567">
        <v>4084</v>
      </c>
      <c r="B2567" t="s">
        <v>5641</v>
      </c>
      <c r="C2567" t="s">
        <v>18</v>
      </c>
      <c r="D2567" t="s">
        <v>5650</v>
      </c>
      <c r="E2567" t="s">
        <v>5651</v>
      </c>
      <c r="F2567" t="s">
        <v>670</v>
      </c>
      <c r="G2567" t="s">
        <v>24</v>
      </c>
      <c r="H2567" t="b">
        <v>0</v>
      </c>
      <c r="I2567" t="b">
        <v>0</v>
      </c>
      <c r="L2567" t="b">
        <v>0</v>
      </c>
      <c r="M2567" t="s">
        <v>5652</v>
      </c>
      <c r="N2567" t="s">
        <v>5653</v>
      </c>
    </row>
    <row r="2568" spans="1:25" x14ac:dyDescent="0.2">
      <c r="A2568">
        <v>4085</v>
      </c>
      <c r="B2568" t="s">
        <v>5641</v>
      </c>
      <c r="C2568" t="s">
        <v>18</v>
      </c>
      <c r="D2568" t="s">
        <v>5654</v>
      </c>
      <c r="E2568" t="s">
        <v>5655</v>
      </c>
      <c r="F2568" t="s">
        <v>670</v>
      </c>
      <c r="G2568" t="s">
        <v>130</v>
      </c>
      <c r="H2568" t="b">
        <v>0</v>
      </c>
      <c r="I2568" t="b">
        <v>0</v>
      </c>
      <c r="L2568" t="b">
        <v>0</v>
      </c>
    </row>
    <row r="2569" spans="1:25" x14ac:dyDescent="0.2">
      <c r="A2569">
        <v>4086</v>
      </c>
      <c r="B2569" t="s">
        <v>5641</v>
      </c>
      <c r="C2569" t="s">
        <v>18</v>
      </c>
      <c r="D2569" t="s">
        <v>5656</v>
      </c>
      <c r="E2569" t="s">
        <v>5657</v>
      </c>
      <c r="F2569" t="s">
        <v>670</v>
      </c>
      <c r="G2569" t="s">
        <v>24</v>
      </c>
      <c r="H2569" t="b">
        <v>0</v>
      </c>
      <c r="I2569" t="b">
        <v>0</v>
      </c>
      <c r="L2569" t="b">
        <v>0</v>
      </c>
    </row>
    <row r="2571" spans="1:25" x14ac:dyDescent="0.2">
      <c r="A2571" s="2">
        <v>4109</v>
      </c>
      <c r="B2571" s="2" t="s">
        <v>5658</v>
      </c>
      <c r="C2571" s="2" t="s">
        <v>13</v>
      </c>
      <c r="D2571" s="2" t="s">
        <v>5659</v>
      </c>
      <c r="E2571" s="2" t="s">
        <v>5660</v>
      </c>
      <c r="F2571" s="2" t="s">
        <v>159</v>
      </c>
      <c r="G2571" s="2" t="s">
        <v>88</v>
      </c>
      <c r="H2571" s="2"/>
      <c r="I2571" s="2"/>
      <c r="J2571" s="2"/>
      <c r="K2571" s="2"/>
      <c r="L2571" s="2"/>
      <c r="M2571" s="2"/>
      <c r="N2571" s="2"/>
      <c r="O2571" s="2"/>
      <c r="P2571" s="2"/>
      <c r="Q2571" s="2"/>
      <c r="R2571" s="2"/>
      <c r="S2571" s="2"/>
      <c r="T2571" s="2"/>
      <c r="U2571" s="2"/>
      <c r="V2571" s="2"/>
      <c r="W2571" s="2"/>
      <c r="X2571" s="2"/>
      <c r="Y2571" s="2"/>
    </row>
    <row r="2572" spans="1:25" x14ac:dyDescent="0.2">
      <c r="A2572">
        <v>4110</v>
      </c>
      <c r="B2572" t="s">
        <v>5658</v>
      </c>
      <c r="C2572" t="s">
        <v>18</v>
      </c>
      <c r="D2572" t="s">
        <v>5659</v>
      </c>
      <c r="E2572" t="s">
        <v>1789</v>
      </c>
      <c r="F2572" t="s">
        <v>159</v>
      </c>
      <c r="G2572" t="s">
        <v>88</v>
      </c>
      <c r="H2572" t="b">
        <v>1</v>
      </c>
      <c r="I2572" t="b">
        <v>1</v>
      </c>
      <c r="L2572" t="b">
        <v>1</v>
      </c>
      <c r="M2572" t="s">
        <v>5661</v>
      </c>
      <c r="N2572" t="s">
        <v>5662</v>
      </c>
    </row>
    <row r="2573" spans="1:25" x14ac:dyDescent="0.2">
      <c r="A2573">
        <v>4111</v>
      </c>
      <c r="B2573" t="s">
        <v>5658</v>
      </c>
      <c r="C2573" t="s">
        <v>18</v>
      </c>
      <c r="D2573" t="s">
        <v>5663</v>
      </c>
      <c r="E2573" t="s">
        <v>5664</v>
      </c>
      <c r="F2573" t="s">
        <v>23</v>
      </c>
      <c r="G2573" t="s">
        <v>292</v>
      </c>
      <c r="H2573" t="b">
        <v>0</v>
      </c>
      <c r="I2573" t="b">
        <v>0</v>
      </c>
      <c r="L2573" t="b">
        <v>0</v>
      </c>
      <c r="M2573" t="s">
        <v>5665</v>
      </c>
      <c r="N2573" t="s">
        <v>5666</v>
      </c>
    </row>
    <row r="2574" spans="1:25" x14ac:dyDescent="0.2">
      <c r="A2574">
        <v>4112</v>
      </c>
      <c r="B2574" t="s">
        <v>5658</v>
      </c>
      <c r="C2574" t="s">
        <v>18</v>
      </c>
      <c r="D2574" t="s">
        <v>5667</v>
      </c>
      <c r="E2574" t="s">
        <v>5668</v>
      </c>
      <c r="F2574" t="s">
        <v>174</v>
      </c>
      <c r="G2574" t="s">
        <v>130</v>
      </c>
      <c r="H2574" t="b">
        <v>0</v>
      </c>
      <c r="I2574" t="b">
        <v>0</v>
      </c>
      <c r="L2574" t="b">
        <v>0</v>
      </c>
    </row>
    <row r="2575" spans="1:25" x14ac:dyDescent="0.2">
      <c r="A2575">
        <v>4113</v>
      </c>
      <c r="B2575" t="s">
        <v>5658</v>
      </c>
      <c r="C2575" t="s">
        <v>18</v>
      </c>
      <c r="D2575" t="s">
        <v>5669</v>
      </c>
      <c r="E2575" t="s">
        <v>5670</v>
      </c>
      <c r="F2575" t="s">
        <v>78</v>
      </c>
      <c r="G2575" t="s">
        <v>130</v>
      </c>
      <c r="H2575" t="b">
        <v>0</v>
      </c>
      <c r="I2575" t="b">
        <v>0</v>
      </c>
      <c r="L2575" t="b">
        <v>0</v>
      </c>
      <c r="M2575" t="s">
        <v>5671</v>
      </c>
      <c r="N2575" t="s">
        <v>5672</v>
      </c>
    </row>
    <row r="2576" spans="1:25" x14ac:dyDescent="0.2">
      <c r="A2576">
        <v>4114</v>
      </c>
      <c r="B2576" t="s">
        <v>5658</v>
      </c>
      <c r="C2576" t="s">
        <v>18</v>
      </c>
      <c r="D2576" t="s">
        <v>5673</v>
      </c>
      <c r="E2576" t="s">
        <v>5674</v>
      </c>
      <c r="F2576" t="s">
        <v>23</v>
      </c>
      <c r="G2576" t="s">
        <v>17</v>
      </c>
      <c r="H2576" t="b">
        <v>0</v>
      </c>
      <c r="I2576" t="b">
        <v>0</v>
      </c>
      <c r="L2576" t="b">
        <v>0</v>
      </c>
      <c r="M2576" t="s">
        <v>5675</v>
      </c>
      <c r="N2576" t="s">
        <v>5676</v>
      </c>
    </row>
    <row r="2578" spans="1:25" x14ac:dyDescent="0.2">
      <c r="A2578" s="2">
        <v>4123</v>
      </c>
      <c r="B2578" s="2" t="s">
        <v>5677</v>
      </c>
      <c r="C2578" s="2" t="s">
        <v>13</v>
      </c>
      <c r="D2578" s="2" t="s">
        <v>5678</v>
      </c>
      <c r="E2578" s="2" t="s">
        <v>5679</v>
      </c>
      <c r="F2578" s="2" t="s">
        <v>654</v>
      </c>
      <c r="G2578" s="2" t="s">
        <v>417</v>
      </c>
      <c r="H2578" s="2"/>
      <c r="I2578" s="2"/>
      <c r="J2578" s="2"/>
      <c r="K2578" s="2"/>
      <c r="L2578" s="2"/>
      <c r="M2578" s="2"/>
      <c r="N2578" s="2"/>
      <c r="O2578" s="2"/>
      <c r="P2578" s="2"/>
      <c r="Q2578" s="2"/>
      <c r="R2578" s="2"/>
      <c r="S2578" s="2"/>
      <c r="T2578" s="2"/>
      <c r="U2578" s="2"/>
      <c r="V2578" s="2"/>
      <c r="W2578" s="2"/>
      <c r="X2578" s="2"/>
      <c r="Y2578" s="2"/>
    </row>
    <row r="2579" spans="1:25" x14ac:dyDescent="0.2">
      <c r="A2579">
        <v>4124</v>
      </c>
      <c r="B2579" t="s">
        <v>5677</v>
      </c>
      <c r="C2579" t="s">
        <v>18</v>
      </c>
      <c r="D2579" t="s">
        <v>5678</v>
      </c>
      <c r="E2579" t="s">
        <v>5679</v>
      </c>
      <c r="F2579" t="s">
        <v>654</v>
      </c>
      <c r="G2579" t="s">
        <v>417</v>
      </c>
      <c r="H2579" t="b">
        <v>1</v>
      </c>
      <c r="K2579" t="b">
        <v>1</v>
      </c>
      <c r="L2579" t="b">
        <v>1</v>
      </c>
      <c r="M2579" t="s">
        <v>5680</v>
      </c>
      <c r="N2579" t="s">
        <v>5681</v>
      </c>
    </row>
    <row r="2580" spans="1:25" x14ac:dyDescent="0.2">
      <c r="A2580">
        <v>4125</v>
      </c>
      <c r="B2580" t="s">
        <v>5677</v>
      </c>
      <c r="C2580" t="s">
        <v>18</v>
      </c>
      <c r="D2580" t="s">
        <v>5682</v>
      </c>
      <c r="E2580" t="s">
        <v>5683</v>
      </c>
      <c r="F2580" t="s">
        <v>654</v>
      </c>
      <c r="G2580" t="s">
        <v>417</v>
      </c>
      <c r="H2580" t="b">
        <v>0</v>
      </c>
      <c r="K2580" t="b">
        <v>0</v>
      </c>
      <c r="L2580" t="b">
        <v>0</v>
      </c>
      <c r="M2580" t="s">
        <v>5684</v>
      </c>
      <c r="N2580" t="s">
        <v>5685</v>
      </c>
    </row>
    <row r="2581" spans="1:25" x14ac:dyDescent="0.2">
      <c r="A2581">
        <v>4126</v>
      </c>
      <c r="B2581" t="s">
        <v>5677</v>
      </c>
      <c r="C2581" t="s">
        <v>18</v>
      </c>
      <c r="D2581" t="s">
        <v>5686</v>
      </c>
      <c r="E2581" t="s">
        <v>5687</v>
      </c>
      <c r="F2581" t="s">
        <v>654</v>
      </c>
      <c r="G2581" t="s">
        <v>62</v>
      </c>
      <c r="H2581" t="b">
        <v>0</v>
      </c>
      <c r="K2581" t="b">
        <v>0</v>
      </c>
      <c r="L2581" t="b">
        <v>0</v>
      </c>
      <c r="M2581" t="s">
        <v>5688</v>
      </c>
    </row>
    <row r="2582" spans="1:25" x14ac:dyDescent="0.2">
      <c r="A2582">
        <v>4127</v>
      </c>
      <c r="B2582" t="s">
        <v>5677</v>
      </c>
      <c r="C2582" t="s">
        <v>18</v>
      </c>
      <c r="D2582" t="s">
        <v>5689</v>
      </c>
      <c r="E2582" t="s">
        <v>5690</v>
      </c>
      <c r="F2582" t="s">
        <v>78</v>
      </c>
      <c r="G2582" t="s">
        <v>417</v>
      </c>
      <c r="H2582" t="b">
        <v>0</v>
      </c>
      <c r="K2582" t="b">
        <v>0</v>
      </c>
      <c r="L2582" t="b">
        <v>0</v>
      </c>
      <c r="M2582" t="s">
        <v>5691</v>
      </c>
      <c r="N2582" t="s">
        <v>5692</v>
      </c>
    </row>
    <row r="2583" spans="1:25" x14ac:dyDescent="0.2">
      <c r="A2583">
        <v>4128</v>
      </c>
      <c r="B2583" t="s">
        <v>5677</v>
      </c>
      <c r="C2583" t="s">
        <v>18</v>
      </c>
      <c r="D2583" t="s">
        <v>5693</v>
      </c>
      <c r="E2583" t="s">
        <v>5694</v>
      </c>
      <c r="F2583" t="s">
        <v>654</v>
      </c>
      <c r="G2583" t="s">
        <v>62</v>
      </c>
      <c r="H2583" t="b">
        <v>0</v>
      </c>
      <c r="K2583" t="b">
        <v>0</v>
      </c>
      <c r="L2583" t="b">
        <v>0</v>
      </c>
      <c r="M2583" t="s">
        <v>5695</v>
      </c>
      <c r="N2583" t="s">
        <v>5696</v>
      </c>
    </row>
    <row r="2585" spans="1:25" x14ac:dyDescent="0.2">
      <c r="A2585" s="2">
        <v>4137</v>
      </c>
      <c r="B2585" s="2" t="s">
        <v>5697</v>
      </c>
      <c r="C2585" s="2" t="s">
        <v>13</v>
      </c>
      <c r="D2585" s="2" t="s">
        <v>5698</v>
      </c>
      <c r="E2585" s="2" t="s">
        <v>5699</v>
      </c>
      <c r="F2585" s="2" t="s">
        <v>78</v>
      </c>
      <c r="G2585" s="2" t="s">
        <v>130</v>
      </c>
      <c r="H2585" s="2"/>
      <c r="I2585" s="2"/>
      <c r="J2585" s="2"/>
      <c r="K2585" s="2"/>
      <c r="L2585" s="2"/>
      <c r="M2585" s="2"/>
      <c r="N2585" s="2"/>
      <c r="O2585" s="2"/>
      <c r="P2585" s="2"/>
      <c r="Q2585" s="2"/>
      <c r="R2585" s="2"/>
      <c r="S2585" s="2"/>
      <c r="T2585" s="2"/>
      <c r="U2585" s="2"/>
      <c r="V2585" s="2"/>
      <c r="W2585" s="2"/>
      <c r="X2585" s="2"/>
      <c r="Y2585" s="2"/>
    </row>
    <row r="2586" spans="1:25" x14ac:dyDescent="0.2">
      <c r="A2586">
        <v>4138</v>
      </c>
      <c r="B2586" t="s">
        <v>5697</v>
      </c>
      <c r="C2586" t="s">
        <v>18</v>
      </c>
      <c r="D2586" t="s">
        <v>5698</v>
      </c>
      <c r="E2586" t="s">
        <v>5699</v>
      </c>
      <c r="F2586" t="s">
        <v>78</v>
      </c>
      <c r="G2586" t="s">
        <v>130</v>
      </c>
      <c r="H2586" t="b">
        <v>1</v>
      </c>
      <c r="K2586" t="b">
        <v>1</v>
      </c>
      <c r="L2586" t="b">
        <v>1</v>
      </c>
      <c r="M2586" t="s">
        <v>5700</v>
      </c>
      <c r="N2586" t="s">
        <v>5701</v>
      </c>
    </row>
    <row r="2587" spans="1:25" x14ac:dyDescent="0.2">
      <c r="A2587">
        <v>4139</v>
      </c>
      <c r="B2587" t="s">
        <v>5697</v>
      </c>
      <c r="C2587" t="s">
        <v>18</v>
      </c>
      <c r="D2587" t="s">
        <v>1303</v>
      </c>
      <c r="E2587" t="s">
        <v>405</v>
      </c>
      <c r="F2587" t="s">
        <v>159</v>
      </c>
      <c r="G2587" t="s">
        <v>345</v>
      </c>
      <c r="H2587" t="b">
        <v>0</v>
      </c>
      <c r="K2587" t="b">
        <v>0</v>
      </c>
      <c r="L2587" t="b">
        <v>0</v>
      </c>
      <c r="M2587" t="s">
        <v>1304</v>
      </c>
      <c r="N2587" t="s">
        <v>1305</v>
      </c>
    </row>
    <row r="2588" spans="1:25" x14ac:dyDescent="0.2">
      <c r="A2588">
        <v>4140</v>
      </c>
      <c r="B2588" t="s">
        <v>5697</v>
      </c>
      <c r="C2588" t="s">
        <v>18</v>
      </c>
      <c r="D2588" t="s">
        <v>5702</v>
      </c>
      <c r="E2588" t="s">
        <v>5703</v>
      </c>
      <c r="F2588" t="s">
        <v>196</v>
      </c>
      <c r="G2588" t="s">
        <v>130</v>
      </c>
      <c r="H2588" t="b">
        <v>0</v>
      </c>
      <c r="K2588" t="b">
        <v>0</v>
      </c>
      <c r="L2588" t="b">
        <v>0</v>
      </c>
      <c r="M2588" t="s">
        <v>5704</v>
      </c>
      <c r="N2588" t="s">
        <v>5705</v>
      </c>
      <c r="O2588" t="s">
        <v>5706</v>
      </c>
      <c r="P2588" t="s">
        <v>5707</v>
      </c>
    </row>
    <row r="2589" spans="1:25" x14ac:dyDescent="0.2">
      <c r="A2589">
        <v>4141</v>
      </c>
      <c r="B2589" t="s">
        <v>5697</v>
      </c>
      <c r="C2589" t="s">
        <v>18</v>
      </c>
      <c r="D2589" t="s">
        <v>5708</v>
      </c>
      <c r="E2589" t="s">
        <v>5709</v>
      </c>
      <c r="F2589" t="s">
        <v>16</v>
      </c>
      <c r="G2589" t="s">
        <v>88</v>
      </c>
      <c r="H2589" t="b">
        <v>0</v>
      </c>
      <c r="K2589" t="b">
        <v>0</v>
      </c>
      <c r="L2589" t="b">
        <v>0</v>
      </c>
    </row>
    <row r="2590" spans="1:25" x14ac:dyDescent="0.2">
      <c r="A2590">
        <v>4142</v>
      </c>
      <c r="B2590" t="s">
        <v>5697</v>
      </c>
      <c r="C2590" t="s">
        <v>18</v>
      </c>
      <c r="D2590" t="s">
        <v>5710</v>
      </c>
      <c r="E2590" t="s">
        <v>4015</v>
      </c>
      <c r="F2590" t="s">
        <v>78</v>
      </c>
      <c r="G2590" t="s">
        <v>88</v>
      </c>
      <c r="H2590" t="b">
        <v>0</v>
      </c>
      <c r="K2590" t="b">
        <v>0</v>
      </c>
      <c r="L2590" t="b">
        <v>0</v>
      </c>
      <c r="M2590" t="s">
        <v>5711</v>
      </c>
      <c r="N2590" t="s">
        <v>5712</v>
      </c>
    </row>
    <row r="2592" spans="1:25" x14ac:dyDescent="0.2">
      <c r="A2592" s="2">
        <v>4186</v>
      </c>
      <c r="B2592" s="2" t="s">
        <v>5713</v>
      </c>
      <c r="C2592" s="2" t="s">
        <v>13</v>
      </c>
      <c r="D2592" s="2" t="s">
        <v>5714</v>
      </c>
      <c r="E2592" s="2" t="s">
        <v>5715</v>
      </c>
      <c r="F2592" s="2" t="s">
        <v>1938</v>
      </c>
      <c r="G2592" s="2" t="s">
        <v>280</v>
      </c>
      <c r="H2592" s="2"/>
      <c r="I2592" s="2"/>
      <c r="J2592" s="2"/>
      <c r="K2592" s="2"/>
      <c r="L2592" s="2"/>
      <c r="M2592" s="2"/>
      <c r="N2592" s="2"/>
      <c r="O2592" s="2"/>
      <c r="P2592" s="2"/>
      <c r="Q2592" s="2"/>
      <c r="R2592" s="2"/>
      <c r="S2592" s="2"/>
      <c r="T2592" s="2"/>
      <c r="U2592" s="2"/>
      <c r="V2592" s="2"/>
      <c r="W2592" s="2"/>
      <c r="X2592" s="2"/>
      <c r="Y2592" s="2"/>
    </row>
    <row r="2593" spans="1:25" x14ac:dyDescent="0.2">
      <c r="A2593">
        <v>4187</v>
      </c>
      <c r="B2593" t="s">
        <v>5713</v>
      </c>
      <c r="C2593" t="s">
        <v>18</v>
      </c>
      <c r="D2593" t="s">
        <v>5716</v>
      </c>
      <c r="E2593" t="s">
        <v>5717</v>
      </c>
      <c r="F2593" t="s">
        <v>1938</v>
      </c>
      <c r="G2593" t="s">
        <v>280</v>
      </c>
      <c r="H2593" t="b">
        <v>1</v>
      </c>
      <c r="I2593" t="b">
        <v>1</v>
      </c>
      <c r="L2593" t="b">
        <v>1</v>
      </c>
      <c r="M2593" t="s">
        <v>5718</v>
      </c>
      <c r="N2593" t="s">
        <v>5719</v>
      </c>
    </row>
    <row r="2594" spans="1:25" x14ac:dyDescent="0.2">
      <c r="A2594">
        <v>4188</v>
      </c>
      <c r="B2594" t="s">
        <v>5713</v>
      </c>
      <c r="C2594" t="s">
        <v>18</v>
      </c>
      <c r="D2594" t="s">
        <v>5720</v>
      </c>
      <c r="E2594" t="s">
        <v>5721</v>
      </c>
      <c r="F2594" t="s">
        <v>1938</v>
      </c>
      <c r="G2594" t="s">
        <v>280</v>
      </c>
      <c r="H2594" t="b">
        <v>1</v>
      </c>
      <c r="I2594" t="b">
        <v>1</v>
      </c>
      <c r="L2594" t="b">
        <v>1</v>
      </c>
      <c r="M2594" t="s">
        <v>5722</v>
      </c>
      <c r="N2594" t="s">
        <v>5723</v>
      </c>
    </row>
    <row r="2595" spans="1:25" x14ac:dyDescent="0.2">
      <c r="A2595">
        <v>4189</v>
      </c>
      <c r="B2595" t="s">
        <v>5713</v>
      </c>
      <c r="C2595" t="s">
        <v>18</v>
      </c>
      <c r="D2595" t="s">
        <v>5724</v>
      </c>
      <c r="E2595" t="s">
        <v>5725</v>
      </c>
      <c r="F2595" t="s">
        <v>5726</v>
      </c>
      <c r="G2595" t="s">
        <v>280</v>
      </c>
      <c r="H2595" t="b">
        <v>0</v>
      </c>
      <c r="I2595" t="b">
        <v>0</v>
      </c>
      <c r="L2595" t="b">
        <v>0</v>
      </c>
      <c r="M2595" t="s">
        <v>5727</v>
      </c>
      <c r="N2595" t="s">
        <v>5728</v>
      </c>
      <c r="O2595" t="s">
        <v>5729</v>
      </c>
      <c r="P2595" t="s">
        <v>5730</v>
      </c>
      <c r="Q2595" t="s">
        <v>5731</v>
      </c>
    </row>
    <row r="2596" spans="1:25" x14ac:dyDescent="0.2">
      <c r="A2596">
        <v>4190</v>
      </c>
      <c r="B2596" t="s">
        <v>5713</v>
      </c>
      <c r="C2596" t="s">
        <v>18</v>
      </c>
      <c r="D2596" t="s">
        <v>5732</v>
      </c>
      <c r="E2596" t="s">
        <v>5733</v>
      </c>
      <c r="F2596" t="s">
        <v>1837</v>
      </c>
      <c r="G2596" t="s">
        <v>280</v>
      </c>
      <c r="H2596" t="b">
        <v>0</v>
      </c>
      <c r="I2596" t="b">
        <v>0</v>
      </c>
      <c r="L2596" t="b">
        <v>0</v>
      </c>
      <c r="M2596" t="s">
        <v>5734</v>
      </c>
      <c r="N2596" t="s">
        <v>5735</v>
      </c>
      <c r="O2596" t="s">
        <v>5736</v>
      </c>
      <c r="P2596" t="s">
        <v>5737</v>
      </c>
    </row>
    <row r="2597" spans="1:25" x14ac:dyDescent="0.2">
      <c r="A2597">
        <v>4191</v>
      </c>
      <c r="B2597" t="s">
        <v>5713</v>
      </c>
      <c r="C2597" t="s">
        <v>18</v>
      </c>
      <c r="D2597" t="s">
        <v>4335</v>
      </c>
      <c r="E2597" t="s">
        <v>4336</v>
      </c>
      <c r="F2597" t="s">
        <v>4337</v>
      </c>
      <c r="G2597" t="s">
        <v>279</v>
      </c>
      <c r="H2597" t="b">
        <v>0</v>
      </c>
      <c r="I2597" t="b">
        <v>0</v>
      </c>
      <c r="L2597" t="b">
        <v>0</v>
      </c>
      <c r="M2597" t="s">
        <v>4338</v>
      </c>
      <c r="N2597" t="s">
        <v>4339</v>
      </c>
    </row>
    <row r="2599" spans="1:25" x14ac:dyDescent="0.2">
      <c r="A2599" s="2">
        <v>4193</v>
      </c>
      <c r="B2599" s="2" t="s">
        <v>5738</v>
      </c>
      <c r="C2599" s="2" t="s">
        <v>13</v>
      </c>
      <c r="D2599" s="2" t="s">
        <v>5739</v>
      </c>
      <c r="E2599" s="2" t="s">
        <v>5740</v>
      </c>
      <c r="F2599" s="2" t="s">
        <v>78</v>
      </c>
      <c r="G2599" s="2" t="s">
        <v>279</v>
      </c>
      <c r="H2599" s="2"/>
      <c r="I2599" s="2"/>
      <c r="J2599" s="2"/>
      <c r="K2599" s="2"/>
      <c r="L2599" s="2"/>
      <c r="M2599" s="2"/>
      <c r="N2599" s="2"/>
      <c r="O2599" s="2"/>
      <c r="P2599" s="2"/>
      <c r="Q2599" s="2"/>
      <c r="R2599" s="2"/>
      <c r="S2599" s="2"/>
      <c r="T2599" s="2"/>
      <c r="U2599" s="2"/>
      <c r="V2599" s="2"/>
      <c r="W2599" s="2"/>
      <c r="X2599" s="2"/>
      <c r="Y2599" s="2"/>
    </row>
    <row r="2600" spans="1:25" x14ac:dyDescent="0.2">
      <c r="A2600">
        <v>4194</v>
      </c>
      <c r="B2600" t="s">
        <v>5738</v>
      </c>
      <c r="C2600" t="s">
        <v>18</v>
      </c>
      <c r="D2600" t="s">
        <v>5739</v>
      </c>
      <c r="E2600" t="s">
        <v>2447</v>
      </c>
      <c r="F2600" t="s">
        <v>78</v>
      </c>
      <c r="G2600" t="s">
        <v>280</v>
      </c>
      <c r="H2600" t="b">
        <v>1</v>
      </c>
      <c r="K2600" t="b">
        <v>1</v>
      </c>
      <c r="L2600" t="b">
        <v>1</v>
      </c>
      <c r="M2600" t="s">
        <v>5741</v>
      </c>
    </row>
    <row r="2601" spans="1:25" x14ac:dyDescent="0.2">
      <c r="A2601">
        <v>4195</v>
      </c>
      <c r="B2601" t="s">
        <v>5738</v>
      </c>
      <c r="C2601" t="s">
        <v>18</v>
      </c>
      <c r="D2601" t="s">
        <v>5742</v>
      </c>
      <c r="E2601" t="s">
        <v>5743</v>
      </c>
      <c r="F2601" t="s">
        <v>78</v>
      </c>
      <c r="G2601" t="s">
        <v>280</v>
      </c>
      <c r="H2601" t="b">
        <v>1</v>
      </c>
      <c r="K2601" t="b">
        <v>1</v>
      </c>
      <c r="L2601" t="b">
        <v>1</v>
      </c>
      <c r="M2601" t="s">
        <v>5744</v>
      </c>
    </row>
    <row r="2602" spans="1:25" x14ac:dyDescent="0.2">
      <c r="A2602">
        <v>4196</v>
      </c>
      <c r="B2602" t="s">
        <v>5738</v>
      </c>
      <c r="C2602" t="s">
        <v>18</v>
      </c>
      <c r="D2602" t="s">
        <v>5745</v>
      </c>
      <c r="E2602" t="s">
        <v>5746</v>
      </c>
      <c r="F2602" t="s">
        <v>78</v>
      </c>
      <c r="G2602" t="s">
        <v>280</v>
      </c>
      <c r="H2602" t="b">
        <v>0</v>
      </c>
      <c r="K2602" t="b">
        <v>0</v>
      </c>
      <c r="L2602" t="b">
        <v>0</v>
      </c>
      <c r="M2602" t="s">
        <v>5747</v>
      </c>
    </row>
    <row r="2603" spans="1:25" x14ac:dyDescent="0.2">
      <c r="A2603">
        <v>4197</v>
      </c>
      <c r="B2603" t="s">
        <v>5738</v>
      </c>
      <c r="C2603" t="s">
        <v>18</v>
      </c>
      <c r="D2603" t="s">
        <v>5748</v>
      </c>
      <c r="E2603" t="s">
        <v>5749</v>
      </c>
      <c r="F2603" t="s">
        <v>78</v>
      </c>
      <c r="G2603" t="s">
        <v>502</v>
      </c>
      <c r="H2603" t="b">
        <v>0</v>
      </c>
      <c r="K2603" t="b">
        <v>0</v>
      </c>
      <c r="L2603" t="b">
        <v>0</v>
      </c>
      <c r="M2603" t="s">
        <v>5750</v>
      </c>
    </row>
    <row r="2604" spans="1:25" x14ac:dyDescent="0.2">
      <c r="A2604">
        <v>4198</v>
      </c>
      <c r="B2604" t="s">
        <v>5738</v>
      </c>
      <c r="C2604" t="s">
        <v>18</v>
      </c>
      <c r="D2604" t="s">
        <v>5751</v>
      </c>
      <c r="E2604" t="s">
        <v>5752</v>
      </c>
      <c r="F2604" t="s">
        <v>78</v>
      </c>
      <c r="G2604" t="s">
        <v>24</v>
      </c>
      <c r="H2604" t="b">
        <v>0</v>
      </c>
      <c r="K2604" t="b">
        <v>0</v>
      </c>
      <c r="L2604" t="b">
        <v>0</v>
      </c>
      <c r="M2604" t="s">
        <v>5753</v>
      </c>
    </row>
    <row r="2606" spans="1:25" x14ac:dyDescent="0.2">
      <c r="A2606" s="2">
        <v>42</v>
      </c>
      <c r="B2606" s="2" t="s">
        <v>5754</v>
      </c>
      <c r="C2606" s="2" t="s">
        <v>13</v>
      </c>
      <c r="D2606" s="2" t="s">
        <v>5755</v>
      </c>
      <c r="E2606" s="2" t="s">
        <v>5756</v>
      </c>
      <c r="F2606" s="2" t="s">
        <v>717</v>
      </c>
      <c r="G2606" s="2" t="s">
        <v>62</v>
      </c>
      <c r="H2606" s="2"/>
      <c r="I2606" s="2"/>
      <c r="J2606" s="2"/>
      <c r="K2606" s="2"/>
      <c r="L2606" s="2"/>
      <c r="M2606" s="2"/>
      <c r="N2606" s="2"/>
      <c r="O2606" s="2"/>
      <c r="P2606" s="2"/>
      <c r="Q2606" s="2"/>
      <c r="R2606" s="2"/>
      <c r="S2606" s="2"/>
      <c r="T2606" s="2"/>
      <c r="U2606" s="2"/>
      <c r="V2606" s="2"/>
      <c r="W2606" s="2"/>
      <c r="X2606" s="2"/>
      <c r="Y2606" s="2"/>
    </row>
    <row r="2607" spans="1:25" x14ac:dyDescent="0.2">
      <c r="A2607">
        <v>43</v>
      </c>
      <c r="B2607" t="s">
        <v>5754</v>
      </c>
      <c r="C2607" t="s">
        <v>18</v>
      </c>
      <c r="D2607" t="s">
        <v>5755</v>
      </c>
      <c r="E2607" t="s">
        <v>5756</v>
      </c>
      <c r="F2607" t="s">
        <v>717</v>
      </c>
      <c r="G2607" t="s">
        <v>62</v>
      </c>
      <c r="H2607" t="b">
        <v>1</v>
      </c>
      <c r="I2607" t="b">
        <v>1</v>
      </c>
      <c r="L2607" t="b">
        <v>1</v>
      </c>
      <c r="M2607" t="s">
        <v>5757</v>
      </c>
      <c r="N2607" t="s">
        <v>5758</v>
      </c>
      <c r="O2607" t="s">
        <v>5759</v>
      </c>
      <c r="P2607" t="s">
        <v>5760</v>
      </c>
    </row>
    <row r="2608" spans="1:25" x14ac:dyDescent="0.2">
      <c r="A2608">
        <v>44</v>
      </c>
      <c r="B2608" t="s">
        <v>5754</v>
      </c>
      <c r="C2608" t="s">
        <v>18</v>
      </c>
      <c r="D2608" t="s">
        <v>5761</v>
      </c>
      <c r="E2608" t="s">
        <v>5762</v>
      </c>
      <c r="F2608" t="s">
        <v>27</v>
      </c>
      <c r="G2608" t="s">
        <v>62</v>
      </c>
      <c r="H2608" t="b">
        <v>0</v>
      </c>
      <c r="I2608" t="b">
        <v>0</v>
      </c>
      <c r="L2608" t="b">
        <v>0</v>
      </c>
    </row>
    <row r="2609" spans="1:25" x14ac:dyDescent="0.2">
      <c r="A2609">
        <v>45</v>
      </c>
      <c r="B2609" t="s">
        <v>5754</v>
      </c>
      <c r="C2609" t="s">
        <v>18</v>
      </c>
      <c r="D2609" t="s">
        <v>5763</v>
      </c>
      <c r="E2609" t="s">
        <v>282</v>
      </c>
      <c r="F2609" t="s">
        <v>78</v>
      </c>
      <c r="G2609" t="s">
        <v>62</v>
      </c>
      <c r="H2609" t="b">
        <v>0</v>
      </c>
      <c r="I2609" t="b">
        <v>0</v>
      </c>
      <c r="L2609" t="b">
        <v>0</v>
      </c>
      <c r="M2609" t="s">
        <v>5764</v>
      </c>
    </row>
    <row r="2610" spans="1:25" x14ac:dyDescent="0.2">
      <c r="A2610">
        <v>46</v>
      </c>
      <c r="B2610" t="s">
        <v>5754</v>
      </c>
      <c r="C2610" t="s">
        <v>18</v>
      </c>
      <c r="D2610" t="s">
        <v>415</v>
      </c>
      <c r="E2610" t="s">
        <v>416</v>
      </c>
      <c r="F2610" t="s">
        <v>159</v>
      </c>
      <c r="G2610" t="s">
        <v>417</v>
      </c>
      <c r="H2610" t="b">
        <v>0</v>
      </c>
      <c r="I2610" t="b">
        <v>0</v>
      </c>
      <c r="L2610" t="b">
        <v>0</v>
      </c>
      <c r="M2610" t="s">
        <v>1543</v>
      </c>
      <c r="N2610" t="s">
        <v>1544</v>
      </c>
    </row>
    <row r="2611" spans="1:25" x14ac:dyDescent="0.2">
      <c r="A2611">
        <v>47</v>
      </c>
      <c r="B2611" t="s">
        <v>5754</v>
      </c>
      <c r="C2611" t="s">
        <v>18</v>
      </c>
      <c r="D2611" t="s">
        <v>1288</v>
      </c>
      <c r="E2611" t="s">
        <v>1289</v>
      </c>
      <c r="F2611" t="s">
        <v>122</v>
      </c>
      <c r="G2611" t="s">
        <v>1290</v>
      </c>
      <c r="H2611" t="b">
        <v>0</v>
      </c>
      <c r="I2611" t="b">
        <v>0</v>
      </c>
      <c r="L2611" t="b">
        <v>0</v>
      </c>
    </row>
    <row r="2613" spans="1:25" x14ac:dyDescent="0.2">
      <c r="A2613" s="2">
        <v>420</v>
      </c>
      <c r="B2613" s="2" t="s">
        <v>5765</v>
      </c>
      <c r="C2613" s="2" t="s">
        <v>13</v>
      </c>
      <c r="D2613" s="2" t="s">
        <v>5766</v>
      </c>
      <c r="E2613" s="2" t="s">
        <v>5767</v>
      </c>
      <c r="F2613" s="2" t="s">
        <v>369</v>
      </c>
      <c r="G2613" s="2" t="s">
        <v>130</v>
      </c>
      <c r="H2613" s="2"/>
      <c r="I2613" s="2"/>
      <c r="J2613" s="2"/>
      <c r="K2613" s="2"/>
      <c r="L2613" s="2"/>
      <c r="M2613" s="2"/>
      <c r="N2613" s="2"/>
      <c r="O2613" s="2"/>
      <c r="P2613" s="2"/>
      <c r="Q2613" s="2"/>
      <c r="R2613" s="2"/>
      <c r="S2613" s="2"/>
      <c r="T2613" s="2"/>
      <c r="U2613" s="2"/>
      <c r="V2613" s="2"/>
      <c r="W2613" s="2"/>
      <c r="X2613" s="2"/>
      <c r="Y2613" s="2"/>
    </row>
    <row r="2614" spans="1:25" x14ac:dyDescent="0.2">
      <c r="A2614">
        <v>421</v>
      </c>
      <c r="B2614" t="s">
        <v>5765</v>
      </c>
      <c r="C2614" t="s">
        <v>18</v>
      </c>
      <c r="D2614" t="s">
        <v>5766</v>
      </c>
      <c r="E2614" t="s">
        <v>5767</v>
      </c>
      <c r="F2614" t="s">
        <v>369</v>
      </c>
      <c r="G2614" t="s">
        <v>130</v>
      </c>
      <c r="H2614" t="b">
        <v>1</v>
      </c>
      <c r="I2614" t="b">
        <v>1</v>
      </c>
      <c r="L2614" t="b">
        <v>1</v>
      </c>
      <c r="M2614" t="s">
        <v>5768</v>
      </c>
      <c r="N2614" t="s">
        <v>745</v>
      </c>
    </row>
    <row r="2615" spans="1:25" x14ac:dyDescent="0.2">
      <c r="A2615">
        <v>422</v>
      </c>
      <c r="B2615" t="s">
        <v>5765</v>
      </c>
      <c r="C2615" t="s">
        <v>18</v>
      </c>
      <c r="D2615" t="s">
        <v>3212</v>
      </c>
      <c r="E2615" t="s">
        <v>3213</v>
      </c>
      <c r="F2615" t="s">
        <v>369</v>
      </c>
      <c r="G2615" t="s">
        <v>24</v>
      </c>
      <c r="H2615" t="b">
        <v>0</v>
      </c>
      <c r="I2615" t="b">
        <v>0</v>
      </c>
      <c r="L2615" t="b">
        <v>0</v>
      </c>
      <c r="M2615" t="s">
        <v>3214</v>
      </c>
      <c r="N2615" t="s">
        <v>745</v>
      </c>
    </row>
    <row r="2616" spans="1:25" x14ac:dyDescent="0.2">
      <c r="A2616">
        <v>423</v>
      </c>
      <c r="B2616" t="s">
        <v>5765</v>
      </c>
      <c r="C2616" t="s">
        <v>18</v>
      </c>
      <c r="D2616" t="s">
        <v>5769</v>
      </c>
      <c r="E2616" t="s">
        <v>5770</v>
      </c>
      <c r="F2616" t="s">
        <v>369</v>
      </c>
      <c r="G2616" t="s">
        <v>17</v>
      </c>
      <c r="H2616" t="b">
        <v>0</v>
      </c>
      <c r="I2616" t="b">
        <v>0</v>
      </c>
      <c r="L2616" t="b">
        <v>0</v>
      </c>
    </row>
    <row r="2617" spans="1:25" x14ac:dyDescent="0.2">
      <c r="A2617">
        <v>424</v>
      </c>
      <c r="B2617" t="s">
        <v>5765</v>
      </c>
      <c r="C2617" t="s">
        <v>18</v>
      </c>
      <c r="D2617" t="s">
        <v>5771</v>
      </c>
      <c r="E2617" t="s">
        <v>5772</v>
      </c>
      <c r="F2617" t="s">
        <v>369</v>
      </c>
      <c r="G2617" t="s">
        <v>17</v>
      </c>
      <c r="H2617" t="b">
        <v>0</v>
      </c>
      <c r="I2617" t="b">
        <v>0</v>
      </c>
      <c r="L2617" t="b">
        <v>0</v>
      </c>
    </row>
    <row r="2618" spans="1:25" x14ac:dyDescent="0.2">
      <c r="A2618">
        <v>425</v>
      </c>
      <c r="B2618" t="s">
        <v>5765</v>
      </c>
      <c r="C2618" t="s">
        <v>18</v>
      </c>
      <c r="D2618" t="s">
        <v>2415</v>
      </c>
      <c r="E2618" t="s">
        <v>2416</v>
      </c>
      <c r="F2618" t="s">
        <v>369</v>
      </c>
      <c r="G2618" t="s">
        <v>252</v>
      </c>
      <c r="H2618" t="b">
        <v>0</v>
      </c>
      <c r="I2618" t="b">
        <v>0</v>
      </c>
      <c r="L2618" t="b">
        <v>0</v>
      </c>
      <c r="M2618" t="s">
        <v>2417</v>
      </c>
      <c r="N2618" t="s">
        <v>2418</v>
      </c>
    </row>
    <row r="2620" spans="1:25" x14ac:dyDescent="0.2">
      <c r="A2620" s="2">
        <v>4228</v>
      </c>
      <c r="B2620" s="2" t="s">
        <v>5773</v>
      </c>
      <c r="C2620" s="2" t="s">
        <v>13</v>
      </c>
      <c r="D2620" s="2" t="s">
        <v>5774</v>
      </c>
      <c r="E2620" s="2" t="s">
        <v>5775</v>
      </c>
      <c r="F2620" s="2" t="s">
        <v>596</v>
      </c>
      <c r="G2620" s="2" t="s">
        <v>1752</v>
      </c>
      <c r="H2620" s="2"/>
      <c r="I2620" s="2"/>
      <c r="J2620" s="2"/>
      <c r="K2620" s="2"/>
      <c r="L2620" s="2"/>
      <c r="M2620" s="2"/>
      <c r="N2620" s="2"/>
      <c r="O2620" s="2"/>
      <c r="P2620" s="2"/>
      <c r="Q2620" s="2"/>
      <c r="R2620" s="2"/>
      <c r="S2620" s="2"/>
      <c r="T2620" s="2"/>
      <c r="U2620" s="2"/>
      <c r="V2620" s="2"/>
      <c r="W2620" s="2"/>
      <c r="X2620" s="2"/>
      <c r="Y2620" s="2"/>
    </row>
    <row r="2621" spans="1:25" x14ac:dyDescent="0.2">
      <c r="A2621">
        <v>4229</v>
      </c>
      <c r="B2621" t="s">
        <v>5773</v>
      </c>
      <c r="C2621" t="s">
        <v>18</v>
      </c>
      <c r="D2621" t="s">
        <v>5774</v>
      </c>
      <c r="E2621" t="s">
        <v>5776</v>
      </c>
      <c r="F2621" t="s">
        <v>596</v>
      </c>
      <c r="G2621" t="s">
        <v>917</v>
      </c>
      <c r="H2621" t="b">
        <v>1</v>
      </c>
      <c r="I2621" t="b">
        <v>1</v>
      </c>
      <c r="L2621" t="b">
        <v>1</v>
      </c>
      <c r="M2621" t="s">
        <v>5777</v>
      </c>
      <c r="N2621" t="s">
        <v>5778</v>
      </c>
    </row>
    <row r="2622" spans="1:25" x14ac:dyDescent="0.2">
      <c r="A2622">
        <v>4230</v>
      </c>
      <c r="B2622" t="s">
        <v>5773</v>
      </c>
      <c r="C2622" t="s">
        <v>18</v>
      </c>
      <c r="D2622" t="s">
        <v>5779</v>
      </c>
      <c r="E2622" t="s">
        <v>1170</v>
      </c>
      <c r="F2622" t="s">
        <v>596</v>
      </c>
      <c r="G2622" t="s">
        <v>917</v>
      </c>
      <c r="H2622" t="b">
        <v>1</v>
      </c>
      <c r="I2622" t="b">
        <v>1</v>
      </c>
      <c r="L2622" t="b">
        <v>1</v>
      </c>
      <c r="M2622" t="s">
        <v>5780</v>
      </c>
      <c r="N2622" t="s">
        <v>5781</v>
      </c>
    </row>
    <row r="2623" spans="1:25" x14ac:dyDescent="0.2">
      <c r="A2623">
        <v>4231</v>
      </c>
      <c r="B2623" t="s">
        <v>5773</v>
      </c>
      <c r="C2623" t="s">
        <v>18</v>
      </c>
      <c r="D2623" t="s">
        <v>1750</v>
      </c>
      <c r="E2623" t="s">
        <v>1751</v>
      </c>
      <c r="F2623" t="s">
        <v>78</v>
      </c>
      <c r="G2623" t="s">
        <v>917</v>
      </c>
      <c r="H2623" t="b">
        <v>0</v>
      </c>
      <c r="I2623" t="b">
        <v>0</v>
      </c>
      <c r="L2623" t="b">
        <v>0</v>
      </c>
      <c r="M2623" t="s">
        <v>1753</v>
      </c>
      <c r="N2623" t="s">
        <v>1754</v>
      </c>
      <c r="O2623" t="s">
        <v>1755</v>
      </c>
    </row>
    <row r="2624" spans="1:25" x14ac:dyDescent="0.2">
      <c r="A2624">
        <v>4232</v>
      </c>
      <c r="B2624" t="s">
        <v>5773</v>
      </c>
      <c r="C2624" t="s">
        <v>18</v>
      </c>
      <c r="D2624" t="s">
        <v>915</v>
      </c>
      <c r="E2624" t="s">
        <v>916</v>
      </c>
      <c r="F2624" t="s">
        <v>78</v>
      </c>
      <c r="G2624" t="s">
        <v>917</v>
      </c>
      <c r="H2624" t="b">
        <v>0</v>
      </c>
      <c r="I2624" t="b">
        <v>0</v>
      </c>
      <c r="L2624" t="b">
        <v>0</v>
      </c>
      <c r="M2624" t="s">
        <v>918</v>
      </c>
      <c r="N2624" t="s">
        <v>919</v>
      </c>
    </row>
    <row r="2625" spans="1:25" x14ac:dyDescent="0.2">
      <c r="A2625">
        <v>4233</v>
      </c>
      <c r="B2625" t="s">
        <v>5773</v>
      </c>
      <c r="C2625" t="s">
        <v>18</v>
      </c>
      <c r="D2625" t="s">
        <v>5782</v>
      </c>
      <c r="E2625" t="s">
        <v>5783</v>
      </c>
      <c r="F2625" t="s">
        <v>78</v>
      </c>
      <c r="G2625" t="s">
        <v>917</v>
      </c>
      <c r="H2625" t="b">
        <v>0</v>
      </c>
      <c r="I2625" t="b">
        <v>0</v>
      </c>
      <c r="L2625" t="b">
        <v>0</v>
      </c>
    </row>
    <row r="2627" spans="1:25" x14ac:dyDescent="0.2">
      <c r="A2627" s="2">
        <v>4242</v>
      </c>
      <c r="B2627" s="2" t="s">
        <v>5784</v>
      </c>
      <c r="C2627" s="2" t="s">
        <v>13</v>
      </c>
      <c r="D2627" s="2" t="s">
        <v>5785</v>
      </c>
      <c r="E2627" s="2" t="s">
        <v>5786</v>
      </c>
      <c r="F2627" s="2" t="s">
        <v>78</v>
      </c>
      <c r="G2627" s="2" t="s">
        <v>24</v>
      </c>
      <c r="H2627" s="2"/>
      <c r="I2627" s="2"/>
      <c r="J2627" s="2"/>
      <c r="K2627" s="2"/>
      <c r="L2627" s="2"/>
      <c r="M2627" s="2"/>
      <c r="N2627" s="2"/>
      <c r="O2627" s="2"/>
      <c r="P2627" s="2"/>
      <c r="Q2627" s="2"/>
      <c r="R2627" s="2"/>
      <c r="S2627" s="2"/>
      <c r="T2627" s="2"/>
      <c r="U2627" s="2"/>
      <c r="V2627" s="2"/>
      <c r="W2627" s="2"/>
      <c r="X2627" s="2"/>
      <c r="Y2627" s="2"/>
    </row>
    <row r="2628" spans="1:25" x14ac:dyDescent="0.2">
      <c r="A2628">
        <v>4243</v>
      </c>
      <c r="B2628" t="s">
        <v>5784</v>
      </c>
      <c r="C2628" t="s">
        <v>18</v>
      </c>
      <c r="D2628" t="s">
        <v>5787</v>
      </c>
      <c r="E2628" t="s">
        <v>2203</v>
      </c>
      <c r="F2628" t="s">
        <v>78</v>
      </c>
      <c r="G2628" t="s">
        <v>24</v>
      </c>
      <c r="H2628" t="b">
        <v>1</v>
      </c>
      <c r="I2628" t="b">
        <v>1</v>
      </c>
      <c r="L2628" t="b">
        <v>1</v>
      </c>
      <c r="M2628" t="s">
        <v>5788</v>
      </c>
      <c r="N2628" t="s">
        <v>5789</v>
      </c>
    </row>
    <row r="2629" spans="1:25" x14ac:dyDescent="0.2">
      <c r="A2629">
        <v>4244</v>
      </c>
      <c r="B2629" t="s">
        <v>5784</v>
      </c>
      <c r="C2629" t="s">
        <v>18</v>
      </c>
      <c r="D2629" t="s">
        <v>3139</v>
      </c>
      <c r="E2629" t="s">
        <v>3140</v>
      </c>
      <c r="F2629" t="s">
        <v>78</v>
      </c>
      <c r="G2629" t="s">
        <v>24</v>
      </c>
      <c r="H2629" t="b">
        <v>1</v>
      </c>
      <c r="I2629" t="b">
        <v>1</v>
      </c>
      <c r="L2629" t="b">
        <v>1</v>
      </c>
      <c r="M2629" t="s">
        <v>3141</v>
      </c>
    </row>
    <row r="2630" spans="1:25" x14ac:dyDescent="0.2">
      <c r="A2630">
        <v>4245</v>
      </c>
      <c r="B2630" t="s">
        <v>5784</v>
      </c>
      <c r="C2630" t="s">
        <v>18</v>
      </c>
      <c r="D2630" t="s">
        <v>5790</v>
      </c>
      <c r="E2630" t="s">
        <v>5791</v>
      </c>
      <c r="F2630" t="s">
        <v>78</v>
      </c>
      <c r="G2630" t="s">
        <v>3688</v>
      </c>
      <c r="H2630" t="b">
        <v>0</v>
      </c>
      <c r="I2630" t="b">
        <v>0</v>
      </c>
      <c r="L2630" t="b">
        <v>0</v>
      </c>
    </row>
    <row r="2631" spans="1:25" x14ac:dyDescent="0.2">
      <c r="A2631">
        <v>4246</v>
      </c>
      <c r="B2631" t="s">
        <v>5784</v>
      </c>
      <c r="C2631" t="s">
        <v>18</v>
      </c>
      <c r="D2631" t="s">
        <v>5083</v>
      </c>
      <c r="E2631" t="s">
        <v>5084</v>
      </c>
      <c r="F2631" t="s">
        <v>151</v>
      </c>
      <c r="G2631" t="s">
        <v>917</v>
      </c>
      <c r="H2631" t="b">
        <v>0</v>
      </c>
      <c r="I2631" t="b">
        <v>0</v>
      </c>
      <c r="L2631" t="b">
        <v>0</v>
      </c>
      <c r="M2631" t="s">
        <v>5085</v>
      </c>
      <c r="N2631" t="s">
        <v>5086</v>
      </c>
    </row>
    <row r="2632" spans="1:25" x14ac:dyDescent="0.2">
      <c r="A2632">
        <v>4247</v>
      </c>
      <c r="B2632" t="s">
        <v>5784</v>
      </c>
      <c r="C2632" t="s">
        <v>18</v>
      </c>
      <c r="D2632" t="s">
        <v>5792</v>
      </c>
      <c r="E2632" t="s">
        <v>5793</v>
      </c>
      <c r="F2632" t="s">
        <v>78</v>
      </c>
      <c r="G2632" t="s">
        <v>24</v>
      </c>
      <c r="H2632" t="b">
        <v>0</v>
      </c>
      <c r="I2632" t="b">
        <v>0</v>
      </c>
      <c r="L2632" t="b">
        <v>0</v>
      </c>
      <c r="M2632" t="s">
        <v>5794</v>
      </c>
      <c r="N2632" t="s">
        <v>5795</v>
      </c>
    </row>
    <row r="2634" spans="1:25" x14ac:dyDescent="0.2">
      <c r="A2634" s="2">
        <v>4291</v>
      </c>
      <c r="B2634" s="2" t="s">
        <v>5796</v>
      </c>
      <c r="C2634" s="2" t="s">
        <v>13</v>
      </c>
      <c r="D2634" s="2" t="s">
        <v>5797</v>
      </c>
      <c r="E2634" s="2" t="s">
        <v>5798</v>
      </c>
      <c r="F2634" s="2" t="s">
        <v>78</v>
      </c>
      <c r="G2634" s="2" t="s">
        <v>252</v>
      </c>
      <c r="H2634" s="2"/>
      <c r="I2634" s="2"/>
      <c r="J2634" s="2"/>
      <c r="K2634" s="2"/>
      <c r="L2634" s="2"/>
      <c r="M2634" s="2"/>
      <c r="N2634" s="2"/>
      <c r="O2634" s="2"/>
      <c r="P2634" s="2"/>
      <c r="Q2634" s="2"/>
      <c r="R2634" s="2"/>
      <c r="S2634" s="2"/>
      <c r="T2634" s="2"/>
      <c r="U2634" s="2"/>
      <c r="V2634" s="2"/>
      <c r="W2634" s="2"/>
      <c r="X2634" s="2"/>
      <c r="Y2634" s="2"/>
    </row>
    <row r="2635" spans="1:25" x14ac:dyDescent="0.2">
      <c r="A2635">
        <v>4292</v>
      </c>
      <c r="B2635" t="s">
        <v>5796</v>
      </c>
      <c r="C2635" t="s">
        <v>18</v>
      </c>
      <c r="D2635" t="s">
        <v>5797</v>
      </c>
      <c r="E2635" t="s">
        <v>5799</v>
      </c>
      <c r="F2635" t="s">
        <v>78</v>
      </c>
      <c r="G2635" t="s">
        <v>252</v>
      </c>
      <c r="H2635" t="b">
        <v>1</v>
      </c>
      <c r="K2635" t="b">
        <v>1</v>
      </c>
      <c r="L2635" t="b">
        <v>1</v>
      </c>
      <c r="M2635" t="s">
        <v>5800</v>
      </c>
    </row>
    <row r="2636" spans="1:25" x14ac:dyDescent="0.2">
      <c r="A2636">
        <v>4293</v>
      </c>
      <c r="B2636" t="s">
        <v>5796</v>
      </c>
      <c r="C2636" t="s">
        <v>18</v>
      </c>
      <c r="D2636" t="s">
        <v>5801</v>
      </c>
      <c r="E2636" t="s">
        <v>195</v>
      </c>
      <c r="F2636" t="s">
        <v>78</v>
      </c>
      <c r="G2636" t="s">
        <v>252</v>
      </c>
      <c r="H2636" t="b">
        <v>0</v>
      </c>
      <c r="K2636" t="b">
        <v>0</v>
      </c>
      <c r="L2636" t="b">
        <v>0</v>
      </c>
      <c r="M2636" t="s">
        <v>5802</v>
      </c>
    </row>
    <row r="2637" spans="1:25" x14ac:dyDescent="0.2">
      <c r="A2637">
        <v>4294</v>
      </c>
      <c r="B2637" t="s">
        <v>5796</v>
      </c>
      <c r="C2637" t="s">
        <v>18</v>
      </c>
      <c r="D2637" t="s">
        <v>5803</v>
      </c>
      <c r="E2637" t="s">
        <v>5474</v>
      </c>
      <c r="F2637" t="s">
        <v>78</v>
      </c>
      <c r="G2637" t="s">
        <v>252</v>
      </c>
      <c r="H2637" t="b">
        <v>1</v>
      </c>
      <c r="K2637" t="b">
        <v>0</v>
      </c>
      <c r="L2637" t="b">
        <v>1</v>
      </c>
      <c r="M2637" t="s">
        <v>5804</v>
      </c>
    </row>
    <row r="2638" spans="1:25" x14ac:dyDescent="0.2">
      <c r="A2638">
        <v>4295</v>
      </c>
      <c r="B2638" t="s">
        <v>5796</v>
      </c>
      <c r="C2638" t="s">
        <v>18</v>
      </c>
      <c r="D2638" t="s">
        <v>5805</v>
      </c>
      <c r="E2638" t="s">
        <v>5806</v>
      </c>
      <c r="F2638" t="s">
        <v>670</v>
      </c>
      <c r="G2638" t="s">
        <v>17</v>
      </c>
      <c r="H2638" t="b">
        <v>0</v>
      </c>
      <c r="K2638" t="b">
        <v>0</v>
      </c>
      <c r="L2638" t="b">
        <v>0</v>
      </c>
      <c r="M2638" t="s">
        <v>5807</v>
      </c>
    </row>
    <row r="2639" spans="1:25" x14ac:dyDescent="0.2">
      <c r="A2639">
        <v>4296</v>
      </c>
      <c r="B2639" t="s">
        <v>5796</v>
      </c>
      <c r="C2639" t="s">
        <v>18</v>
      </c>
      <c r="D2639" t="s">
        <v>5808</v>
      </c>
      <c r="E2639" t="s">
        <v>5809</v>
      </c>
      <c r="F2639" t="s">
        <v>78</v>
      </c>
      <c r="G2639" t="s">
        <v>252</v>
      </c>
      <c r="H2639" t="b">
        <v>0</v>
      </c>
      <c r="K2639" t="b">
        <v>0</v>
      </c>
      <c r="L2639" t="b">
        <v>0</v>
      </c>
      <c r="M2639" t="s">
        <v>5810</v>
      </c>
    </row>
    <row r="2641" spans="1:25" x14ac:dyDescent="0.2">
      <c r="A2641" s="2">
        <v>4298</v>
      </c>
      <c r="B2641" s="2" t="s">
        <v>5811</v>
      </c>
      <c r="C2641" s="2" t="s">
        <v>13</v>
      </c>
      <c r="D2641" s="2" t="s">
        <v>5812</v>
      </c>
      <c r="E2641" s="2" t="s">
        <v>5813</v>
      </c>
      <c r="F2641" s="2" t="s">
        <v>78</v>
      </c>
      <c r="G2641" s="2" t="s">
        <v>62</v>
      </c>
      <c r="H2641" s="2"/>
      <c r="I2641" s="2"/>
      <c r="J2641" s="2"/>
      <c r="K2641" s="2"/>
      <c r="L2641" s="2"/>
      <c r="M2641" s="2"/>
      <c r="N2641" s="2"/>
      <c r="O2641" s="2"/>
      <c r="P2641" s="2"/>
      <c r="Q2641" s="2"/>
      <c r="R2641" s="2"/>
      <c r="S2641" s="2"/>
      <c r="T2641" s="2"/>
      <c r="U2641" s="2"/>
      <c r="V2641" s="2"/>
      <c r="W2641" s="2"/>
      <c r="X2641" s="2"/>
      <c r="Y2641" s="2"/>
    </row>
    <row r="2642" spans="1:25" x14ac:dyDescent="0.2">
      <c r="A2642">
        <v>4299</v>
      </c>
      <c r="B2642" t="s">
        <v>5811</v>
      </c>
      <c r="C2642" t="s">
        <v>18</v>
      </c>
      <c r="D2642" t="s">
        <v>2611</v>
      </c>
      <c r="E2642" t="s">
        <v>2612</v>
      </c>
      <c r="F2642" t="s">
        <v>78</v>
      </c>
      <c r="G2642" t="s">
        <v>417</v>
      </c>
      <c r="H2642" t="b">
        <v>1</v>
      </c>
      <c r="I2642" t="b">
        <v>0</v>
      </c>
      <c r="L2642" t="b">
        <v>0</v>
      </c>
      <c r="M2642" t="s">
        <v>2613</v>
      </c>
      <c r="N2642" t="s">
        <v>2614</v>
      </c>
      <c r="O2642" t="s">
        <v>2615</v>
      </c>
      <c r="P2642" t="s">
        <v>2616</v>
      </c>
    </row>
    <row r="2643" spans="1:25" x14ac:dyDescent="0.2">
      <c r="A2643">
        <v>4300</v>
      </c>
      <c r="B2643" t="s">
        <v>5811</v>
      </c>
      <c r="C2643" t="s">
        <v>18</v>
      </c>
      <c r="D2643" t="s">
        <v>5814</v>
      </c>
      <c r="E2643" t="s">
        <v>5815</v>
      </c>
      <c r="F2643" t="s">
        <v>78</v>
      </c>
      <c r="G2643" t="s">
        <v>62</v>
      </c>
      <c r="H2643" t="b">
        <v>1</v>
      </c>
      <c r="I2643" t="b">
        <v>1</v>
      </c>
      <c r="L2643" t="b">
        <v>1</v>
      </c>
      <c r="M2643" t="s">
        <v>5816</v>
      </c>
    </row>
    <row r="2644" spans="1:25" x14ac:dyDescent="0.2">
      <c r="A2644">
        <v>4301</v>
      </c>
      <c r="B2644" t="s">
        <v>5811</v>
      </c>
      <c r="C2644" t="s">
        <v>18</v>
      </c>
      <c r="D2644" t="s">
        <v>5817</v>
      </c>
      <c r="E2644" t="s">
        <v>5818</v>
      </c>
      <c r="F2644" t="s">
        <v>78</v>
      </c>
      <c r="G2644" t="s">
        <v>62</v>
      </c>
      <c r="H2644" t="b">
        <v>1</v>
      </c>
      <c r="I2644" t="b">
        <v>1</v>
      </c>
      <c r="L2644" t="b">
        <v>1</v>
      </c>
      <c r="M2644" t="s">
        <v>5819</v>
      </c>
    </row>
    <row r="2645" spans="1:25" x14ac:dyDescent="0.2">
      <c r="A2645">
        <v>4302</v>
      </c>
      <c r="B2645" t="s">
        <v>5811</v>
      </c>
      <c r="C2645" t="s">
        <v>18</v>
      </c>
      <c r="D2645" t="s">
        <v>5820</v>
      </c>
      <c r="E2645" t="s">
        <v>5821</v>
      </c>
      <c r="F2645" t="s">
        <v>78</v>
      </c>
      <c r="G2645" t="s">
        <v>417</v>
      </c>
      <c r="H2645" t="b">
        <v>0</v>
      </c>
      <c r="I2645" t="b">
        <v>0</v>
      </c>
      <c r="L2645" t="b">
        <v>0</v>
      </c>
    </row>
    <row r="2646" spans="1:25" x14ac:dyDescent="0.2">
      <c r="A2646">
        <v>4303</v>
      </c>
      <c r="B2646" t="s">
        <v>5811</v>
      </c>
      <c r="C2646" t="s">
        <v>18</v>
      </c>
      <c r="D2646" t="s">
        <v>5822</v>
      </c>
      <c r="E2646" t="s">
        <v>5823</v>
      </c>
      <c r="F2646" t="s">
        <v>670</v>
      </c>
      <c r="G2646" t="s">
        <v>24</v>
      </c>
      <c r="H2646" t="b">
        <v>0</v>
      </c>
      <c r="I2646" t="b">
        <v>0</v>
      </c>
      <c r="L2646" t="b">
        <v>0</v>
      </c>
      <c r="M2646" t="s">
        <v>5824</v>
      </c>
      <c r="N2646" t="s">
        <v>5825</v>
      </c>
    </row>
    <row r="2648" spans="1:25" x14ac:dyDescent="0.2">
      <c r="A2648" s="2">
        <v>4319</v>
      </c>
      <c r="B2648" s="2" t="s">
        <v>5826</v>
      </c>
      <c r="C2648" s="2" t="s">
        <v>13</v>
      </c>
      <c r="D2648" s="2" t="s">
        <v>5827</v>
      </c>
      <c r="E2648" s="2" t="s">
        <v>5828</v>
      </c>
      <c r="F2648" s="2" t="s">
        <v>168</v>
      </c>
      <c r="G2648" s="2" t="s">
        <v>17</v>
      </c>
      <c r="H2648" s="2"/>
      <c r="I2648" s="2"/>
      <c r="J2648" s="2"/>
      <c r="K2648" s="2"/>
      <c r="L2648" s="2"/>
      <c r="M2648" s="2"/>
      <c r="N2648" s="2"/>
      <c r="O2648" s="2"/>
      <c r="P2648" s="2"/>
      <c r="Q2648" s="2"/>
      <c r="R2648" s="2"/>
      <c r="S2648" s="2"/>
      <c r="T2648" s="2"/>
      <c r="U2648" s="2"/>
      <c r="V2648" s="2"/>
      <c r="W2648" s="2"/>
      <c r="X2648" s="2"/>
      <c r="Y2648" s="2"/>
    </row>
    <row r="2649" spans="1:25" x14ac:dyDescent="0.2">
      <c r="A2649">
        <v>4320</v>
      </c>
      <c r="B2649" t="s">
        <v>5826</v>
      </c>
      <c r="C2649" t="s">
        <v>18</v>
      </c>
      <c r="D2649" t="s">
        <v>5829</v>
      </c>
      <c r="E2649" t="s">
        <v>5830</v>
      </c>
      <c r="F2649" t="s">
        <v>168</v>
      </c>
      <c r="G2649" t="s">
        <v>17</v>
      </c>
      <c r="H2649" t="b">
        <v>0</v>
      </c>
      <c r="K2649" t="b">
        <v>0</v>
      </c>
      <c r="L2649" t="b">
        <v>0</v>
      </c>
      <c r="M2649" t="s">
        <v>5831</v>
      </c>
      <c r="N2649" t="s">
        <v>5832</v>
      </c>
    </row>
    <row r="2650" spans="1:25" x14ac:dyDescent="0.2">
      <c r="A2650">
        <v>4321</v>
      </c>
      <c r="B2650" t="s">
        <v>5826</v>
      </c>
      <c r="C2650" t="s">
        <v>18</v>
      </c>
      <c r="D2650" t="s">
        <v>5833</v>
      </c>
      <c r="E2650" t="s">
        <v>5834</v>
      </c>
      <c r="F2650" t="s">
        <v>78</v>
      </c>
      <c r="G2650" t="s">
        <v>345</v>
      </c>
      <c r="H2650" t="b">
        <v>0</v>
      </c>
      <c r="K2650" t="b">
        <v>0</v>
      </c>
      <c r="L2650" t="b">
        <v>0</v>
      </c>
      <c r="M2650" t="s">
        <v>5835</v>
      </c>
    </row>
    <row r="2651" spans="1:25" x14ac:dyDescent="0.2">
      <c r="A2651">
        <v>4322</v>
      </c>
      <c r="B2651" t="s">
        <v>5826</v>
      </c>
      <c r="C2651" t="s">
        <v>18</v>
      </c>
      <c r="D2651" t="s">
        <v>1325</v>
      </c>
      <c r="E2651" t="s">
        <v>1326</v>
      </c>
      <c r="F2651" t="s">
        <v>174</v>
      </c>
      <c r="G2651" t="s">
        <v>17</v>
      </c>
      <c r="H2651" t="b">
        <v>0</v>
      </c>
      <c r="K2651" t="b">
        <v>0</v>
      </c>
      <c r="L2651" t="b">
        <v>0</v>
      </c>
      <c r="M2651" t="s">
        <v>1327</v>
      </c>
      <c r="N2651" t="s">
        <v>1328</v>
      </c>
    </row>
    <row r="2652" spans="1:25" x14ac:dyDescent="0.2">
      <c r="A2652">
        <v>4323</v>
      </c>
      <c r="B2652" t="s">
        <v>5826</v>
      </c>
      <c r="C2652" t="s">
        <v>18</v>
      </c>
      <c r="D2652" t="s">
        <v>5836</v>
      </c>
      <c r="E2652" t="s">
        <v>5837</v>
      </c>
      <c r="F2652" t="s">
        <v>168</v>
      </c>
      <c r="G2652" t="s">
        <v>17</v>
      </c>
      <c r="H2652" t="b">
        <v>0</v>
      </c>
      <c r="K2652" t="b">
        <v>0</v>
      </c>
      <c r="L2652" t="b">
        <v>0</v>
      </c>
      <c r="M2652" t="s">
        <v>5838</v>
      </c>
      <c r="N2652" t="s">
        <v>5839</v>
      </c>
    </row>
    <row r="2653" spans="1:25" x14ac:dyDescent="0.2">
      <c r="A2653">
        <v>4324</v>
      </c>
      <c r="B2653" t="s">
        <v>5826</v>
      </c>
      <c r="C2653" t="s">
        <v>18</v>
      </c>
      <c r="D2653" t="s">
        <v>4218</v>
      </c>
      <c r="E2653" t="s">
        <v>4219</v>
      </c>
      <c r="F2653" t="s">
        <v>31</v>
      </c>
      <c r="G2653" t="s">
        <v>17</v>
      </c>
      <c r="H2653" t="b">
        <v>0</v>
      </c>
      <c r="K2653" t="b">
        <v>0</v>
      </c>
      <c r="L2653" t="b">
        <v>0</v>
      </c>
      <c r="M2653" t="s">
        <v>4220</v>
      </c>
      <c r="N2653" t="s">
        <v>4221</v>
      </c>
      <c r="O2653" t="s">
        <v>4222</v>
      </c>
    </row>
    <row r="2655" spans="1:25" x14ac:dyDescent="0.2">
      <c r="A2655" s="2">
        <v>4333</v>
      </c>
      <c r="B2655" s="2" t="s">
        <v>5840</v>
      </c>
      <c r="C2655" s="2" t="s">
        <v>13</v>
      </c>
      <c r="D2655" s="2" t="s">
        <v>5841</v>
      </c>
      <c r="E2655" s="2" t="s">
        <v>5842</v>
      </c>
      <c r="F2655" s="2" t="s">
        <v>31</v>
      </c>
      <c r="G2655" s="2" t="s">
        <v>24</v>
      </c>
      <c r="H2655" s="2"/>
      <c r="I2655" s="2"/>
      <c r="J2655" s="2"/>
      <c r="K2655" s="2"/>
      <c r="L2655" s="2"/>
      <c r="M2655" s="2"/>
      <c r="N2655" s="2"/>
      <c r="O2655" s="2"/>
      <c r="P2655" s="2"/>
      <c r="Q2655" s="2"/>
      <c r="R2655" s="2"/>
      <c r="S2655" s="2"/>
      <c r="T2655" s="2"/>
      <c r="U2655" s="2"/>
      <c r="V2655" s="2"/>
      <c r="W2655" s="2"/>
      <c r="X2655" s="2"/>
      <c r="Y2655" s="2"/>
    </row>
    <row r="2656" spans="1:25" x14ac:dyDescent="0.2">
      <c r="A2656">
        <v>4334</v>
      </c>
      <c r="B2656" t="s">
        <v>5840</v>
      </c>
      <c r="C2656" t="s">
        <v>18</v>
      </c>
      <c r="D2656" t="s">
        <v>380</v>
      </c>
      <c r="E2656" t="s">
        <v>381</v>
      </c>
      <c r="F2656" t="s">
        <v>31</v>
      </c>
      <c r="G2656" t="s">
        <v>24</v>
      </c>
      <c r="H2656" t="b">
        <v>1</v>
      </c>
      <c r="K2656" t="b">
        <v>1</v>
      </c>
      <c r="L2656" t="b">
        <v>1</v>
      </c>
      <c r="M2656" t="s">
        <v>4129</v>
      </c>
      <c r="N2656" t="s">
        <v>4130</v>
      </c>
    </row>
    <row r="2657" spans="1:25" x14ac:dyDescent="0.2">
      <c r="A2657">
        <v>4335</v>
      </c>
      <c r="B2657" t="s">
        <v>5840</v>
      </c>
      <c r="C2657" t="s">
        <v>18</v>
      </c>
      <c r="D2657" t="s">
        <v>5843</v>
      </c>
      <c r="E2657" t="s">
        <v>5844</v>
      </c>
      <c r="F2657" t="s">
        <v>31</v>
      </c>
      <c r="G2657" t="s">
        <v>24</v>
      </c>
      <c r="H2657" t="b">
        <v>1</v>
      </c>
      <c r="K2657" t="b">
        <v>1</v>
      </c>
      <c r="L2657" t="b">
        <v>1</v>
      </c>
      <c r="M2657" t="s">
        <v>5845</v>
      </c>
      <c r="N2657" t="s">
        <v>5846</v>
      </c>
    </row>
    <row r="2658" spans="1:25" x14ac:dyDescent="0.2">
      <c r="A2658">
        <v>4336</v>
      </c>
      <c r="B2658" t="s">
        <v>5840</v>
      </c>
      <c r="C2658" t="s">
        <v>18</v>
      </c>
      <c r="D2658" t="s">
        <v>382</v>
      </c>
      <c r="E2658" t="s">
        <v>381</v>
      </c>
      <c r="F2658" t="s">
        <v>20</v>
      </c>
      <c r="G2658" t="s">
        <v>24</v>
      </c>
      <c r="H2658" t="b">
        <v>0</v>
      </c>
      <c r="K2658" t="b">
        <v>0</v>
      </c>
      <c r="L2658" t="b">
        <v>0</v>
      </c>
      <c r="M2658" t="s">
        <v>4131</v>
      </c>
    </row>
    <row r="2659" spans="1:25" x14ac:dyDescent="0.2">
      <c r="A2659">
        <v>4337</v>
      </c>
      <c r="B2659" t="s">
        <v>5840</v>
      </c>
      <c r="C2659" t="s">
        <v>18</v>
      </c>
      <c r="D2659" t="s">
        <v>4132</v>
      </c>
      <c r="E2659" t="s">
        <v>809</v>
      </c>
      <c r="F2659" t="s">
        <v>16</v>
      </c>
      <c r="G2659" t="s">
        <v>24</v>
      </c>
      <c r="H2659" t="b">
        <v>0</v>
      </c>
      <c r="K2659" t="b">
        <v>0</v>
      </c>
      <c r="L2659" t="b">
        <v>0</v>
      </c>
      <c r="M2659" t="s">
        <v>4133</v>
      </c>
      <c r="N2659" t="s">
        <v>4134</v>
      </c>
    </row>
    <row r="2660" spans="1:25" x14ac:dyDescent="0.2">
      <c r="A2660">
        <v>4338</v>
      </c>
      <c r="B2660" t="s">
        <v>5840</v>
      </c>
      <c r="C2660" t="s">
        <v>18</v>
      </c>
      <c r="D2660" t="s">
        <v>383</v>
      </c>
      <c r="E2660" t="s">
        <v>384</v>
      </c>
      <c r="F2660" t="s">
        <v>369</v>
      </c>
      <c r="G2660" t="s">
        <v>24</v>
      </c>
      <c r="H2660" t="b">
        <v>0</v>
      </c>
      <c r="K2660" t="b">
        <v>0</v>
      </c>
      <c r="L2660" t="b">
        <v>0</v>
      </c>
      <c r="M2660" t="s">
        <v>4125</v>
      </c>
      <c r="N2660" t="s">
        <v>4126</v>
      </c>
    </row>
    <row r="2662" spans="1:25" x14ac:dyDescent="0.2">
      <c r="A2662" s="2">
        <v>4347</v>
      </c>
      <c r="B2662" s="2" t="s">
        <v>5847</v>
      </c>
      <c r="C2662" s="2" t="s">
        <v>13</v>
      </c>
      <c r="D2662" s="2" t="s">
        <v>5848</v>
      </c>
      <c r="E2662" s="2" t="s">
        <v>5849</v>
      </c>
      <c r="F2662" s="2" t="s">
        <v>159</v>
      </c>
      <c r="G2662" s="2" t="s">
        <v>280</v>
      </c>
      <c r="H2662" s="2"/>
      <c r="I2662" s="2"/>
      <c r="J2662" s="2"/>
      <c r="K2662" s="2"/>
      <c r="L2662" s="2"/>
      <c r="M2662" s="2"/>
      <c r="N2662" s="2"/>
      <c r="O2662" s="2"/>
      <c r="P2662" s="2"/>
      <c r="Q2662" s="2"/>
      <c r="R2662" s="2"/>
      <c r="S2662" s="2"/>
      <c r="T2662" s="2"/>
      <c r="U2662" s="2"/>
      <c r="V2662" s="2"/>
      <c r="W2662" s="2"/>
      <c r="X2662" s="2"/>
      <c r="Y2662" s="2"/>
    </row>
    <row r="2663" spans="1:25" x14ac:dyDescent="0.2">
      <c r="A2663">
        <v>4348</v>
      </c>
      <c r="B2663" t="s">
        <v>5847</v>
      </c>
      <c r="C2663" t="s">
        <v>18</v>
      </c>
      <c r="D2663" t="s">
        <v>5848</v>
      </c>
      <c r="E2663" t="s">
        <v>5850</v>
      </c>
      <c r="F2663" t="s">
        <v>159</v>
      </c>
      <c r="G2663" t="s">
        <v>280</v>
      </c>
      <c r="H2663" t="b">
        <v>1</v>
      </c>
      <c r="K2663" t="b">
        <v>1</v>
      </c>
      <c r="L2663" t="b">
        <v>1</v>
      </c>
      <c r="M2663" t="s">
        <v>5851</v>
      </c>
      <c r="N2663" t="s">
        <v>5852</v>
      </c>
    </row>
    <row r="2664" spans="1:25" x14ac:dyDescent="0.2">
      <c r="A2664">
        <v>4349</v>
      </c>
      <c r="B2664" t="s">
        <v>5847</v>
      </c>
      <c r="C2664" t="s">
        <v>18</v>
      </c>
      <c r="D2664" t="s">
        <v>5853</v>
      </c>
      <c r="E2664" t="s">
        <v>5601</v>
      </c>
      <c r="F2664" t="s">
        <v>174</v>
      </c>
      <c r="G2664" t="s">
        <v>280</v>
      </c>
      <c r="H2664" t="b">
        <v>1</v>
      </c>
      <c r="K2664" t="b">
        <v>0</v>
      </c>
      <c r="L2664" t="b">
        <v>1</v>
      </c>
      <c r="M2664" t="s">
        <v>5854</v>
      </c>
    </row>
    <row r="2665" spans="1:25" x14ac:dyDescent="0.2">
      <c r="A2665">
        <v>4350</v>
      </c>
      <c r="B2665" t="s">
        <v>5847</v>
      </c>
      <c r="C2665" t="s">
        <v>18</v>
      </c>
      <c r="D2665" t="s">
        <v>5855</v>
      </c>
      <c r="E2665" t="s">
        <v>5494</v>
      </c>
      <c r="F2665" t="s">
        <v>174</v>
      </c>
      <c r="G2665" t="s">
        <v>502</v>
      </c>
      <c r="H2665" t="b">
        <v>1</v>
      </c>
      <c r="K2665" t="b">
        <v>0</v>
      </c>
      <c r="L2665" t="b">
        <v>0</v>
      </c>
      <c r="M2665" t="s">
        <v>5856</v>
      </c>
    </row>
    <row r="2666" spans="1:25" x14ac:dyDescent="0.2">
      <c r="A2666">
        <v>4351</v>
      </c>
      <c r="B2666" t="s">
        <v>5847</v>
      </c>
      <c r="C2666" t="s">
        <v>18</v>
      </c>
      <c r="D2666" t="s">
        <v>5857</v>
      </c>
      <c r="E2666" t="s">
        <v>5858</v>
      </c>
      <c r="F2666" t="s">
        <v>151</v>
      </c>
      <c r="G2666" t="s">
        <v>280</v>
      </c>
      <c r="H2666" t="b">
        <v>0</v>
      </c>
      <c r="K2666" t="b">
        <v>0</v>
      </c>
      <c r="L2666" t="b">
        <v>0</v>
      </c>
      <c r="M2666" t="s">
        <v>5859</v>
      </c>
      <c r="N2666" t="s">
        <v>5860</v>
      </c>
      <c r="O2666" t="s">
        <v>5861</v>
      </c>
      <c r="P2666" t="s">
        <v>5862</v>
      </c>
    </row>
    <row r="2667" spans="1:25" x14ac:dyDescent="0.2">
      <c r="A2667">
        <v>4352</v>
      </c>
      <c r="B2667" t="s">
        <v>5847</v>
      </c>
      <c r="C2667" t="s">
        <v>18</v>
      </c>
      <c r="D2667" t="s">
        <v>5863</v>
      </c>
      <c r="E2667" t="s">
        <v>2408</v>
      </c>
      <c r="F2667" t="s">
        <v>561</v>
      </c>
      <c r="G2667" t="s">
        <v>638</v>
      </c>
      <c r="H2667" t="b">
        <v>0</v>
      </c>
      <c r="K2667" t="b">
        <v>0</v>
      </c>
      <c r="L2667" t="b">
        <v>0</v>
      </c>
      <c r="M2667" t="s">
        <v>5864</v>
      </c>
      <c r="N2667" t="s">
        <v>5865</v>
      </c>
    </row>
    <row r="2669" spans="1:25" x14ac:dyDescent="0.2">
      <c r="A2669" s="2">
        <v>4354</v>
      </c>
      <c r="B2669" s="2" t="s">
        <v>5866</v>
      </c>
      <c r="C2669" s="2" t="s">
        <v>13</v>
      </c>
      <c r="D2669" s="2" t="s">
        <v>5867</v>
      </c>
      <c r="E2669" s="2" t="s">
        <v>5868</v>
      </c>
      <c r="F2669" s="2" t="s">
        <v>168</v>
      </c>
      <c r="G2669" s="2" t="s">
        <v>17</v>
      </c>
      <c r="H2669" s="2"/>
      <c r="I2669" s="2"/>
      <c r="J2669" s="2"/>
      <c r="K2669" s="2"/>
      <c r="L2669" s="2"/>
      <c r="M2669" s="2"/>
      <c r="N2669" s="2"/>
      <c r="O2669" s="2"/>
      <c r="P2669" s="2"/>
      <c r="Q2669" s="2"/>
      <c r="R2669" s="2"/>
      <c r="S2669" s="2"/>
      <c r="T2669" s="2"/>
      <c r="U2669" s="2"/>
      <c r="V2669" s="2"/>
      <c r="W2669" s="2"/>
      <c r="X2669" s="2"/>
      <c r="Y2669" s="2"/>
    </row>
    <row r="2670" spans="1:25" x14ac:dyDescent="0.2">
      <c r="A2670">
        <v>4355</v>
      </c>
      <c r="B2670" t="s">
        <v>5866</v>
      </c>
      <c r="C2670" t="s">
        <v>18</v>
      </c>
      <c r="D2670" t="s">
        <v>5867</v>
      </c>
      <c r="E2670" t="s">
        <v>5868</v>
      </c>
      <c r="F2670" t="s">
        <v>168</v>
      </c>
      <c r="G2670" t="s">
        <v>17</v>
      </c>
      <c r="H2670" t="b">
        <v>1</v>
      </c>
      <c r="K2670" t="b">
        <v>1</v>
      </c>
      <c r="L2670" t="b">
        <v>1</v>
      </c>
      <c r="M2670" t="s">
        <v>5869</v>
      </c>
      <c r="N2670" t="s">
        <v>5870</v>
      </c>
    </row>
    <row r="2671" spans="1:25" x14ac:dyDescent="0.2">
      <c r="A2671">
        <v>4356</v>
      </c>
      <c r="B2671" t="s">
        <v>5866</v>
      </c>
      <c r="C2671" t="s">
        <v>18</v>
      </c>
      <c r="D2671" t="s">
        <v>5836</v>
      </c>
      <c r="E2671" t="s">
        <v>5837</v>
      </c>
      <c r="F2671" t="s">
        <v>168</v>
      </c>
      <c r="G2671" t="s">
        <v>17</v>
      </c>
      <c r="H2671" t="b">
        <v>0</v>
      </c>
      <c r="K2671" t="b">
        <v>0</v>
      </c>
      <c r="L2671" t="b">
        <v>0</v>
      </c>
      <c r="M2671" t="s">
        <v>5838</v>
      </c>
      <c r="N2671" t="s">
        <v>5839</v>
      </c>
    </row>
    <row r="2672" spans="1:25" x14ac:dyDescent="0.2">
      <c r="A2672">
        <v>4357</v>
      </c>
      <c r="B2672" t="s">
        <v>5866</v>
      </c>
      <c r="C2672" t="s">
        <v>18</v>
      </c>
      <c r="D2672" t="s">
        <v>5871</v>
      </c>
      <c r="E2672" t="s">
        <v>5872</v>
      </c>
      <c r="F2672" t="s">
        <v>168</v>
      </c>
      <c r="G2672" t="s">
        <v>17</v>
      </c>
      <c r="H2672" t="b">
        <v>0</v>
      </c>
      <c r="K2672" t="b">
        <v>0</v>
      </c>
      <c r="L2672" t="b">
        <v>0</v>
      </c>
    </row>
    <row r="2673" spans="1:25" x14ac:dyDescent="0.2">
      <c r="A2673">
        <v>4358</v>
      </c>
      <c r="B2673" t="s">
        <v>5866</v>
      </c>
      <c r="C2673" t="s">
        <v>18</v>
      </c>
      <c r="D2673" t="s">
        <v>5829</v>
      </c>
      <c r="E2673" t="s">
        <v>5830</v>
      </c>
      <c r="F2673" t="s">
        <v>168</v>
      </c>
      <c r="G2673" t="s">
        <v>17</v>
      </c>
      <c r="H2673" t="b">
        <v>0</v>
      </c>
      <c r="K2673" t="b">
        <v>0</v>
      </c>
      <c r="L2673" t="b">
        <v>0</v>
      </c>
      <c r="M2673" t="s">
        <v>5831</v>
      </c>
      <c r="N2673" t="s">
        <v>5832</v>
      </c>
    </row>
    <row r="2674" spans="1:25" x14ac:dyDescent="0.2">
      <c r="A2674">
        <v>4359</v>
      </c>
      <c r="B2674" t="s">
        <v>5866</v>
      </c>
      <c r="C2674" t="s">
        <v>18</v>
      </c>
      <c r="D2674" t="s">
        <v>5873</v>
      </c>
      <c r="E2674" t="s">
        <v>5874</v>
      </c>
      <c r="F2674" t="s">
        <v>168</v>
      </c>
      <c r="G2674" t="s">
        <v>17</v>
      </c>
      <c r="H2674" t="b">
        <v>0</v>
      </c>
      <c r="K2674" t="b">
        <v>0</v>
      </c>
      <c r="L2674" t="b">
        <v>0</v>
      </c>
      <c r="M2674" t="s">
        <v>5875</v>
      </c>
      <c r="N2674" t="s">
        <v>745</v>
      </c>
    </row>
    <row r="2676" spans="1:25" x14ac:dyDescent="0.2">
      <c r="A2676" s="2">
        <v>4361</v>
      </c>
      <c r="B2676" s="2" t="s">
        <v>5876</v>
      </c>
      <c r="C2676" s="2" t="s">
        <v>13</v>
      </c>
      <c r="D2676" s="2" t="s">
        <v>5877</v>
      </c>
      <c r="E2676" s="2" t="s">
        <v>5878</v>
      </c>
      <c r="F2676" s="2" t="s">
        <v>174</v>
      </c>
      <c r="G2676" s="2" t="s">
        <v>17</v>
      </c>
      <c r="H2676" s="2"/>
      <c r="I2676" s="2"/>
      <c r="J2676" s="2"/>
      <c r="K2676" s="2"/>
      <c r="L2676" s="2"/>
      <c r="M2676" s="2"/>
      <c r="N2676" s="2"/>
      <c r="O2676" s="2"/>
      <c r="P2676" s="2"/>
      <c r="Q2676" s="2"/>
      <c r="R2676" s="2"/>
      <c r="S2676" s="2"/>
      <c r="T2676" s="2"/>
      <c r="U2676" s="2"/>
      <c r="V2676" s="2"/>
      <c r="W2676" s="2"/>
      <c r="X2676" s="2"/>
      <c r="Y2676" s="2"/>
    </row>
    <row r="2677" spans="1:25" x14ac:dyDescent="0.2">
      <c r="A2677">
        <v>4362</v>
      </c>
      <c r="B2677" t="s">
        <v>5876</v>
      </c>
      <c r="C2677" t="s">
        <v>18</v>
      </c>
      <c r="D2677" t="s">
        <v>5877</v>
      </c>
      <c r="E2677" t="s">
        <v>5878</v>
      </c>
      <c r="F2677" t="s">
        <v>174</v>
      </c>
      <c r="G2677" t="s">
        <v>17</v>
      </c>
      <c r="H2677" t="b">
        <v>1</v>
      </c>
      <c r="I2677" t="b">
        <v>1</v>
      </c>
      <c r="L2677" t="b">
        <v>1</v>
      </c>
      <c r="M2677" t="s">
        <v>5879</v>
      </c>
      <c r="N2677" t="s">
        <v>5880</v>
      </c>
    </row>
    <row r="2678" spans="1:25" x14ac:dyDescent="0.2">
      <c r="A2678">
        <v>4363</v>
      </c>
      <c r="B2678" t="s">
        <v>5876</v>
      </c>
      <c r="C2678" t="s">
        <v>18</v>
      </c>
      <c r="D2678" t="s">
        <v>5881</v>
      </c>
      <c r="E2678" t="s">
        <v>5882</v>
      </c>
      <c r="F2678" t="s">
        <v>174</v>
      </c>
      <c r="G2678" t="s">
        <v>17</v>
      </c>
      <c r="H2678" t="b">
        <v>0</v>
      </c>
      <c r="I2678" t="b">
        <v>0</v>
      </c>
      <c r="L2678" t="b">
        <v>0</v>
      </c>
      <c r="M2678" t="s">
        <v>5883</v>
      </c>
      <c r="N2678" t="s">
        <v>5884</v>
      </c>
    </row>
    <row r="2679" spans="1:25" x14ac:dyDescent="0.2">
      <c r="A2679">
        <v>4364</v>
      </c>
      <c r="B2679" t="s">
        <v>5876</v>
      </c>
      <c r="C2679" t="s">
        <v>18</v>
      </c>
      <c r="D2679" t="s">
        <v>5885</v>
      </c>
      <c r="E2679" t="s">
        <v>5886</v>
      </c>
      <c r="F2679" t="s">
        <v>174</v>
      </c>
      <c r="G2679" t="s">
        <v>17</v>
      </c>
      <c r="H2679" t="b">
        <v>0</v>
      </c>
      <c r="I2679" t="b">
        <v>0</v>
      </c>
      <c r="L2679" t="b">
        <v>0</v>
      </c>
      <c r="M2679" t="s">
        <v>5887</v>
      </c>
      <c r="N2679" t="s">
        <v>5888</v>
      </c>
    </row>
    <row r="2680" spans="1:25" x14ac:dyDescent="0.2">
      <c r="A2680">
        <v>4365</v>
      </c>
      <c r="B2680" t="s">
        <v>5876</v>
      </c>
      <c r="C2680" t="s">
        <v>18</v>
      </c>
      <c r="D2680" t="s">
        <v>5889</v>
      </c>
      <c r="E2680" t="s">
        <v>5890</v>
      </c>
      <c r="F2680" t="s">
        <v>174</v>
      </c>
      <c r="G2680" t="s">
        <v>17</v>
      </c>
      <c r="H2680" t="b">
        <v>0</v>
      </c>
      <c r="I2680" t="b">
        <v>0</v>
      </c>
      <c r="L2680" t="b">
        <v>0</v>
      </c>
    </row>
    <row r="2681" spans="1:25" x14ac:dyDescent="0.2">
      <c r="A2681">
        <v>4366</v>
      </c>
      <c r="B2681" t="s">
        <v>5876</v>
      </c>
      <c r="C2681" t="s">
        <v>18</v>
      </c>
      <c r="D2681" t="s">
        <v>3402</v>
      </c>
      <c r="E2681" t="s">
        <v>3403</v>
      </c>
      <c r="F2681" t="s">
        <v>174</v>
      </c>
      <c r="G2681" t="s">
        <v>17</v>
      </c>
      <c r="H2681" t="b">
        <v>0</v>
      </c>
      <c r="I2681" t="b">
        <v>0</v>
      </c>
      <c r="L2681" t="b">
        <v>0</v>
      </c>
      <c r="M2681" t="s">
        <v>3404</v>
      </c>
    </row>
    <row r="2683" spans="1:25" x14ac:dyDescent="0.2">
      <c r="A2683" s="2">
        <v>4375</v>
      </c>
      <c r="B2683" s="2" t="s">
        <v>5891</v>
      </c>
      <c r="C2683" s="2" t="s">
        <v>13</v>
      </c>
      <c r="D2683" s="2" t="s">
        <v>5892</v>
      </c>
      <c r="E2683" s="2" t="s">
        <v>5893</v>
      </c>
      <c r="F2683" s="2" t="s">
        <v>168</v>
      </c>
      <c r="G2683" s="2" t="s">
        <v>130</v>
      </c>
      <c r="H2683" s="2"/>
      <c r="I2683" s="2"/>
      <c r="J2683" s="2"/>
      <c r="K2683" s="2"/>
      <c r="L2683" s="2"/>
      <c r="M2683" s="2"/>
      <c r="N2683" s="2"/>
      <c r="O2683" s="2"/>
      <c r="P2683" s="2"/>
      <c r="Q2683" s="2"/>
      <c r="R2683" s="2"/>
      <c r="S2683" s="2"/>
      <c r="T2683" s="2"/>
      <c r="U2683" s="2"/>
      <c r="V2683" s="2"/>
      <c r="W2683" s="2"/>
      <c r="X2683" s="2"/>
      <c r="Y2683" s="2"/>
    </row>
    <row r="2684" spans="1:25" x14ac:dyDescent="0.2">
      <c r="A2684">
        <v>4376</v>
      </c>
      <c r="B2684" t="s">
        <v>5891</v>
      </c>
      <c r="C2684" t="s">
        <v>18</v>
      </c>
      <c r="D2684" t="s">
        <v>5892</v>
      </c>
      <c r="E2684" t="s">
        <v>5893</v>
      </c>
      <c r="F2684" t="s">
        <v>168</v>
      </c>
      <c r="G2684" t="s">
        <v>130</v>
      </c>
      <c r="H2684" t="b">
        <v>1</v>
      </c>
      <c r="K2684" t="b">
        <v>1</v>
      </c>
      <c r="L2684" t="b">
        <v>1</v>
      </c>
      <c r="M2684" t="s">
        <v>5894</v>
      </c>
      <c r="N2684" t="s">
        <v>5895</v>
      </c>
    </row>
    <row r="2685" spans="1:25" x14ac:dyDescent="0.2">
      <c r="A2685">
        <v>4377</v>
      </c>
      <c r="B2685" t="s">
        <v>5891</v>
      </c>
      <c r="C2685" t="s">
        <v>18</v>
      </c>
      <c r="D2685" t="s">
        <v>4927</v>
      </c>
      <c r="E2685" t="s">
        <v>4928</v>
      </c>
      <c r="F2685" t="s">
        <v>78</v>
      </c>
      <c r="G2685" t="s">
        <v>88</v>
      </c>
      <c r="H2685" t="b">
        <v>0</v>
      </c>
      <c r="K2685" t="b">
        <v>0</v>
      </c>
      <c r="L2685" t="b">
        <v>0</v>
      </c>
      <c r="M2685" t="s">
        <v>4929</v>
      </c>
      <c r="N2685" t="s">
        <v>4930</v>
      </c>
      <c r="O2685" t="s">
        <v>4931</v>
      </c>
    </row>
    <row r="2686" spans="1:25" x14ac:dyDescent="0.2">
      <c r="A2686">
        <v>4378</v>
      </c>
      <c r="B2686" t="s">
        <v>5891</v>
      </c>
      <c r="C2686" t="s">
        <v>18</v>
      </c>
      <c r="D2686" t="s">
        <v>5896</v>
      </c>
      <c r="E2686" t="s">
        <v>5897</v>
      </c>
      <c r="F2686" t="s">
        <v>168</v>
      </c>
      <c r="G2686" t="s">
        <v>252</v>
      </c>
      <c r="H2686" t="b">
        <v>0</v>
      </c>
      <c r="K2686" t="b">
        <v>0</v>
      </c>
      <c r="L2686" t="b">
        <v>0</v>
      </c>
      <c r="M2686" t="s">
        <v>5898</v>
      </c>
      <c r="N2686" t="s">
        <v>5899</v>
      </c>
    </row>
    <row r="2687" spans="1:25" x14ac:dyDescent="0.2">
      <c r="A2687">
        <v>4379</v>
      </c>
      <c r="B2687" t="s">
        <v>5891</v>
      </c>
      <c r="C2687" t="s">
        <v>18</v>
      </c>
      <c r="D2687" t="s">
        <v>5900</v>
      </c>
      <c r="E2687" t="s">
        <v>5901</v>
      </c>
      <c r="F2687" t="s">
        <v>78</v>
      </c>
      <c r="G2687" t="s">
        <v>88</v>
      </c>
      <c r="H2687" t="b">
        <v>0</v>
      </c>
      <c r="K2687" t="b">
        <v>0</v>
      </c>
      <c r="L2687" t="b">
        <v>0</v>
      </c>
      <c r="M2687" t="s">
        <v>5902</v>
      </c>
      <c r="N2687" t="s">
        <v>5903</v>
      </c>
    </row>
    <row r="2688" spans="1:25" x14ac:dyDescent="0.2">
      <c r="A2688">
        <v>4380</v>
      </c>
      <c r="B2688" t="s">
        <v>5891</v>
      </c>
      <c r="C2688" t="s">
        <v>18</v>
      </c>
      <c r="D2688" t="s">
        <v>5904</v>
      </c>
      <c r="E2688" t="s">
        <v>5905</v>
      </c>
      <c r="F2688" t="s">
        <v>574</v>
      </c>
      <c r="G2688" t="s">
        <v>193</v>
      </c>
      <c r="H2688" t="b">
        <v>0</v>
      </c>
      <c r="K2688" t="b">
        <v>0</v>
      </c>
      <c r="L2688" t="b">
        <v>0</v>
      </c>
    </row>
    <row r="2690" spans="1:25" x14ac:dyDescent="0.2">
      <c r="A2690" s="2">
        <v>4382</v>
      </c>
      <c r="B2690" s="2" t="s">
        <v>5906</v>
      </c>
      <c r="C2690" s="2" t="s">
        <v>13</v>
      </c>
      <c r="D2690" s="2" t="s">
        <v>5116</v>
      </c>
      <c r="E2690" s="2" t="s">
        <v>3304</v>
      </c>
      <c r="F2690" s="2" t="s">
        <v>510</v>
      </c>
      <c r="G2690" s="2" t="s">
        <v>88</v>
      </c>
      <c r="H2690" s="2"/>
      <c r="I2690" s="2"/>
      <c r="J2690" s="2"/>
      <c r="K2690" s="2"/>
      <c r="L2690" s="2"/>
      <c r="M2690" s="2"/>
      <c r="N2690" s="2"/>
      <c r="O2690" s="2"/>
      <c r="P2690" s="2"/>
      <c r="Q2690" s="2"/>
      <c r="R2690" s="2"/>
      <c r="S2690" s="2"/>
      <c r="T2690" s="2"/>
      <c r="U2690" s="2"/>
      <c r="V2690" s="2"/>
      <c r="W2690" s="2"/>
      <c r="X2690" s="2"/>
      <c r="Y2690" s="2"/>
    </row>
    <row r="2691" spans="1:25" x14ac:dyDescent="0.2">
      <c r="A2691">
        <v>4383</v>
      </c>
      <c r="B2691" t="s">
        <v>5906</v>
      </c>
      <c r="C2691" t="s">
        <v>18</v>
      </c>
      <c r="D2691" t="s">
        <v>5116</v>
      </c>
      <c r="E2691" t="s">
        <v>3304</v>
      </c>
      <c r="F2691" t="s">
        <v>5117</v>
      </c>
      <c r="G2691" t="s">
        <v>88</v>
      </c>
      <c r="H2691" t="b">
        <v>1</v>
      </c>
      <c r="I2691" t="b">
        <v>1</v>
      </c>
      <c r="L2691" t="b">
        <v>1</v>
      </c>
      <c r="M2691" t="s">
        <v>5118</v>
      </c>
      <c r="N2691" t="s">
        <v>5119</v>
      </c>
    </row>
    <row r="2692" spans="1:25" x14ac:dyDescent="0.2">
      <c r="A2692">
        <v>4384</v>
      </c>
      <c r="B2692" t="s">
        <v>5906</v>
      </c>
      <c r="C2692" t="s">
        <v>18</v>
      </c>
      <c r="D2692" t="s">
        <v>5122</v>
      </c>
      <c r="E2692" t="s">
        <v>5123</v>
      </c>
      <c r="F2692" t="s">
        <v>616</v>
      </c>
      <c r="G2692" t="s">
        <v>88</v>
      </c>
      <c r="H2692" t="b">
        <v>0</v>
      </c>
      <c r="I2692" t="b">
        <v>0</v>
      </c>
      <c r="L2692" t="b">
        <v>0</v>
      </c>
      <c r="M2692" t="s">
        <v>5124</v>
      </c>
    </row>
    <row r="2693" spans="1:25" x14ac:dyDescent="0.2">
      <c r="A2693">
        <v>4385</v>
      </c>
      <c r="B2693" t="s">
        <v>5906</v>
      </c>
      <c r="C2693" t="s">
        <v>18</v>
      </c>
      <c r="D2693" t="s">
        <v>5125</v>
      </c>
      <c r="E2693" t="s">
        <v>5126</v>
      </c>
      <c r="F2693" t="s">
        <v>616</v>
      </c>
      <c r="G2693" t="s">
        <v>88</v>
      </c>
      <c r="H2693" t="b">
        <v>0</v>
      </c>
      <c r="I2693" t="b">
        <v>0</v>
      </c>
      <c r="L2693" t="b">
        <v>0</v>
      </c>
      <c r="M2693" t="s">
        <v>5127</v>
      </c>
    </row>
    <row r="2694" spans="1:25" x14ac:dyDescent="0.2">
      <c r="A2694">
        <v>4386</v>
      </c>
      <c r="B2694" t="s">
        <v>5906</v>
      </c>
      <c r="C2694" t="s">
        <v>18</v>
      </c>
      <c r="D2694" t="s">
        <v>5907</v>
      </c>
      <c r="E2694" t="s">
        <v>5908</v>
      </c>
      <c r="F2694" t="s">
        <v>510</v>
      </c>
      <c r="G2694" t="s">
        <v>62</v>
      </c>
      <c r="H2694" t="b">
        <v>0</v>
      </c>
      <c r="I2694" t="b">
        <v>0</v>
      </c>
      <c r="L2694" t="b">
        <v>0</v>
      </c>
    </row>
    <row r="2695" spans="1:25" x14ac:dyDescent="0.2">
      <c r="A2695">
        <v>4387</v>
      </c>
      <c r="B2695" t="s">
        <v>5906</v>
      </c>
      <c r="C2695" t="s">
        <v>18</v>
      </c>
      <c r="D2695" t="s">
        <v>2402</v>
      </c>
      <c r="E2695" t="s">
        <v>2403</v>
      </c>
      <c r="F2695" t="s">
        <v>510</v>
      </c>
      <c r="G2695" t="s">
        <v>62</v>
      </c>
      <c r="H2695" t="b">
        <v>0</v>
      </c>
      <c r="I2695" t="b">
        <v>0</v>
      </c>
      <c r="L2695" t="b">
        <v>0</v>
      </c>
      <c r="M2695" t="s">
        <v>2404</v>
      </c>
    </row>
    <row r="2697" spans="1:25" x14ac:dyDescent="0.2">
      <c r="A2697" s="2">
        <v>4389</v>
      </c>
      <c r="B2697" s="2" t="s">
        <v>5909</v>
      </c>
      <c r="C2697" s="2" t="s">
        <v>13</v>
      </c>
      <c r="D2697" s="2" t="s">
        <v>5910</v>
      </c>
      <c r="E2697" s="2" t="s">
        <v>5911</v>
      </c>
      <c r="F2697" s="2" t="s">
        <v>122</v>
      </c>
      <c r="G2697" s="2" t="s">
        <v>24</v>
      </c>
      <c r="H2697" s="2"/>
      <c r="I2697" s="2"/>
      <c r="J2697" s="2"/>
      <c r="K2697" s="2"/>
      <c r="L2697" s="2"/>
      <c r="M2697" s="2"/>
      <c r="N2697" s="2"/>
      <c r="O2697" s="2"/>
      <c r="P2697" s="2"/>
      <c r="Q2697" s="2"/>
      <c r="R2697" s="2"/>
      <c r="S2697" s="2"/>
      <c r="T2697" s="2"/>
      <c r="U2697" s="2"/>
      <c r="V2697" s="2"/>
      <c r="W2697" s="2"/>
      <c r="X2697" s="2"/>
      <c r="Y2697" s="2"/>
    </row>
    <row r="2698" spans="1:25" x14ac:dyDescent="0.2">
      <c r="A2698">
        <v>4390</v>
      </c>
      <c r="B2698" t="s">
        <v>5909</v>
      </c>
      <c r="C2698" t="s">
        <v>18</v>
      </c>
      <c r="D2698" t="s">
        <v>5912</v>
      </c>
      <c r="E2698" t="s">
        <v>4914</v>
      </c>
      <c r="F2698" t="s">
        <v>122</v>
      </c>
      <c r="G2698" t="s">
        <v>24</v>
      </c>
      <c r="H2698" t="b">
        <v>1</v>
      </c>
      <c r="I2698" t="b">
        <v>1</v>
      </c>
      <c r="L2698" t="b">
        <v>1</v>
      </c>
      <c r="M2698" t="s">
        <v>5913</v>
      </c>
      <c r="N2698" t="s">
        <v>5914</v>
      </c>
    </row>
    <row r="2699" spans="1:25" x14ac:dyDescent="0.2">
      <c r="A2699">
        <v>4391</v>
      </c>
      <c r="B2699" t="s">
        <v>5909</v>
      </c>
      <c r="C2699" t="s">
        <v>18</v>
      </c>
      <c r="D2699" t="s">
        <v>5915</v>
      </c>
      <c r="E2699" t="s">
        <v>2654</v>
      </c>
      <c r="F2699" t="s">
        <v>122</v>
      </c>
      <c r="G2699" t="s">
        <v>24</v>
      </c>
      <c r="H2699" t="b">
        <v>1</v>
      </c>
      <c r="I2699" t="b">
        <v>1</v>
      </c>
      <c r="L2699" t="b">
        <v>1</v>
      </c>
      <c r="M2699" t="s">
        <v>5916</v>
      </c>
      <c r="N2699" t="s">
        <v>5917</v>
      </c>
    </row>
    <row r="2700" spans="1:25" x14ac:dyDescent="0.2">
      <c r="A2700">
        <v>4392</v>
      </c>
      <c r="B2700" t="s">
        <v>5909</v>
      </c>
      <c r="C2700" t="s">
        <v>18</v>
      </c>
      <c r="D2700" t="s">
        <v>5918</v>
      </c>
      <c r="E2700" t="s">
        <v>5919</v>
      </c>
      <c r="F2700" t="s">
        <v>122</v>
      </c>
      <c r="G2700" t="s">
        <v>24</v>
      </c>
      <c r="H2700" t="b">
        <v>0</v>
      </c>
      <c r="I2700" t="b">
        <v>0</v>
      </c>
      <c r="L2700" t="b">
        <v>0</v>
      </c>
      <c r="M2700" t="s">
        <v>5920</v>
      </c>
      <c r="N2700" t="s">
        <v>5921</v>
      </c>
    </row>
    <row r="2701" spans="1:25" x14ac:dyDescent="0.2">
      <c r="A2701">
        <v>4393</v>
      </c>
      <c r="B2701" t="s">
        <v>5909</v>
      </c>
      <c r="C2701" t="s">
        <v>18</v>
      </c>
      <c r="D2701" t="s">
        <v>5922</v>
      </c>
      <c r="E2701" t="s">
        <v>5923</v>
      </c>
      <c r="F2701" t="s">
        <v>174</v>
      </c>
      <c r="G2701" t="s">
        <v>17</v>
      </c>
      <c r="H2701" t="b">
        <v>0</v>
      </c>
      <c r="I2701" t="b">
        <v>0</v>
      </c>
      <c r="L2701" t="b">
        <v>0</v>
      </c>
      <c r="M2701" t="s">
        <v>5924</v>
      </c>
      <c r="N2701" t="s">
        <v>5925</v>
      </c>
    </row>
    <row r="2702" spans="1:25" x14ac:dyDescent="0.2">
      <c r="A2702">
        <v>4394</v>
      </c>
      <c r="B2702" t="s">
        <v>5909</v>
      </c>
      <c r="C2702" t="s">
        <v>18</v>
      </c>
      <c r="D2702" t="s">
        <v>5926</v>
      </c>
      <c r="E2702" t="s">
        <v>5927</v>
      </c>
      <c r="F2702" t="s">
        <v>45</v>
      </c>
      <c r="G2702" t="s">
        <v>24</v>
      </c>
      <c r="H2702" t="b">
        <v>0</v>
      </c>
      <c r="I2702" t="b">
        <v>0</v>
      </c>
      <c r="L2702" t="b">
        <v>0</v>
      </c>
      <c r="M2702" t="s">
        <v>5928</v>
      </c>
      <c r="N2702" t="s">
        <v>5929</v>
      </c>
    </row>
    <row r="2704" spans="1:25" x14ac:dyDescent="0.2">
      <c r="A2704" s="2">
        <v>4403</v>
      </c>
      <c r="B2704" s="2" t="s">
        <v>5930</v>
      </c>
      <c r="C2704" s="2" t="s">
        <v>13</v>
      </c>
      <c r="D2704" s="2" t="s">
        <v>5931</v>
      </c>
      <c r="E2704" s="2" t="s">
        <v>5932</v>
      </c>
      <c r="F2704" s="2" t="s">
        <v>451</v>
      </c>
      <c r="G2704" s="2" t="s">
        <v>279</v>
      </c>
      <c r="H2704" s="2"/>
      <c r="I2704" s="2"/>
      <c r="J2704" s="2"/>
      <c r="K2704" s="2"/>
      <c r="L2704" s="2"/>
      <c r="M2704" s="2"/>
      <c r="N2704" s="2"/>
      <c r="O2704" s="2"/>
      <c r="P2704" s="2"/>
      <c r="Q2704" s="2"/>
      <c r="R2704" s="2"/>
      <c r="S2704" s="2"/>
      <c r="T2704" s="2"/>
      <c r="U2704" s="2"/>
      <c r="V2704" s="2"/>
      <c r="W2704" s="2"/>
      <c r="X2704" s="2"/>
      <c r="Y2704" s="2"/>
    </row>
    <row r="2705" spans="1:25" x14ac:dyDescent="0.2">
      <c r="A2705">
        <v>4404</v>
      </c>
      <c r="B2705" t="s">
        <v>5930</v>
      </c>
      <c r="C2705" t="s">
        <v>18</v>
      </c>
      <c r="D2705" t="s">
        <v>5933</v>
      </c>
      <c r="E2705" t="s">
        <v>5934</v>
      </c>
      <c r="F2705" t="s">
        <v>451</v>
      </c>
      <c r="G2705" t="s">
        <v>280</v>
      </c>
      <c r="H2705" t="b">
        <v>1</v>
      </c>
      <c r="K2705" t="b">
        <v>1</v>
      </c>
      <c r="L2705" t="b">
        <v>1</v>
      </c>
      <c r="M2705" t="s">
        <v>5935</v>
      </c>
    </row>
    <row r="2706" spans="1:25" x14ac:dyDescent="0.2">
      <c r="A2706">
        <v>4405</v>
      </c>
      <c r="B2706" t="s">
        <v>5930</v>
      </c>
      <c r="C2706" t="s">
        <v>18</v>
      </c>
      <c r="D2706" t="s">
        <v>5936</v>
      </c>
      <c r="E2706" t="s">
        <v>3848</v>
      </c>
      <c r="F2706" t="s">
        <v>451</v>
      </c>
      <c r="G2706" t="s">
        <v>280</v>
      </c>
      <c r="H2706" t="b">
        <v>1</v>
      </c>
      <c r="K2706" t="b">
        <v>1</v>
      </c>
      <c r="L2706" t="b">
        <v>1</v>
      </c>
      <c r="M2706" t="s">
        <v>5937</v>
      </c>
      <c r="N2706" t="s">
        <v>5938</v>
      </c>
    </row>
    <row r="2707" spans="1:25" x14ac:dyDescent="0.2">
      <c r="A2707">
        <v>4406</v>
      </c>
      <c r="B2707" t="s">
        <v>5930</v>
      </c>
      <c r="C2707" t="s">
        <v>18</v>
      </c>
      <c r="D2707" t="s">
        <v>5939</v>
      </c>
      <c r="E2707" t="s">
        <v>5940</v>
      </c>
      <c r="F2707" t="s">
        <v>264</v>
      </c>
      <c r="G2707" t="s">
        <v>17</v>
      </c>
      <c r="H2707" t="b">
        <v>0</v>
      </c>
      <c r="K2707" t="b">
        <v>0</v>
      </c>
      <c r="L2707" t="b">
        <v>0</v>
      </c>
      <c r="M2707" t="s">
        <v>5941</v>
      </c>
      <c r="N2707" t="s">
        <v>5942</v>
      </c>
    </row>
    <row r="2708" spans="1:25" x14ac:dyDescent="0.2">
      <c r="A2708">
        <v>4407</v>
      </c>
      <c r="B2708" t="s">
        <v>5930</v>
      </c>
      <c r="C2708" t="s">
        <v>18</v>
      </c>
      <c r="D2708" t="s">
        <v>648</v>
      </c>
      <c r="E2708" t="s">
        <v>649</v>
      </c>
      <c r="F2708" t="s">
        <v>78</v>
      </c>
      <c r="G2708" t="s">
        <v>74</v>
      </c>
      <c r="H2708" t="b">
        <v>0</v>
      </c>
      <c r="K2708" t="b">
        <v>0</v>
      </c>
      <c r="L2708" t="b">
        <v>0</v>
      </c>
      <c r="M2708" t="s">
        <v>650</v>
      </c>
      <c r="N2708" t="s">
        <v>651</v>
      </c>
    </row>
    <row r="2709" spans="1:25" x14ac:dyDescent="0.2">
      <c r="A2709">
        <v>4408</v>
      </c>
      <c r="B2709" t="s">
        <v>5930</v>
      </c>
      <c r="C2709" t="s">
        <v>18</v>
      </c>
      <c r="D2709" t="s">
        <v>5943</v>
      </c>
      <c r="E2709" t="s">
        <v>1294</v>
      </c>
      <c r="F2709" t="s">
        <v>151</v>
      </c>
      <c r="G2709" t="s">
        <v>280</v>
      </c>
      <c r="H2709" t="b">
        <v>0</v>
      </c>
      <c r="K2709" t="b">
        <v>0</v>
      </c>
      <c r="L2709" t="b">
        <v>0</v>
      </c>
      <c r="M2709" t="s">
        <v>5944</v>
      </c>
    </row>
    <row r="2711" spans="1:25" x14ac:dyDescent="0.2">
      <c r="A2711" s="2">
        <v>441</v>
      </c>
      <c r="B2711" s="2" t="s">
        <v>5945</v>
      </c>
      <c r="C2711" s="2" t="s">
        <v>13</v>
      </c>
      <c r="D2711" s="2" t="s">
        <v>5732</v>
      </c>
      <c r="E2711" s="2" t="s">
        <v>5946</v>
      </c>
      <c r="F2711" s="2" t="s">
        <v>78</v>
      </c>
      <c r="G2711" s="2" t="s">
        <v>280</v>
      </c>
      <c r="H2711" s="2"/>
      <c r="I2711" s="2"/>
      <c r="J2711" s="2"/>
      <c r="K2711" s="2"/>
      <c r="L2711" s="2"/>
      <c r="M2711" s="2"/>
      <c r="N2711" s="2"/>
      <c r="O2711" s="2"/>
      <c r="P2711" s="2"/>
      <c r="Q2711" s="2"/>
      <c r="R2711" s="2"/>
      <c r="S2711" s="2"/>
      <c r="T2711" s="2"/>
      <c r="U2711" s="2"/>
      <c r="V2711" s="2"/>
      <c r="W2711" s="2"/>
      <c r="X2711" s="2"/>
      <c r="Y2711" s="2"/>
    </row>
    <row r="2712" spans="1:25" x14ac:dyDescent="0.2">
      <c r="A2712">
        <v>442</v>
      </c>
      <c r="B2712" t="s">
        <v>5945</v>
      </c>
      <c r="C2712" t="s">
        <v>18</v>
      </c>
      <c r="D2712" t="s">
        <v>5732</v>
      </c>
      <c r="E2712" t="s">
        <v>5733</v>
      </c>
      <c r="F2712" t="s">
        <v>1837</v>
      </c>
      <c r="G2712" t="s">
        <v>280</v>
      </c>
      <c r="H2712" t="b">
        <v>0</v>
      </c>
      <c r="K2712" t="b">
        <v>0</v>
      </c>
      <c r="L2712" t="b">
        <v>0</v>
      </c>
      <c r="M2712" t="s">
        <v>5734</v>
      </c>
      <c r="N2712" t="s">
        <v>5735</v>
      </c>
      <c r="O2712" t="s">
        <v>5736</v>
      </c>
      <c r="P2712" t="s">
        <v>5737</v>
      </c>
    </row>
    <row r="2713" spans="1:25" x14ac:dyDescent="0.2">
      <c r="A2713">
        <v>443</v>
      </c>
      <c r="B2713" t="s">
        <v>5945</v>
      </c>
      <c r="C2713" t="s">
        <v>18</v>
      </c>
      <c r="D2713" t="s">
        <v>5724</v>
      </c>
      <c r="E2713" t="s">
        <v>5725</v>
      </c>
      <c r="F2713" t="s">
        <v>5726</v>
      </c>
      <c r="G2713" t="s">
        <v>280</v>
      </c>
      <c r="H2713" t="b">
        <v>0</v>
      </c>
      <c r="K2713" t="b">
        <v>0</v>
      </c>
      <c r="L2713" t="b">
        <v>0</v>
      </c>
      <c r="M2713" t="s">
        <v>5727</v>
      </c>
      <c r="N2713" t="s">
        <v>5728</v>
      </c>
      <c r="O2713" t="s">
        <v>5729</v>
      </c>
      <c r="P2713" t="s">
        <v>5730</v>
      </c>
      <c r="Q2713" t="s">
        <v>5731</v>
      </c>
    </row>
    <row r="2714" spans="1:25" x14ac:dyDescent="0.2">
      <c r="A2714">
        <v>444</v>
      </c>
      <c r="B2714" t="s">
        <v>5945</v>
      </c>
      <c r="C2714" t="s">
        <v>18</v>
      </c>
      <c r="D2714" t="s">
        <v>4352</v>
      </c>
      <c r="E2714" t="s">
        <v>4353</v>
      </c>
      <c r="F2714" t="s">
        <v>82</v>
      </c>
      <c r="G2714" t="s">
        <v>280</v>
      </c>
      <c r="H2714" t="b">
        <v>1</v>
      </c>
      <c r="K2714" t="b">
        <v>0</v>
      </c>
      <c r="L2714" t="b">
        <v>1</v>
      </c>
      <c r="M2714" t="s">
        <v>4354</v>
      </c>
    </row>
    <row r="2715" spans="1:25" x14ac:dyDescent="0.2">
      <c r="A2715">
        <v>445</v>
      </c>
      <c r="B2715" t="s">
        <v>5945</v>
      </c>
      <c r="C2715" t="s">
        <v>18</v>
      </c>
      <c r="D2715" t="s">
        <v>5716</v>
      </c>
      <c r="E2715" t="s">
        <v>5717</v>
      </c>
      <c r="F2715" t="s">
        <v>1938</v>
      </c>
      <c r="G2715" t="s">
        <v>280</v>
      </c>
      <c r="H2715" t="b">
        <v>0</v>
      </c>
      <c r="K2715" t="b">
        <v>0</v>
      </c>
      <c r="L2715" t="b">
        <v>0</v>
      </c>
      <c r="M2715" t="s">
        <v>5718</v>
      </c>
      <c r="N2715" t="s">
        <v>5719</v>
      </c>
    </row>
    <row r="2716" spans="1:25" x14ac:dyDescent="0.2">
      <c r="A2716">
        <v>446</v>
      </c>
      <c r="B2716" t="s">
        <v>5945</v>
      </c>
      <c r="C2716" t="s">
        <v>18</v>
      </c>
      <c r="D2716" t="s">
        <v>5720</v>
      </c>
      <c r="E2716" t="s">
        <v>5721</v>
      </c>
      <c r="F2716" t="s">
        <v>1938</v>
      </c>
      <c r="G2716" t="s">
        <v>280</v>
      </c>
      <c r="H2716" t="b">
        <v>0</v>
      </c>
      <c r="K2716" t="b">
        <v>0</v>
      </c>
      <c r="L2716" t="b">
        <v>0</v>
      </c>
      <c r="M2716" t="s">
        <v>5722</v>
      </c>
      <c r="N2716" t="s">
        <v>5723</v>
      </c>
    </row>
    <row r="2718" spans="1:25" x14ac:dyDescent="0.2">
      <c r="A2718" s="2">
        <v>4410</v>
      </c>
      <c r="B2718" s="2" t="s">
        <v>5947</v>
      </c>
      <c r="C2718" s="2" t="s">
        <v>13</v>
      </c>
      <c r="D2718" s="2" t="s">
        <v>5948</v>
      </c>
      <c r="E2718" s="2" t="s">
        <v>5949</v>
      </c>
      <c r="F2718" s="2" t="s">
        <v>78</v>
      </c>
      <c r="G2718" s="2" t="s">
        <v>24</v>
      </c>
      <c r="H2718" s="2"/>
      <c r="I2718" s="2"/>
      <c r="J2718" s="2"/>
      <c r="K2718" s="2"/>
      <c r="L2718" s="2"/>
      <c r="M2718" s="2"/>
      <c r="N2718" s="2"/>
      <c r="O2718" s="2"/>
      <c r="P2718" s="2"/>
      <c r="Q2718" s="2"/>
      <c r="R2718" s="2"/>
      <c r="S2718" s="2"/>
      <c r="T2718" s="2"/>
      <c r="U2718" s="2"/>
      <c r="V2718" s="2"/>
      <c r="W2718" s="2"/>
      <c r="X2718" s="2"/>
      <c r="Y2718" s="2"/>
    </row>
    <row r="2719" spans="1:25" x14ac:dyDescent="0.2">
      <c r="A2719">
        <v>4411</v>
      </c>
      <c r="B2719" t="s">
        <v>5947</v>
      </c>
      <c r="C2719" t="s">
        <v>18</v>
      </c>
      <c r="D2719" t="s">
        <v>5950</v>
      </c>
      <c r="E2719" t="s">
        <v>5951</v>
      </c>
      <c r="F2719" t="s">
        <v>78</v>
      </c>
      <c r="G2719" t="s">
        <v>24</v>
      </c>
      <c r="H2719" t="b">
        <v>1</v>
      </c>
      <c r="K2719" t="b">
        <v>1</v>
      </c>
      <c r="L2719" t="b">
        <v>1</v>
      </c>
      <c r="M2719" t="s">
        <v>5952</v>
      </c>
      <c r="N2719" t="s">
        <v>5953</v>
      </c>
    </row>
    <row r="2720" spans="1:25" x14ac:dyDescent="0.2">
      <c r="A2720">
        <v>4412</v>
      </c>
      <c r="B2720" t="s">
        <v>5947</v>
      </c>
      <c r="C2720" t="s">
        <v>18</v>
      </c>
      <c r="D2720" t="s">
        <v>5954</v>
      </c>
      <c r="E2720" t="s">
        <v>5140</v>
      </c>
      <c r="F2720" t="s">
        <v>78</v>
      </c>
      <c r="G2720" t="s">
        <v>24</v>
      </c>
      <c r="H2720" t="b">
        <v>1</v>
      </c>
      <c r="K2720" t="b">
        <v>1</v>
      </c>
      <c r="L2720" t="b">
        <v>1</v>
      </c>
      <c r="M2720" t="s">
        <v>5955</v>
      </c>
      <c r="N2720" t="s">
        <v>5956</v>
      </c>
    </row>
    <row r="2721" spans="1:25" x14ac:dyDescent="0.2">
      <c r="A2721">
        <v>4413</v>
      </c>
      <c r="B2721" t="s">
        <v>5947</v>
      </c>
      <c r="C2721" t="s">
        <v>18</v>
      </c>
      <c r="D2721" t="s">
        <v>1244</v>
      </c>
      <c r="E2721" t="s">
        <v>1245</v>
      </c>
      <c r="F2721" t="s">
        <v>78</v>
      </c>
      <c r="G2721" t="s">
        <v>24</v>
      </c>
      <c r="H2721" t="b">
        <v>0</v>
      </c>
      <c r="K2721" t="b">
        <v>0</v>
      </c>
      <c r="L2721" t="b">
        <v>0</v>
      </c>
      <c r="M2721" t="s">
        <v>1246</v>
      </c>
      <c r="N2721" t="s">
        <v>1247</v>
      </c>
    </row>
    <row r="2722" spans="1:25" x14ac:dyDescent="0.2">
      <c r="A2722">
        <v>4414</v>
      </c>
      <c r="B2722" t="s">
        <v>5947</v>
      </c>
      <c r="C2722" t="s">
        <v>18</v>
      </c>
      <c r="D2722" t="s">
        <v>5957</v>
      </c>
      <c r="E2722" t="s">
        <v>5958</v>
      </c>
      <c r="F2722" t="s">
        <v>78</v>
      </c>
      <c r="G2722" t="s">
        <v>24</v>
      </c>
      <c r="H2722" t="b">
        <v>0</v>
      </c>
      <c r="K2722" t="b">
        <v>0</v>
      </c>
      <c r="L2722" t="b">
        <v>0</v>
      </c>
      <c r="M2722" t="s">
        <v>5959</v>
      </c>
    </row>
    <row r="2723" spans="1:25" x14ac:dyDescent="0.2">
      <c r="A2723">
        <v>4415</v>
      </c>
      <c r="B2723" t="s">
        <v>5947</v>
      </c>
      <c r="C2723" t="s">
        <v>18</v>
      </c>
      <c r="D2723" t="s">
        <v>1252</v>
      </c>
      <c r="E2723" t="s">
        <v>1253</v>
      </c>
      <c r="F2723" t="s">
        <v>78</v>
      </c>
      <c r="G2723" t="s">
        <v>24</v>
      </c>
      <c r="H2723" t="b">
        <v>0</v>
      </c>
      <c r="K2723" t="b">
        <v>0</v>
      </c>
      <c r="L2723" t="b">
        <v>0</v>
      </c>
      <c r="M2723" t="s">
        <v>1254</v>
      </c>
      <c r="N2723" t="s">
        <v>1255</v>
      </c>
    </row>
    <row r="2725" spans="1:25" x14ac:dyDescent="0.2">
      <c r="A2725" s="2">
        <v>4417</v>
      </c>
      <c r="B2725" s="2" t="s">
        <v>5960</v>
      </c>
      <c r="C2725" s="2" t="s">
        <v>13</v>
      </c>
      <c r="D2725" s="2" t="s">
        <v>5961</v>
      </c>
      <c r="E2725" s="2" t="s">
        <v>5962</v>
      </c>
      <c r="F2725" s="2" t="s">
        <v>369</v>
      </c>
      <c r="G2725" s="2" t="s">
        <v>88</v>
      </c>
      <c r="H2725" s="2"/>
      <c r="I2725" s="2"/>
      <c r="J2725" s="2"/>
      <c r="K2725" s="2"/>
      <c r="L2725" s="2"/>
      <c r="M2725" s="2"/>
      <c r="N2725" s="2"/>
      <c r="O2725" s="2"/>
      <c r="P2725" s="2"/>
      <c r="Q2725" s="2"/>
      <c r="R2725" s="2"/>
      <c r="S2725" s="2"/>
      <c r="T2725" s="2"/>
      <c r="U2725" s="2"/>
      <c r="V2725" s="2"/>
      <c r="W2725" s="2"/>
      <c r="X2725" s="2"/>
      <c r="Y2725" s="2"/>
    </row>
    <row r="2726" spans="1:25" x14ac:dyDescent="0.2">
      <c r="A2726">
        <v>4418</v>
      </c>
      <c r="B2726" t="s">
        <v>5960</v>
      </c>
      <c r="C2726" t="s">
        <v>18</v>
      </c>
      <c r="D2726" t="s">
        <v>5961</v>
      </c>
      <c r="E2726" t="s">
        <v>2043</v>
      </c>
      <c r="F2726" t="s">
        <v>369</v>
      </c>
      <c r="G2726" t="s">
        <v>88</v>
      </c>
      <c r="H2726" t="b">
        <v>1</v>
      </c>
      <c r="K2726" t="b">
        <v>1</v>
      </c>
      <c r="L2726" t="b">
        <v>1</v>
      </c>
      <c r="M2726" t="s">
        <v>5963</v>
      </c>
      <c r="N2726" t="s">
        <v>5964</v>
      </c>
      <c r="O2726" t="s">
        <v>5965</v>
      </c>
    </row>
    <row r="2727" spans="1:25" x14ac:dyDescent="0.2">
      <c r="A2727">
        <v>4419</v>
      </c>
      <c r="B2727" t="s">
        <v>5960</v>
      </c>
      <c r="C2727" t="s">
        <v>18</v>
      </c>
      <c r="D2727" t="s">
        <v>5966</v>
      </c>
      <c r="E2727" t="s">
        <v>4447</v>
      </c>
      <c r="F2727" t="s">
        <v>369</v>
      </c>
      <c r="G2727" t="s">
        <v>88</v>
      </c>
      <c r="H2727" t="b">
        <v>1</v>
      </c>
      <c r="K2727" t="b">
        <v>1</v>
      </c>
      <c r="L2727" t="b">
        <v>1</v>
      </c>
      <c r="M2727" t="s">
        <v>5967</v>
      </c>
    </row>
    <row r="2728" spans="1:25" x14ac:dyDescent="0.2">
      <c r="A2728">
        <v>4420</v>
      </c>
      <c r="B2728" t="s">
        <v>5960</v>
      </c>
      <c r="C2728" t="s">
        <v>18</v>
      </c>
      <c r="D2728" t="s">
        <v>5968</v>
      </c>
      <c r="E2728" t="s">
        <v>5969</v>
      </c>
      <c r="F2728" t="s">
        <v>78</v>
      </c>
      <c r="G2728" t="s">
        <v>252</v>
      </c>
      <c r="H2728" t="b">
        <v>0</v>
      </c>
      <c r="K2728" t="b">
        <v>0</v>
      </c>
      <c r="L2728" t="b">
        <v>0</v>
      </c>
      <c r="M2728" t="s">
        <v>5970</v>
      </c>
      <c r="N2728" t="s">
        <v>5971</v>
      </c>
    </row>
    <row r="2729" spans="1:25" x14ac:dyDescent="0.2">
      <c r="A2729">
        <v>4421</v>
      </c>
      <c r="B2729" t="s">
        <v>5960</v>
      </c>
      <c r="C2729" t="s">
        <v>18</v>
      </c>
      <c r="D2729" t="s">
        <v>5972</v>
      </c>
      <c r="E2729" t="s">
        <v>5973</v>
      </c>
      <c r="F2729" t="s">
        <v>71</v>
      </c>
      <c r="G2729" t="s">
        <v>771</v>
      </c>
      <c r="H2729" t="b">
        <v>0</v>
      </c>
      <c r="K2729" t="b">
        <v>0</v>
      </c>
      <c r="L2729" t="b">
        <v>0</v>
      </c>
    </row>
    <row r="2730" spans="1:25" x14ac:dyDescent="0.2">
      <c r="A2730">
        <v>4422</v>
      </c>
      <c r="B2730" t="s">
        <v>5960</v>
      </c>
      <c r="C2730" t="s">
        <v>18</v>
      </c>
      <c r="D2730" t="s">
        <v>5974</v>
      </c>
      <c r="E2730" t="s">
        <v>5975</v>
      </c>
      <c r="F2730" t="s">
        <v>369</v>
      </c>
      <c r="G2730" t="s">
        <v>88</v>
      </c>
      <c r="H2730" t="b">
        <v>0</v>
      </c>
      <c r="K2730" t="b">
        <v>0</v>
      </c>
      <c r="L2730" t="b">
        <v>0</v>
      </c>
    </row>
    <row r="2732" spans="1:25" x14ac:dyDescent="0.2">
      <c r="A2732" s="2">
        <v>4424</v>
      </c>
      <c r="B2732" s="2" t="s">
        <v>5976</v>
      </c>
      <c r="C2732" s="2" t="s">
        <v>13</v>
      </c>
      <c r="D2732" s="2" t="s">
        <v>3866</v>
      </c>
      <c r="E2732" s="2" t="s">
        <v>5977</v>
      </c>
      <c r="F2732" s="2" t="s">
        <v>670</v>
      </c>
      <c r="G2732" s="2" t="s">
        <v>24</v>
      </c>
      <c r="H2732" s="2"/>
      <c r="I2732" s="2"/>
      <c r="J2732" s="2"/>
      <c r="K2732" s="2"/>
      <c r="L2732" s="2"/>
      <c r="M2732" s="2"/>
      <c r="N2732" s="2"/>
      <c r="O2732" s="2"/>
      <c r="P2732" s="2"/>
      <c r="Q2732" s="2"/>
      <c r="R2732" s="2"/>
      <c r="S2732" s="2"/>
      <c r="T2732" s="2"/>
      <c r="U2732" s="2"/>
      <c r="V2732" s="2"/>
      <c r="W2732" s="2"/>
      <c r="X2732" s="2"/>
      <c r="Y2732" s="2"/>
    </row>
    <row r="2733" spans="1:25" x14ac:dyDescent="0.2">
      <c r="A2733">
        <v>4425</v>
      </c>
      <c r="B2733" t="s">
        <v>5976</v>
      </c>
      <c r="C2733" t="s">
        <v>18</v>
      </c>
      <c r="D2733" t="s">
        <v>3866</v>
      </c>
      <c r="E2733" t="s">
        <v>3867</v>
      </c>
      <c r="F2733" t="s">
        <v>670</v>
      </c>
      <c r="G2733" t="s">
        <v>24</v>
      </c>
      <c r="H2733" t="b">
        <v>1</v>
      </c>
      <c r="K2733" t="b">
        <v>1</v>
      </c>
      <c r="L2733" t="b">
        <v>1</v>
      </c>
      <c r="M2733" t="s">
        <v>3868</v>
      </c>
      <c r="N2733" t="s">
        <v>3869</v>
      </c>
    </row>
    <row r="2734" spans="1:25" x14ac:dyDescent="0.2">
      <c r="A2734">
        <v>4426</v>
      </c>
      <c r="B2734" t="s">
        <v>5976</v>
      </c>
      <c r="C2734" t="s">
        <v>18</v>
      </c>
      <c r="D2734" t="s">
        <v>5978</v>
      </c>
      <c r="E2734" t="s">
        <v>891</v>
      </c>
      <c r="F2734" t="s">
        <v>670</v>
      </c>
      <c r="G2734" t="s">
        <v>24</v>
      </c>
      <c r="H2734" t="b">
        <v>1</v>
      </c>
      <c r="K2734" t="b">
        <v>1</v>
      </c>
      <c r="L2734" t="b">
        <v>1</v>
      </c>
      <c r="M2734" t="s">
        <v>5979</v>
      </c>
    </row>
    <row r="2735" spans="1:25" x14ac:dyDescent="0.2">
      <c r="A2735">
        <v>4427</v>
      </c>
      <c r="B2735" t="s">
        <v>5976</v>
      </c>
      <c r="C2735" t="s">
        <v>18</v>
      </c>
      <c r="D2735" t="s">
        <v>3870</v>
      </c>
      <c r="E2735" t="s">
        <v>3871</v>
      </c>
      <c r="F2735" t="s">
        <v>2738</v>
      </c>
      <c r="G2735" t="s">
        <v>1047</v>
      </c>
      <c r="H2735" t="b">
        <v>0</v>
      </c>
      <c r="K2735" t="b">
        <v>0</v>
      </c>
      <c r="L2735" t="b">
        <v>0</v>
      </c>
      <c r="M2735" t="s">
        <v>3872</v>
      </c>
      <c r="N2735" t="s">
        <v>3873</v>
      </c>
      <c r="O2735" t="s">
        <v>3874</v>
      </c>
      <c r="P2735" t="s">
        <v>3875</v>
      </c>
    </row>
    <row r="2736" spans="1:25" x14ac:dyDescent="0.2">
      <c r="A2736">
        <v>4428</v>
      </c>
      <c r="B2736" t="s">
        <v>5976</v>
      </c>
      <c r="C2736" t="s">
        <v>18</v>
      </c>
      <c r="D2736" t="s">
        <v>3859</v>
      </c>
      <c r="E2736" t="s">
        <v>3860</v>
      </c>
      <c r="F2736" t="s">
        <v>785</v>
      </c>
      <c r="G2736" t="s">
        <v>134</v>
      </c>
      <c r="H2736" t="b">
        <v>0</v>
      </c>
      <c r="K2736" t="b">
        <v>0</v>
      </c>
      <c r="L2736" t="b">
        <v>0</v>
      </c>
      <c r="M2736" t="s">
        <v>3861</v>
      </c>
      <c r="N2736" t="s">
        <v>3862</v>
      </c>
    </row>
    <row r="2737" spans="1:25" x14ac:dyDescent="0.2">
      <c r="A2737">
        <v>4429</v>
      </c>
      <c r="B2737" t="s">
        <v>5976</v>
      </c>
      <c r="C2737" t="s">
        <v>18</v>
      </c>
      <c r="D2737" t="s">
        <v>3876</v>
      </c>
      <c r="E2737" t="s">
        <v>455</v>
      </c>
      <c r="F2737" t="s">
        <v>16</v>
      </c>
      <c r="G2737" t="s">
        <v>24</v>
      </c>
      <c r="H2737" t="b">
        <v>0</v>
      </c>
      <c r="K2737" t="b">
        <v>0</v>
      </c>
      <c r="L2737" t="b">
        <v>0</v>
      </c>
      <c r="M2737" t="s">
        <v>3877</v>
      </c>
    </row>
    <row r="2739" spans="1:25" x14ac:dyDescent="0.2">
      <c r="A2739" s="2">
        <v>4431</v>
      </c>
      <c r="B2739" s="2" t="s">
        <v>5980</v>
      </c>
      <c r="C2739" s="2" t="s">
        <v>13</v>
      </c>
      <c r="D2739" s="2" t="s">
        <v>5981</v>
      </c>
      <c r="E2739" s="2" t="s">
        <v>5982</v>
      </c>
      <c r="F2739" s="2" t="s">
        <v>122</v>
      </c>
      <c r="G2739" s="2" t="s">
        <v>24</v>
      </c>
      <c r="H2739" s="2"/>
      <c r="I2739" s="2"/>
      <c r="J2739" s="2"/>
      <c r="K2739" s="2"/>
      <c r="L2739" s="2"/>
      <c r="M2739" s="2"/>
      <c r="N2739" s="2"/>
      <c r="O2739" s="2"/>
      <c r="P2739" s="2"/>
      <c r="Q2739" s="2"/>
      <c r="R2739" s="2"/>
      <c r="S2739" s="2"/>
      <c r="T2739" s="2"/>
      <c r="U2739" s="2"/>
      <c r="V2739" s="2"/>
      <c r="W2739" s="2"/>
      <c r="X2739" s="2"/>
      <c r="Y2739" s="2"/>
    </row>
    <row r="2740" spans="1:25" x14ac:dyDescent="0.2">
      <c r="A2740">
        <v>4432</v>
      </c>
      <c r="B2740" t="s">
        <v>5980</v>
      </c>
      <c r="C2740" t="s">
        <v>18</v>
      </c>
      <c r="D2740" t="s">
        <v>5981</v>
      </c>
      <c r="E2740" t="s">
        <v>5982</v>
      </c>
      <c r="F2740" t="s">
        <v>122</v>
      </c>
      <c r="G2740" t="s">
        <v>24</v>
      </c>
      <c r="H2740" t="b">
        <v>1</v>
      </c>
      <c r="K2740" t="b">
        <v>1</v>
      </c>
      <c r="L2740" t="b">
        <v>1</v>
      </c>
      <c r="M2740" t="s">
        <v>5983</v>
      </c>
      <c r="N2740" t="s">
        <v>5984</v>
      </c>
    </row>
    <row r="2741" spans="1:25" x14ac:dyDescent="0.2">
      <c r="A2741">
        <v>4433</v>
      </c>
      <c r="B2741" t="s">
        <v>5980</v>
      </c>
      <c r="C2741" t="s">
        <v>18</v>
      </c>
      <c r="D2741" t="s">
        <v>5985</v>
      </c>
      <c r="E2741" t="s">
        <v>5986</v>
      </c>
      <c r="F2741" t="s">
        <v>122</v>
      </c>
      <c r="G2741" t="s">
        <v>24</v>
      </c>
      <c r="H2741" t="b">
        <v>1</v>
      </c>
      <c r="K2741" t="b">
        <v>0</v>
      </c>
      <c r="L2741" t="b">
        <v>0</v>
      </c>
    </row>
    <row r="2742" spans="1:25" x14ac:dyDescent="0.2">
      <c r="A2742">
        <v>4434</v>
      </c>
      <c r="B2742" t="s">
        <v>5980</v>
      </c>
      <c r="C2742" t="s">
        <v>18</v>
      </c>
      <c r="D2742" t="s">
        <v>5987</v>
      </c>
      <c r="E2742" t="s">
        <v>5988</v>
      </c>
      <c r="F2742" t="s">
        <v>122</v>
      </c>
      <c r="G2742" t="s">
        <v>24</v>
      </c>
      <c r="H2742" t="b">
        <v>0</v>
      </c>
      <c r="K2742" t="b">
        <v>0</v>
      </c>
      <c r="L2742" t="b">
        <v>0</v>
      </c>
    </row>
    <row r="2743" spans="1:25" x14ac:dyDescent="0.2">
      <c r="A2743">
        <v>4435</v>
      </c>
      <c r="B2743" t="s">
        <v>5980</v>
      </c>
      <c r="C2743" t="s">
        <v>18</v>
      </c>
      <c r="D2743" t="s">
        <v>5989</v>
      </c>
      <c r="E2743" t="s">
        <v>5990</v>
      </c>
      <c r="F2743" t="s">
        <v>78</v>
      </c>
      <c r="G2743" t="s">
        <v>32</v>
      </c>
      <c r="H2743" t="b">
        <v>0</v>
      </c>
      <c r="K2743" t="b">
        <v>0</v>
      </c>
      <c r="L2743" t="b">
        <v>0</v>
      </c>
    </row>
    <row r="2744" spans="1:25" x14ac:dyDescent="0.2">
      <c r="A2744">
        <v>4436</v>
      </c>
      <c r="B2744" t="s">
        <v>5980</v>
      </c>
      <c r="C2744" t="s">
        <v>18</v>
      </c>
      <c r="D2744" t="s">
        <v>5991</v>
      </c>
      <c r="E2744" t="s">
        <v>5992</v>
      </c>
      <c r="F2744" t="s">
        <v>78</v>
      </c>
      <c r="G2744" t="s">
        <v>24</v>
      </c>
      <c r="H2744" t="b">
        <v>0</v>
      </c>
      <c r="K2744" t="b">
        <v>0</v>
      </c>
      <c r="L2744" t="b">
        <v>0</v>
      </c>
    </row>
    <row r="2746" spans="1:25" x14ac:dyDescent="0.2">
      <c r="A2746" s="2">
        <v>448</v>
      </c>
      <c r="B2746" s="2" t="s">
        <v>5993</v>
      </c>
      <c r="C2746" s="2" t="s">
        <v>13</v>
      </c>
      <c r="D2746" s="2" t="s">
        <v>5994</v>
      </c>
      <c r="E2746" s="2" t="s">
        <v>5995</v>
      </c>
      <c r="F2746" s="2" t="s">
        <v>1617</v>
      </c>
      <c r="G2746" s="2" t="s">
        <v>265</v>
      </c>
      <c r="H2746" s="2"/>
      <c r="I2746" s="2"/>
      <c r="J2746" s="2"/>
      <c r="K2746" s="2"/>
      <c r="L2746" s="2"/>
      <c r="M2746" s="2"/>
      <c r="N2746" s="2"/>
      <c r="O2746" s="2"/>
      <c r="P2746" s="2"/>
      <c r="Q2746" s="2"/>
      <c r="R2746" s="2"/>
      <c r="S2746" s="2"/>
      <c r="T2746" s="2"/>
      <c r="U2746" s="2"/>
      <c r="V2746" s="2"/>
      <c r="W2746" s="2"/>
      <c r="X2746" s="2"/>
      <c r="Y2746" s="2"/>
    </row>
    <row r="2747" spans="1:25" x14ac:dyDescent="0.2">
      <c r="A2747">
        <v>449</v>
      </c>
      <c r="B2747" t="s">
        <v>5993</v>
      </c>
      <c r="C2747" t="s">
        <v>18</v>
      </c>
      <c r="D2747" t="s">
        <v>5994</v>
      </c>
      <c r="E2747" t="s">
        <v>5996</v>
      </c>
      <c r="F2747" t="s">
        <v>82</v>
      </c>
      <c r="G2747" t="s">
        <v>265</v>
      </c>
      <c r="H2747" t="b">
        <v>1</v>
      </c>
      <c r="K2747" t="b">
        <v>1</v>
      </c>
      <c r="L2747" t="b">
        <v>1</v>
      </c>
      <c r="M2747" t="s">
        <v>5997</v>
      </c>
    </row>
    <row r="2748" spans="1:25" x14ac:dyDescent="0.2">
      <c r="A2748">
        <v>450</v>
      </c>
      <c r="B2748" t="s">
        <v>5993</v>
      </c>
      <c r="C2748" t="s">
        <v>18</v>
      </c>
      <c r="D2748" t="s">
        <v>5998</v>
      </c>
      <c r="E2748" t="s">
        <v>5999</v>
      </c>
      <c r="F2748" t="s">
        <v>82</v>
      </c>
      <c r="G2748" t="s">
        <v>265</v>
      </c>
      <c r="H2748" t="b">
        <v>1</v>
      </c>
      <c r="K2748" t="b">
        <v>1</v>
      </c>
      <c r="L2748" t="b">
        <v>1</v>
      </c>
      <c r="M2748" t="s">
        <v>6000</v>
      </c>
    </row>
    <row r="2749" spans="1:25" x14ac:dyDescent="0.2">
      <c r="A2749">
        <v>451</v>
      </c>
      <c r="B2749" t="s">
        <v>5993</v>
      </c>
      <c r="C2749" t="s">
        <v>18</v>
      </c>
      <c r="D2749" t="s">
        <v>2726</v>
      </c>
      <c r="E2749" t="s">
        <v>2727</v>
      </c>
      <c r="F2749" t="s">
        <v>2728</v>
      </c>
      <c r="G2749" t="s">
        <v>265</v>
      </c>
      <c r="H2749" t="b">
        <v>0</v>
      </c>
      <c r="K2749" t="b">
        <v>0</v>
      </c>
      <c r="L2749" t="b">
        <v>0</v>
      </c>
      <c r="M2749" t="s">
        <v>2729</v>
      </c>
      <c r="N2749" t="s">
        <v>745</v>
      </c>
    </row>
    <row r="2750" spans="1:25" x14ac:dyDescent="0.2">
      <c r="A2750">
        <v>452</v>
      </c>
      <c r="B2750" t="s">
        <v>5993</v>
      </c>
      <c r="C2750" t="s">
        <v>18</v>
      </c>
      <c r="D2750" t="s">
        <v>6001</v>
      </c>
      <c r="E2750" t="s">
        <v>6002</v>
      </c>
      <c r="F2750" t="s">
        <v>654</v>
      </c>
      <c r="G2750" t="s">
        <v>265</v>
      </c>
      <c r="H2750" t="b">
        <v>0</v>
      </c>
      <c r="K2750" t="b">
        <v>0</v>
      </c>
      <c r="L2750" t="b">
        <v>0</v>
      </c>
      <c r="M2750" t="s">
        <v>6003</v>
      </c>
      <c r="N2750" t="s">
        <v>6004</v>
      </c>
    </row>
    <row r="2751" spans="1:25" x14ac:dyDescent="0.2">
      <c r="A2751">
        <v>453</v>
      </c>
      <c r="B2751" t="s">
        <v>5993</v>
      </c>
      <c r="C2751" t="s">
        <v>18</v>
      </c>
      <c r="D2751" t="s">
        <v>3415</v>
      </c>
      <c r="E2751" t="s">
        <v>3416</v>
      </c>
      <c r="F2751" t="s">
        <v>82</v>
      </c>
      <c r="G2751" t="s">
        <v>265</v>
      </c>
      <c r="H2751" t="b">
        <v>0</v>
      </c>
      <c r="K2751" t="b">
        <v>0</v>
      </c>
      <c r="L2751" t="b">
        <v>0</v>
      </c>
      <c r="M2751" t="s">
        <v>3417</v>
      </c>
      <c r="N2751" t="s">
        <v>3418</v>
      </c>
    </row>
    <row r="2753" spans="1:25" x14ac:dyDescent="0.2">
      <c r="A2753" s="2">
        <v>4480</v>
      </c>
      <c r="B2753" s="2" t="s">
        <v>6005</v>
      </c>
      <c r="C2753" s="2" t="s">
        <v>13</v>
      </c>
      <c r="D2753" s="2" t="s">
        <v>6006</v>
      </c>
      <c r="E2753" s="2" t="s">
        <v>6007</v>
      </c>
      <c r="F2753" s="2" t="s">
        <v>31</v>
      </c>
      <c r="G2753" s="2" t="s">
        <v>17</v>
      </c>
      <c r="H2753" s="2"/>
      <c r="I2753" s="2"/>
      <c r="J2753" s="2"/>
      <c r="K2753" s="2"/>
      <c r="L2753" s="2"/>
      <c r="M2753" s="2"/>
      <c r="N2753" s="2"/>
      <c r="O2753" s="2"/>
      <c r="P2753" s="2"/>
      <c r="Q2753" s="2"/>
      <c r="R2753" s="2"/>
      <c r="S2753" s="2"/>
      <c r="T2753" s="2"/>
      <c r="U2753" s="2"/>
      <c r="V2753" s="2"/>
      <c r="W2753" s="2"/>
      <c r="X2753" s="2"/>
      <c r="Y2753" s="2"/>
    </row>
    <row r="2754" spans="1:25" x14ac:dyDescent="0.2">
      <c r="A2754">
        <v>4481</v>
      </c>
      <c r="B2754" t="s">
        <v>6005</v>
      </c>
      <c r="C2754" t="s">
        <v>18</v>
      </c>
      <c r="D2754" t="s">
        <v>6006</v>
      </c>
      <c r="E2754" t="s">
        <v>4847</v>
      </c>
      <c r="F2754" t="s">
        <v>31</v>
      </c>
      <c r="G2754" t="s">
        <v>17</v>
      </c>
      <c r="H2754" t="b">
        <v>1</v>
      </c>
      <c r="K2754" t="b">
        <v>1</v>
      </c>
      <c r="L2754" t="b">
        <v>1</v>
      </c>
      <c r="M2754" t="s">
        <v>6008</v>
      </c>
    </row>
    <row r="2755" spans="1:25" x14ac:dyDescent="0.2">
      <c r="A2755">
        <v>4482</v>
      </c>
      <c r="B2755" t="s">
        <v>6005</v>
      </c>
      <c r="C2755" t="s">
        <v>18</v>
      </c>
      <c r="D2755" t="s">
        <v>6009</v>
      </c>
      <c r="E2755" t="s">
        <v>6010</v>
      </c>
      <c r="F2755" t="s">
        <v>31</v>
      </c>
      <c r="G2755" t="s">
        <v>17</v>
      </c>
      <c r="H2755" t="b">
        <v>1</v>
      </c>
      <c r="K2755" t="b">
        <v>1</v>
      </c>
      <c r="L2755" t="b">
        <v>1</v>
      </c>
      <c r="M2755" t="s">
        <v>6011</v>
      </c>
    </row>
    <row r="2756" spans="1:25" x14ac:dyDescent="0.2">
      <c r="A2756">
        <v>4483</v>
      </c>
      <c r="B2756" t="s">
        <v>6005</v>
      </c>
      <c r="C2756" t="s">
        <v>18</v>
      </c>
      <c r="D2756" t="s">
        <v>6012</v>
      </c>
      <c r="E2756" t="s">
        <v>6013</v>
      </c>
      <c r="F2756" t="s">
        <v>670</v>
      </c>
      <c r="G2756" t="s">
        <v>17</v>
      </c>
      <c r="H2756" t="b">
        <v>0</v>
      </c>
      <c r="K2756" t="b">
        <v>0</v>
      </c>
      <c r="L2756" t="b">
        <v>0</v>
      </c>
      <c r="M2756" t="s">
        <v>6014</v>
      </c>
      <c r="N2756" t="s">
        <v>6015</v>
      </c>
    </row>
    <row r="2757" spans="1:25" x14ac:dyDescent="0.2">
      <c r="A2757">
        <v>4484</v>
      </c>
      <c r="B2757" t="s">
        <v>6005</v>
      </c>
      <c r="C2757" t="s">
        <v>18</v>
      </c>
      <c r="D2757" t="s">
        <v>5446</v>
      </c>
      <c r="E2757" t="s">
        <v>5447</v>
      </c>
      <c r="F2757" t="s">
        <v>31</v>
      </c>
      <c r="G2757" t="s">
        <v>24</v>
      </c>
      <c r="H2757" t="b">
        <v>0</v>
      </c>
      <c r="K2757" t="b">
        <v>0</v>
      </c>
      <c r="L2757" t="b">
        <v>0</v>
      </c>
      <c r="M2757" t="s">
        <v>5448</v>
      </c>
      <c r="N2757" t="s">
        <v>5449</v>
      </c>
    </row>
    <row r="2758" spans="1:25" x14ac:dyDescent="0.2">
      <c r="A2758">
        <v>4485</v>
      </c>
      <c r="B2758" t="s">
        <v>6005</v>
      </c>
      <c r="C2758" t="s">
        <v>18</v>
      </c>
      <c r="D2758" t="s">
        <v>6016</v>
      </c>
      <c r="E2758" t="s">
        <v>6017</v>
      </c>
      <c r="F2758" t="s">
        <v>168</v>
      </c>
      <c r="G2758" t="s">
        <v>24</v>
      </c>
      <c r="H2758" t="b">
        <v>0</v>
      </c>
      <c r="K2758" t="b">
        <v>0</v>
      </c>
      <c r="L2758" t="b">
        <v>0</v>
      </c>
      <c r="M2758" t="s">
        <v>6018</v>
      </c>
      <c r="N2758" t="s">
        <v>6019</v>
      </c>
    </row>
    <row r="2760" spans="1:25" x14ac:dyDescent="0.2">
      <c r="A2760" s="2">
        <v>4487</v>
      </c>
      <c r="B2760" s="2" t="s">
        <v>6020</v>
      </c>
      <c r="C2760" s="2" t="s">
        <v>13</v>
      </c>
      <c r="D2760" s="2" t="s">
        <v>6021</v>
      </c>
      <c r="E2760" s="2" t="s">
        <v>6022</v>
      </c>
      <c r="F2760" s="2" t="s">
        <v>31</v>
      </c>
      <c r="G2760" s="2" t="s">
        <v>17</v>
      </c>
      <c r="H2760" s="2"/>
      <c r="I2760" s="2"/>
      <c r="J2760" s="2"/>
      <c r="K2760" s="2"/>
      <c r="L2760" s="2"/>
      <c r="M2760" s="2"/>
      <c r="N2760" s="2"/>
      <c r="O2760" s="2"/>
      <c r="P2760" s="2"/>
      <c r="Q2760" s="2"/>
      <c r="R2760" s="2"/>
      <c r="S2760" s="2"/>
      <c r="T2760" s="2"/>
      <c r="U2760" s="2"/>
      <c r="V2760" s="2"/>
      <c r="W2760" s="2"/>
      <c r="X2760" s="2"/>
      <c r="Y2760" s="2"/>
    </row>
    <row r="2761" spans="1:25" x14ac:dyDescent="0.2">
      <c r="A2761">
        <v>4488</v>
      </c>
      <c r="B2761" t="s">
        <v>6020</v>
      </c>
      <c r="C2761" t="s">
        <v>18</v>
      </c>
      <c r="D2761" t="s">
        <v>6021</v>
      </c>
      <c r="E2761" t="s">
        <v>5850</v>
      </c>
      <c r="F2761" t="s">
        <v>31</v>
      </c>
      <c r="G2761" t="s">
        <v>17</v>
      </c>
      <c r="H2761" t="b">
        <v>1</v>
      </c>
      <c r="K2761" t="b">
        <v>1</v>
      </c>
      <c r="L2761" t="b">
        <v>1</v>
      </c>
      <c r="M2761" t="s">
        <v>6023</v>
      </c>
      <c r="N2761" t="s">
        <v>6024</v>
      </c>
    </row>
    <row r="2762" spans="1:25" x14ac:dyDescent="0.2">
      <c r="A2762">
        <v>4489</v>
      </c>
      <c r="B2762" t="s">
        <v>6020</v>
      </c>
      <c r="C2762" t="s">
        <v>18</v>
      </c>
      <c r="D2762" t="s">
        <v>6025</v>
      </c>
      <c r="E2762" t="s">
        <v>6026</v>
      </c>
      <c r="F2762" t="s">
        <v>31</v>
      </c>
      <c r="G2762" t="s">
        <v>17</v>
      </c>
      <c r="H2762" t="b">
        <v>0</v>
      </c>
      <c r="K2762" t="b">
        <v>0</v>
      </c>
      <c r="L2762" t="b">
        <v>0</v>
      </c>
    </row>
    <row r="2763" spans="1:25" x14ac:dyDescent="0.2">
      <c r="A2763">
        <v>4490</v>
      </c>
      <c r="B2763" t="s">
        <v>6020</v>
      </c>
      <c r="C2763" t="s">
        <v>18</v>
      </c>
      <c r="D2763" t="s">
        <v>6027</v>
      </c>
      <c r="E2763" t="s">
        <v>6028</v>
      </c>
      <c r="F2763" t="s">
        <v>31</v>
      </c>
      <c r="G2763" t="s">
        <v>17</v>
      </c>
      <c r="H2763" t="b">
        <v>0</v>
      </c>
      <c r="K2763" t="b">
        <v>0</v>
      </c>
      <c r="L2763" t="b">
        <v>0</v>
      </c>
    </row>
    <row r="2764" spans="1:25" x14ac:dyDescent="0.2">
      <c r="A2764">
        <v>4491</v>
      </c>
      <c r="B2764" t="s">
        <v>6020</v>
      </c>
      <c r="C2764" t="s">
        <v>18</v>
      </c>
      <c r="D2764" t="s">
        <v>6029</v>
      </c>
      <c r="E2764" t="s">
        <v>6030</v>
      </c>
      <c r="F2764" t="s">
        <v>31</v>
      </c>
      <c r="G2764" t="s">
        <v>17</v>
      </c>
      <c r="H2764" t="b">
        <v>1</v>
      </c>
      <c r="K2764" t="b">
        <v>0</v>
      </c>
      <c r="L2764" t="b">
        <v>1</v>
      </c>
      <c r="M2764" t="s">
        <v>6031</v>
      </c>
    </row>
    <row r="2765" spans="1:25" x14ac:dyDescent="0.2">
      <c r="A2765">
        <v>4492</v>
      </c>
      <c r="B2765" t="s">
        <v>6020</v>
      </c>
      <c r="C2765" t="s">
        <v>18</v>
      </c>
      <c r="D2765" t="s">
        <v>6032</v>
      </c>
      <c r="E2765" t="s">
        <v>6033</v>
      </c>
      <c r="F2765" t="s">
        <v>31</v>
      </c>
      <c r="G2765" t="s">
        <v>17</v>
      </c>
      <c r="H2765" t="b">
        <v>1</v>
      </c>
      <c r="K2765" t="b">
        <v>0</v>
      </c>
      <c r="L2765" t="b">
        <v>1</v>
      </c>
      <c r="M2765" t="s">
        <v>6034</v>
      </c>
    </row>
    <row r="2767" spans="1:25" x14ac:dyDescent="0.2">
      <c r="A2767" s="2">
        <v>4501</v>
      </c>
      <c r="B2767" s="2" t="s">
        <v>6035</v>
      </c>
      <c r="C2767" s="2" t="s">
        <v>13</v>
      </c>
      <c r="D2767" s="2" t="s">
        <v>3173</v>
      </c>
      <c r="E2767" s="2" t="s">
        <v>6036</v>
      </c>
      <c r="F2767" s="2" t="s">
        <v>16</v>
      </c>
      <c r="G2767" s="2" t="s">
        <v>1405</v>
      </c>
      <c r="H2767" s="2"/>
      <c r="I2767" s="2"/>
      <c r="J2767" s="2"/>
      <c r="K2767" s="2"/>
      <c r="L2767" s="2"/>
      <c r="M2767" s="2"/>
      <c r="N2767" s="2"/>
      <c r="O2767" s="2"/>
      <c r="P2767" s="2"/>
      <c r="Q2767" s="2"/>
      <c r="R2767" s="2"/>
      <c r="S2767" s="2"/>
      <c r="T2767" s="2"/>
      <c r="U2767" s="2"/>
      <c r="V2767" s="2"/>
      <c r="W2767" s="2"/>
      <c r="X2767" s="2"/>
      <c r="Y2767" s="2"/>
    </row>
    <row r="2768" spans="1:25" x14ac:dyDescent="0.2">
      <c r="A2768">
        <v>4502</v>
      </c>
      <c r="B2768" t="s">
        <v>6035</v>
      </c>
      <c r="C2768" t="s">
        <v>18</v>
      </c>
      <c r="D2768" t="s">
        <v>3173</v>
      </c>
      <c r="E2768" t="s">
        <v>3174</v>
      </c>
      <c r="F2768" t="s">
        <v>16</v>
      </c>
      <c r="G2768" t="s">
        <v>1406</v>
      </c>
      <c r="H2768" t="b">
        <v>1</v>
      </c>
      <c r="I2768" t="b">
        <v>1</v>
      </c>
      <c r="L2768" t="b">
        <v>1</v>
      </c>
      <c r="M2768" t="s">
        <v>3175</v>
      </c>
      <c r="N2768" t="s">
        <v>3176</v>
      </c>
    </row>
    <row r="2769" spans="1:25" x14ac:dyDescent="0.2">
      <c r="A2769">
        <v>4503</v>
      </c>
      <c r="B2769" t="s">
        <v>6035</v>
      </c>
      <c r="C2769" t="s">
        <v>18</v>
      </c>
      <c r="D2769" t="s">
        <v>3177</v>
      </c>
      <c r="E2769" t="s">
        <v>3178</v>
      </c>
      <c r="F2769" t="s">
        <v>16</v>
      </c>
      <c r="G2769" t="s">
        <v>1406</v>
      </c>
      <c r="H2769" t="b">
        <v>0</v>
      </c>
      <c r="I2769" t="b">
        <v>0</v>
      </c>
      <c r="L2769" t="b">
        <v>0</v>
      </c>
      <c r="M2769" t="s">
        <v>3179</v>
      </c>
      <c r="N2769" t="s">
        <v>3180</v>
      </c>
    </row>
    <row r="2770" spans="1:25" x14ac:dyDescent="0.2">
      <c r="A2770">
        <v>4504</v>
      </c>
      <c r="B2770" t="s">
        <v>6035</v>
      </c>
      <c r="C2770" t="s">
        <v>18</v>
      </c>
      <c r="D2770" t="s">
        <v>3181</v>
      </c>
      <c r="E2770" t="s">
        <v>3182</v>
      </c>
      <c r="F2770" t="s">
        <v>16</v>
      </c>
      <c r="G2770" t="s">
        <v>1406</v>
      </c>
      <c r="H2770" t="b">
        <v>0</v>
      </c>
      <c r="I2770" t="b">
        <v>0</v>
      </c>
      <c r="L2770" t="b">
        <v>0</v>
      </c>
      <c r="M2770" t="s">
        <v>3183</v>
      </c>
      <c r="N2770" t="s">
        <v>3184</v>
      </c>
    </row>
    <row r="2771" spans="1:25" x14ac:dyDescent="0.2">
      <c r="A2771">
        <v>4505</v>
      </c>
      <c r="B2771" t="s">
        <v>6035</v>
      </c>
      <c r="C2771" t="s">
        <v>18</v>
      </c>
      <c r="D2771" t="s">
        <v>6037</v>
      </c>
      <c r="E2771" t="s">
        <v>6038</v>
      </c>
      <c r="F2771" t="s">
        <v>1837</v>
      </c>
      <c r="G2771" t="s">
        <v>1406</v>
      </c>
      <c r="H2771" t="b">
        <v>0</v>
      </c>
      <c r="I2771" t="b">
        <v>0</v>
      </c>
      <c r="L2771" t="b">
        <v>0</v>
      </c>
      <c r="M2771" t="s">
        <v>6039</v>
      </c>
      <c r="N2771" t="s">
        <v>6040</v>
      </c>
    </row>
    <row r="2772" spans="1:25" x14ac:dyDescent="0.2">
      <c r="A2772">
        <v>4506</v>
      </c>
      <c r="B2772" t="s">
        <v>6035</v>
      </c>
      <c r="C2772" t="s">
        <v>18</v>
      </c>
      <c r="D2772" t="s">
        <v>5252</v>
      </c>
      <c r="E2772" t="s">
        <v>5253</v>
      </c>
      <c r="F2772" t="s">
        <v>16</v>
      </c>
      <c r="G2772" t="s">
        <v>24</v>
      </c>
      <c r="H2772" t="b">
        <v>0</v>
      </c>
      <c r="I2772" t="b">
        <v>0</v>
      </c>
      <c r="L2772" t="b">
        <v>0</v>
      </c>
      <c r="M2772" t="s">
        <v>5254</v>
      </c>
      <c r="N2772" t="s">
        <v>5255</v>
      </c>
    </row>
    <row r="2774" spans="1:25" x14ac:dyDescent="0.2">
      <c r="A2774" s="2">
        <v>4508</v>
      </c>
      <c r="B2774" s="2" t="s">
        <v>6041</v>
      </c>
      <c r="C2774" s="2" t="s">
        <v>13</v>
      </c>
      <c r="D2774" s="2" t="s">
        <v>6042</v>
      </c>
      <c r="E2774" s="2" t="s">
        <v>6043</v>
      </c>
      <c r="F2774" s="2" t="s">
        <v>16</v>
      </c>
      <c r="G2774" s="2" t="s">
        <v>252</v>
      </c>
      <c r="H2774" s="2"/>
      <c r="I2774" s="2"/>
      <c r="J2774" s="2"/>
      <c r="K2774" s="2"/>
      <c r="L2774" s="2"/>
      <c r="M2774" s="2"/>
      <c r="N2774" s="2"/>
      <c r="O2774" s="2"/>
      <c r="P2774" s="2"/>
      <c r="Q2774" s="2"/>
      <c r="R2774" s="2"/>
      <c r="S2774" s="2"/>
      <c r="T2774" s="2"/>
      <c r="U2774" s="2"/>
      <c r="V2774" s="2"/>
      <c r="W2774" s="2"/>
      <c r="X2774" s="2"/>
      <c r="Y2774" s="2"/>
    </row>
    <row r="2775" spans="1:25" x14ac:dyDescent="0.2">
      <c r="A2775">
        <v>4509</v>
      </c>
      <c r="B2775" t="s">
        <v>6041</v>
      </c>
      <c r="C2775" t="s">
        <v>18</v>
      </c>
      <c r="D2775" t="s">
        <v>6042</v>
      </c>
      <c r="E2775" t="s">
        <v>6044</v>
      </c>
      <c r="F2775" t="s">
        <v>16</v>
      </c>
      <c r="G2775" t="s">
        <v>252</v>
      </c>
      <c r="H2775" t="b">
        <v>1</v>
      </c>
      <c r="I2775" t="b">
        <v>1</v>
      </c>
      <c r="L2775" t="b">
        <v>1</v>
      </c>
      <c r="M2775" t="s">
        <v>6045</v>
      </c>
    </row>
    <row r="2776" spans="1:25" x14ac:dyDescent="0.2">
      <c r="A2776">
        <v>4510</v>
      </c>
      <c r="B2776" t="s">
        <v>6041</v>
      </c>
      <c r="C2776" t="s">
        <v>18</v>
      </c>
      <c r="D2776" t="s">
        <v>5797</v>
      </c>
      <c r="E2776" t="s">
        <v>5799</v>
      </c>
      <c r="F2776" t="s">
        <v>78</v>
      </c>
      <c r="G2776" t="s">
        <v>252</v>
      </c>
      <c r="H2776" t="b">
        <v>0</v>
      </c>
      <c r="I2776" t="b">
        <v>0</v>
      </c>
      <c r="L2776" t="b">
        <v>0</v>
      </c>
      <c r="M2776" t="s">
        <v>5800</v>
      </c>
    </row>
    <row r="2777" spans="1:25" x14ac:dyDescent="0.2">
      <c r="A2777">
        <v>4511</v>
      </c>
      <c r="B2777" t="s">
        <v>6041</v>
      </c>
      <c r="C2777" t="s">
        <v>18</v>
      </c>
      <c r="D2777" t="s">
        <v>5801</v>
      </c>
      <c r="E2777" t="s">
        <v>195</v>
      </c>
      <c r="F2777" t="s">
        <v>78</v>
      </c>
      <c r="G2777" t="s">
        <v>252</v>
      </c>
      <c r="H2777" t="b">
        <v>0</v>
      </c>
      <c r="I2777" t="b">
        <v>0</v>
      </c>
      <c r="L2777" t="b">
        <v>0</v>
      </c>
      <c r="M2777" t="s">
        <v>5802</v>
      </c>
    </row>
    <row r="2778" spans="1:25" x14ac:dyDescent="0.2">
      <c r="A2778">
        <v>4512</v>
      </c>
      <c r="B2778" t="s">
        <v>6041</v>
      </c>
      <c r="C2778" t="s">
        <v>18</v>
      </c>
      <c r="D2778" t="s">
        <v>4307</v>
      </c>
      <c r="E2778" t="s">
        <v>4308</v>
      </c>
      <c r="F2778" t="s">
        <v>420</v>
      </c>
      <c r="G2778" t="s">
        <v>252</v>
      </c>
      <c r="H2778" t="b">
        <v>0</v>
      </c>
      <c r="I2778" t="b">
        <v>0</v>
      </c>
      <c r="L2778" t="b">
        <v>0</v>
      </c>
      <c r="M2778" t="s">
        <v>4309</v>
      </c>
      <c r="N2778" t="s">
        <v>4310</v>
      </c>
    </row>
    <row r="2779" spans="1:25" x14ac:dyDescent="0.2">
      <c r="A2779">
        <v>4513</v>
      </c>
      <c r="B2779" t="s">
        <v>6041</v>
      </c>
      <c r="C2779" t="s">
        <v>18</v>
      </c>
      <c r="D2779" t="s">
        <v>6046</v>
      </c>
      <c r="E2779" t="s">
        <v>2082</v>
      </c>
      <c r="F2779" t="s">
        <v>148</v>
      </c>
      <c r="G2779" t="s">
        <v>252</v>
      </c>
      <c r="H2779" t="b">
        <v>0</v>
      </c>
      <c r="I2779" t="b">
        <v>0</v>
      </c>
      <c r="L2779" t="b">
        <v>0</v>
      </c>
      <c r="M2779" t="s">
        <v>6047</v>
      </c>
    </row>
    <row r="2781" spans="1:25" x14ac:dyDescent="0.2">
      <c r="A2781" s="2">
        <v>4536</v>
      </c>
      <c r="B2781" s="2" t="s">
        <v>6048</v>
      </c>
      <c r="C2781" s="2" t="s">
        <v>13</v>
      </c>
      <c r="D2781" s="2" t="s">
        <v>309</v>
      </c>
      <c r="E2781" s="2" t="s">
        <v>310</v>
      </c>
      <c r="F2781" s="2" t="s">
        <v>151</v>
      </c>
      <c r="G2781" s="2" t="s">
        <v>17</v>
      </c>
      <c r="H2781" s="2"/>
      <c r="I2781" s="2"/>
      <c r="J2781" s="2"/>
      <c r="K2781" s="2"/>
      <c r="L2781" s="2"/>
      <c r="M2781" s="2"/>
      <c r="N2781" s="2"/>
      <c r="O2781" s="2"/>
      <c r="P2781" s="2"/>
      <c r="Q2781" s="2"/>
      <c r="R2781" s="2"/>
      <c r="S2781" s="2"/>
      <c r="T2781" s="2"/>
      <c r="U2781" s="2"/>
      <c r="V2781" s="2"/>
      <c r="W2781" s="2"/>
      <c r="X2781" s="2"/>
      <c r="Y2781" s="2"/>
    </row>
    <row r="2782" spans="1:25" x14ac:dyDescent="0.2">
      <c r="A2782">
        <v>4537</v>
      </c>
      <c r="B2782" t="s">
        <v>6048</v>
      </c>
      <c r="C2782" t="s">
        <v>18</v>
      </c>
      <c r="D2782" t="s">
        <v>309</v>
      </c>
      <c r="E2782" t="s">
        <v>310</v>
      </c>
      <c r="F2782" t="s">
        <v>151</v>
      </c>
      <c r="G2782" t="s">
        <v>17</v>
      </c>
      <c r="H2782" t="b">
        <v>1</v>
      </c>
      <c r="K2782" t="b">
        <v>1</v>
      </c>
      <c r="L2782" t="b">
        <v>1</v>
      </c>
      <c r="M2782" t="s">
        <v>6049</v>
      </c>
      <c r="N2782" t="s">
        <v>6050</v>
      </c>
    </row>
    <row r="2783" spans="1:25" x14ac:dyDescent="0.2">
      <c r="A2783">
        <v>4538</v>
      </c>
      <c r="B2783" t="s">
        <v>6048</v>
      </c>
      <c r="C2783" t="s">
        <v>18</v>
      </c>
      <c r="D2783" t="s">
        <v>6051</v>
      </c>
      <c r="E2783" t="s">
        <v>6052</v>
      </c>
      <c r="F2783" t="s">
        <v>151</v>
      </c>
      <c r="G2783" t="s">
        <v>17</v>
      </c>
      <c r="H2783" t="b">
        <v>0</v>
      </c>
      <c r="K2783" t="b">
        <v>0</v>
      </c>
      <c r="L2783" t="b">
        <v>0</v>
      </c>
    </row>
    <row r="2784" spans="1:25" x14ac:dyDescent="0.2">
      <c r="A2784">
        <v>4539</v>
      </c>
      <c r="B2784" t="s">
        <v>6048</v>
      </c>
      <c r="C2784" t="s">
        <v>18</v>
      </c>
      <c r="D2784" t="s">
        <v>307</v>
      </c>
      <c r="E2784" t="s">
        <v>308</v>
      </c>
      <c r="F2784" t="s">
        <v>151</v>
      </c>
      <c r="G2784" t="s">
        <v>17</v>
      </c>
      <c r="H2784" t="b">
        <v>0</v>
      </c>
      <c r="K2784" t="b">
        <v>0</v>
      </c>
      <c r="L2784" t="b">
        <v>0</v>
      </c>
      <c r="M2784" t="s">
        <v>6053</v>
      </c>
    </row>
    <row r="2785" spans="1:25" x14ac:dyDescent="0.2">
      <c r="A2785">
        <v>4540</v>
      </c>
      <c r="B2785" t="s">
        <v>6048</v>
      </c>
      <c r="C2785" t="s">
        <v>18</v>
      </c>
      <c r="D2785" t="s">
        <v>6054</v>
      </c>
      <c r="E2785" t="s">
        <v>6055</v>
      </c>
      <c r="F2785" t="s">
        <v>151</v>
      </c>
      <c r="G2785" t="s">
        <v>17</v>
      </c>
      <c r="H2785" t="b">
        <v>0</v>
      </c>
      <c r="K2785" t="b">
        <v>0</v>
      </c>
      <c r="L2785" t="b">
        <v>0</v>
      </c>
      <c r="M2785" t="s">
        <v>6056</v>
      </c>
      <c r="N2785" t="s">
        <v>6057</v>
      </c>
    </row>
    <row r="2786" spans="1:25" x14ac:dyDescent="0.2">
      <c r="A2786">
        <v>4541</v>
      </c>
      <c r="B2786" t="s">
        <v>6048</v>
      </c>
      <c r="C2786" t="s">
        <v>18</v>
      </c>
      <c r="D2786" t="s">
        <v>6058</v>
      </c>
      <c r="E2786" t="s">
        <v>6059</v>
      </c>
      <c r="F2786" t="s">
        <v>151</v>
      </c>
      <c r="G2786" t="s">
        <v>17</v>
      </c>
      <c r="H2786" t="b">
        <v>0</v>
      </c>
      <c r="K2786" t="b">
        <v>0</v>
      </c>
      <c r="L2786" t="b">
        <v>0</v>
      </c>
    </row>
    <row r="2788" spans="1:25" x14ac:dyDescent="0.2">
      <c r="A2788" s="2">
        <v>4557</v>
      </c>
      <c r="B2788" s="2" t="s">
        <v>6060</v>
      </c>
      <c r="C2788" s="2" t="s">
        <v>13</v>
      </c>
      <c r="D2788" s="2" t="s">
        <v>6061</v>
      </c>
      <c r="E2788" s="2" t="s">
        <v>6062</v>
      </c>
      <c r="F2788" s="2" t="s">
        <v>260</v>
      </c>
      <c r="G2788" s="2" t="s">
        <v>345</v>
      </c>
      <c r="H2788" s="2"/>
      <c r="I2788" s="2"/>
      <c r="J2788" s="2"/>
      <c r="K2788" s="2"/>
      <c r="L2788" s="2"/>
      <c r="M2788" s="2"/>
      <c r="N2788" s="2"/>
      <c r="O2788" s="2"/>
      <c r="P2788" s="2"/>
      <c r="Q2788" s="2"/>
      <c r="R2788" s="2"/>
      <c r="S2788" s="2"/>
      <c r="T2788" s="2"/>
      <c r="U2788" s="2"/>
      <c r="V2788" s="2"/>
      <c r="W2788" s="2"/>
      <c r="X2788" s="2"/>
      <c r="Y2788" s="2"/>
    </row>
    <row r="2789" spans="1:25" x14ac:dyDescent="0.2">
      <c r="A2789">
        <v>4558</v>
      </c>
      <c r="B2789" t="s">
        <v>6060</v>
      </c>
      <c r="C2789" t="s">
        <v>18</v>
      </c>
      <c r="D2789" t="s">
        <v>6063</v>
      </c>
      <c r="E2789" t="s">
        <v>6064</v>
      </c>
      <c r="F2789" t="s">
        <v>159</v>
      </c>
      <c r="G2789" t="s">
        <v>345</v>
      </c>
      <c r="H2789" t="b">
        <v>1</v>
      </c>
      <c r="K2789" t="b">
        <v>1</v>
      </c>
      <c r="L2789" t="b">
        <v>1</v>
      </c>
      <c r="M2789" t="s">
        <v>6065</v>
      </c>
      <c r="N2789" t="s">
        <v>6066</v>
      </c>
    </row>
    <row r="2790" spans="1:25" x14ac:dyDescent="0.2">
      <c r="A2790">
        <v>4559</v>
      </c>
      <c r="B2790" t="s">
        <v>6060</v>
      </c>
      <c r="C2790" t="s">
        <v>18</v>
      </c>
      <c r="D2790" t="s">
        <v>6061</v>
      </c>
      <c r="E2790" t="s">
        <v>5404</v>
      </c>
      <c r="F2790" t="s">
        <v>159</v>
      </c>
      <c r="G2790" t="s">
        <v>345</v>
      </c>
      <c r="H2790" t="b">
        <v>1</v>
      </c>
      <c r="K2790" t="b">
        <v>1</v>
      </c>
      <c r="L2790" t="b">
        <v>1</v>
      </c>
      <c r="M2790" t="s">
        <v>6067</v>
      </c>
      <c r="N2790" t="s">
        <v>6068</v>
      </c>
    </row>
    <row r="2791" spans="1:25" x14ac:dyDescent="0.2">
      <c r="A2791">
        <v>4560</v>
      </c>
      <c r="B2791" t="s">
        <v>6060</v>
      </c>
      <c r="C2791" t="s">
        <v>18</v>
      </c>
      <c r="D2791" t="s">
        <v>6069</v>
      </c>
      <c r="E2791" t="s">
        <v>3531</v>
      </c>
      <c r="F2791" t="s">
        <v>260</v>
      </c>
      <c r="G2791" t="s">
        <v>32</v>
      </c>
      <c r="H2791" t="b">
        <v>0</v>
      </c>
      <c r="K2791" t="b">
        <v>0</v>
      </c>
      <c r="L2791" t="b">
        <v>0</v>
      </c>
    </row>
    <row r="2792" spans="1:25" x14ac:dyDescent="0.2">
      <c r="A2792">
        <v>4561</v>
      </c>
      <c r="B2792" t="s">
        <v>6060</v>
      </c>
      <c r="C2792" t="s">
        <v>18</v>
      </c>
      <c r="D2792" t="s">
        <v>6070</v>
      </c>
      <c r="E2792" t="s">
        <v>1181</v>
      </c>
      <c r="F2792" t="s">
        <v>78</v>
      </c>
      <c r="G2792" t="s">
        <v>345</v>
      </c>
      <c r="H2792" t="b">
        <v>0</v>
      </c>
      <c r="K2792" t="b">
        <v>0</v>
      </c>
      <c r="L2792" t="b">
        <v>0</v>
      </c>
      <c r="M2792" t="s">
        <v>6071</v>
      </c>
      <c r="N2792" t="s">
        <v>6072</v>
      </c>
    </row>
    <row r="2793" spans="1:25" x14ac:dyDescent="0.2">
      <c r="A2793">
        <v>4562</v>
      </c>
      <c r="B2793" t="s">
        <v>6060</v>
      </c>
      <c r="C2793" t="s">
        <v>18</v>
      </c>
      <c r="D2793" t="s">
        <v>1397</v>
      </c>
      <c r="E2793" t="s">
        <v>1398</v>
      </c>
      <c r="F2793" t="s">
        <v>151</v>
      </c>
      <c r="G2793" t="s">
        <v>24</v>
      </c>
      <c r="H2793" t="b">
        <v>0</v>
      </c>
      <c r="K2793" t="b">
        <v>0</v>
      </c>
      <c r="L2793" t="b">
        <v>0</v>
      </c>
      <c r="M2793" t="s">
        <v>1399</v>
      </c>
      <c r="N2793" t="s">
        <v>1400</v>
      </c>
    </row>
    <row r="2795" spans="1:25" x14ac:dyDescent="0.2">
      <c r="A2795" s="2">
        <v>4571</v>
      </c>
      <c r="B2795" s="2" t="s">
        <v>6073</v>
      </c>
      <c r="C2795" s="2" t="s">
        <v>13</v>
      </c>
      <c r="D2795" s="2" t="s">
        <v>6074</v>
      </c>
      <c r="E2795" s="2" t="s">
        <v>6075</v>
      </c>
      <c r="F2795" s="2" t="s">
        <v>23</v>
      </c>
      <c r="G2795" s="2" t="s">
        <v>17</v>
      </c>
      <c r="H2795" s="2"/>
      <c r="I2795" s="2"/>
      <c r="J2795" s="2"/>
      <c r="K2795" s="2"/>
      <c r="L2795" s="2"/>
      <c r="M2795" s="2"/>
      <c r="N2795" s="2"/>
      <c r="O2795" s="2"/>
      <c r="P2795" s="2"/>
      <c r="Q2795" s="2"/>
      <c r="R2795" s="2"/>
      <c r="S2795" s="2"/>
      <c r="T2795" s="2"/>
      <c r="U2795" s="2"/>
      <c r="V2795" s="2"/>
      <c r="W2795" s="2"/>
      <c r="X2795" s="2"/>
      <c r="Y2795" s="2"/>
    </row>
    <row r="2796" spans="1:25" x14ac:dyDescent="0.2">
      <c r="A2796">
        <v>4572</v>
      </c>
      <c r="B2796" t="s">
        <v>6073</v>
      </c>
      <c r="C2796" t="s">
        <v>18</v>
      </c>
      <c r="D2796" t="s">
        <v>6074</v>
      </c>
      <c r="E2796" t="s">
        <v>384</v>
      </c>
      <c r="F2796" t="s">
        <v>23</v>
      </c>
      <c r="G2796" t="s">
        <v>17</v>
      </c>
      <c r="H2796" t="b">
        <v>1</v>
      </c>
      <c r="I2796" t="b">
        <v>1</v>
      </c>
      <c r="L2796" t="b">
        <v>1</v>
      </c>
      <c r="M2796" t="s">
        <v>6076</v>
      </c>
    </row>
    <row r="2797" spans="1:25" x14ac:dyDescent="0.2">
      <c r="A2797">
        <v>4573</v>
      </c>
      <c r="B2797" t="s">
        <v>6073</v>
      </c>
      <c r="C2797" t="s">
        <v>18</v>
      </c>
      <c r="D2797" t="s">
        <v>1966</v>
      </c>
      <c r="E2797" t="s">
        <v>297</v>
      </c>
      <c r="F2797" t="s">
        <v>23</v>
      </c>
      <c r="G2797" t="s">
        <v>17</v>
      </c>
      <c r="H2797" t="b">
        <v>1</v>
      </c>
      <c r="I2797" t="b">
        <v>1</v>
      </c>
      <c r="L2797" t="b">
        <v>1</v>
      </c>
      <c r="M2797" t="s">
        <v>1967</v>
      </c>
      <c r="N2797" t="s">
        <v>1968</v>
      </c>
    </row>
    <row r="2798" spans="1:25" x14ac:dyDescent="0.2">
      <c r="A2798">
        <v>4574</v>
      </c>
      <c r="B2798" t="s">
        <v>6073</v>
      </c>
      <c r="C2798" t="s">
        <v>18</v>
      </c>
      <c r="D2798" t="s">
        <v>1973</v>
      </c>
      <c r="E2798" t="s">
        <v>1974</v>
      </c>
      <c r="F2798" t="s">
        <v>168</v>
      </c>
      <c r="G2798" t="s">
        <v>17</v>
      </c>
      <c r="H2798" t="b">
        <v>0</v>
      </c>
      <c r="I2798" t="b">
        <v>0</v>
      </c>
      <c r="L2798" t="b">
        <v>0</v>
      </c>
      <c r="M2798" t="s">
        <v>1975</v>
      </c>
      <c r="N2798" t="s">
        <v>1976</v>
      </c>
      <c r="O2798" t="s">
        <v>1977</v>
      </c>
      <c r="P2798" t="s">
        <v>1978</v>
      </c>
    </row>
    <row r="2799" spans="1:25" x14ac:dyDescent="0.2">
      <c r="A2799">
        <v>4575</v>
      </c>
      <c r="B2799" t="s">
        <v>6073</v>
      </c>
      <c r="C2799" t="s">
        <v>18</v>
      </c>
      <c r="D2799" t="s">
        <v>984</v>
      </c>
      <c r="E2799" t="s">
        <v>985</v>
      </c>
      <c r="F2799" t="s">
        <v>159</v>
      </c>
      <c r="G2799" t="s">
        <v>17</v>
      </c>
      <c r="H2799" t="b">
        <v>0</v>
      </c>
      <c r="I2799" t="b">
        <v>0</v>
      </c>
      <c r="L2799" t="b">
        <v>0</v>
      </c>
      <c r="M2799" t="s">
        <v>986</v>
      </c>
      <c r="N2799" t="s">
        <v>987</v>
      </c>
    </row>
    <row r="2800" spans="1:25" x14ac:dyDescent="0.2">
      <c r="A2800">
        <v>4576</v>
      </c>
      <c r="B2800" t="s">
        <v>6073</v>
      </c>
      <c r="C2800" t="s">
        <v>18</v>
      </c>
      <c r="D2800" t="s">
        <v>6077</v>
      </c>
      <c r="E2800" t="s">
        <v>935</v>
      </c>
      <c r="F2800" t="s">
        <v>174</v>
      </c>
      <c r="G2800" t="s">
        <v>17</v>
      </c>
      <c r="H2800" t="b">
        <v>0</v>
      </c>
      <c r="I2800" t="b">
        <v>0</v>
      </c>
      <c r="L2800" t="b">
        <v>0</v>
      </c>
      <c r="M2800" t="s">
        <v>6078</v>
      </c>
      <c r="N2800" t="s">
        <v>6079</v>
      </c>
    </row>
    <row r="2802" spans="1:25" x14ac:dyDescent="0.2">
      <c r="A2802" s="2">
        <v>4627</v>
      </c>
      <c r="B2802" s="2" t="s">
        <v>6080</v>
      </c>
      <c r="C2802" s="2" t="s">
        <v>13</v>
      </c>
      <c r="D2802" s="2" t="s">
        <v>6081</v>
      </c>
      <c r="E2802" s="2" t="s">
        <v>6082</v>
      </c>
      <c r="F2802" s="2" t="s">
        <v>20</v>
      </c>
      <c r="G2802" s="2" t="s">
        <v>17</v>
      </c>
      <c r="H2802" s="2"/>
      <c r="I2802" s="2"/>
      <c r="J2802" s="2"/>
      <c r="K2802" s="2"/>
      <c r="L2802" s="2"/>
      <c r="M2802" s="2"/>
      <c r="N2802" s="2"/>
      <c r="O2802" s="2"/>
      <c r="P2802" s="2"/>
      <c r="Q2802" s="2"/>
      <c r="R2802" s="2"/>
      <c r="S2802" s="2"/>
      <c r="T2802" s="2"/>
      <c r="U2802" s="2"/>
      <c r="V2802" s="2"/>
      <c r="W2802" s="2"/>
      <c r="X2802" s="2"/>
      <c r="Y2802" s="2"/>
    </row>
    <row r="2803" spans="1:25" x14ac:dyDescent="0.2">
      <c r="A2803">
        <v>4628</v>
      </c>
      <c r="B2803" t="s">
        <v>6080</v>
      </c>
      <c r="C2803" t="s">
        <v>18</v>
      </c>
      <c r="D2803" t="s">
        <v>6081</v>
      </c>
      <c r="E2803" t="s">
        <v>6082</v>
      </c>
      <c r="F2803" t="s">
        <v>20</v>
      </c>
      <c r="G2803" t="s">
        <v>17</v>
      </c>
      <c r="H2803" t="b">
        <v>1</v>
      </c>
      <c r="I2803" t="b">
        <v>1</v>
      </c>
      <c r="L2803" t="b">
        <v>1</v>
      </c>
      <c r="M2803" t="s">
        <v>6083</v>
      </c>
      <c r="N2803" t="s">
        <v>6084</v>
      </c>
    </row>
    <row r="2804" spans="1:25" x14ac:dyDescent="0.2">
      <c r="A2804">
        <v>4629</v>
      </c>
      <c r="B2804" t="s">
        <v>6080</v>
      </c>
      <c r="C2804" t="s">
        <v>18</v>
      </c>
      <c r="D2804" t="s">
        <v>6085</v>
      </c>
      <c r="E2804" t="s">
        <v>6086</v>
      </c>
      <c r="F2804" t="s">
        <v>20</v>
      </c>
      <c r="G2804" t="s">
        <v>17</v>
      </c>
      <c r="H2804" t="b">
        <v>0</v>
      </c>
      <c r="I2804" t="b">
        <v>0</v>
      </c>
      <c r="L2804" t="b">
        <v>0</v>
      </c>
    </row>
    <row r="2805" spans="1:25" x14ac:dyDescent="0.2">
      <c r="A2805">
        <v>4630</v>
      </c>
      <c r="B2805" t="s">
        <v>6080</v>
      </c>
      <c r="C2805" t="s">
        <v>18</v>
      </c>
      <c r="D2805" t="s">
        <v>6087</v>
      </c>
      <c r="E2805" t="s">
        <v>6088</v>
      </c>
      <c r="F2805" t="s">
        <v>6089</v>
      </c>
      <c r="G2805" t="s">
        <v>17</v>
      </c>
      <c r="H2805" t="b">
        <v>0</v>
      </c>
      <c r="I2805" t="b">
        <v>0</v>
      </c>
      <c r="L2805" t="b">
        <v>0</v>
      </c>
      <c r="M2805" t="s">
        <v>6090</v>
      </c>
      <c r="N2805" t="s">
        <v>6091</v>
      </c>
    </row>
    <row r="2806" spans="1:25" x14ac:dyDescent="0.2">
      <c r="A2806">
        <v>4631</v>
      </c>
      <c r="B2806" t="s">
        <v>6080</v>
      </c>
      <c r="C2806" t="s">
        <v>18</v>
      </c>
      <c r="D2806" t="s">
        <v>6092</v>
      </c>
      <c r="E2806" t="s">
        <v>392</v>
      </c>
      <c r="F2806" t="s">
        <v>20</v>
      </c>
      <c r="G2806" t="s">
        <v>17</v>
      </c>
      <c r="H2806" t="b">
        <v>0</v>
      </c>
      <c r="I2806" t="b">
        <v>0</v>
      </c>
      <c r="L2806" t="b">
        <v>0</v>
      </c>
    </row>
    <row r="2807" spans="1:25" x14ac:dyDescent="0.2">
      <c r="A2807">
        <v>4632</v>
      </c>
      <c r="B2807" t="s">
        <v>6080</v>
      </c>
      <c r="C2807" t="s">
        <v>18</v>
      </c>
      <c r="D2807" t="s">
        <v>6093</v>
      </c>
      <c r="E2807" t="s">
        <v>6094</v>
      </c>
      <c r="F2807" t="s">
        <v>20</v>
      </c>
      <c r="G2807" t="s">
        <v>17</v>
      </c>
      <c r="H2807" t="b">
        <v>0</v>
      </c>
      <c r="I2807" t="b">
        <v>0</v>
      </c>
      <c r="L2807" t="b">
        <v>0</v>
      </c>
      <c r="M2807" t="s">
        <v>6095</v>
      </c>
      <c r="N2807" t="s">
        <v>6096</v>
      </c>
    </row>
    <row r="2809" spans="1:25" x14ac:dyDescent="0.2">
      <c r="A2809" s="2">
        <v>4676</v>
      </c>
      <c r="B2809" s="2" t="s">
        <v>6097</v>
      </c>
      <c r="C2809" s="2" t="s">
        <v>13</v>
      </c>
      <c r="D2809" s="2" t="s">
        <v>6098</v>
      </c>
      <c r="E2809" s="2" t="s">
        <v>6099</v>
      </c>
      <c r="F2809" s="2" t="s">
        <v>2924</v>
      </c>
      <c r="G2809" s="2" t="s">
        <v>17</v>
      </c>
      <c r="H2809" s="2"/>
      <c r="I2809" s="2"/>
      <c r="J2809" s="2"/>
      <c r="K2809" s="2"/>
      <c r="L2809" s="2"/>
      <c r="M2809" s="2"/>
      <c r="N2809" s="2"/>
      <c r="O2809" s="2"/>
      <c r="P2809" s="2"/>
      <c r="Q2809" s="2"/>
      <c r="R2809" s="2"/>
      <c r="S2809" s="2"/>
      <c r="T2809" s="2"/>
      <c r="U2809" s="2"/>
      <c r="V2809" s="2"/>
      <c r="W2809" s="2"/>
      <c r="X2809" s="2"/>
      <c r="Y2809" s="2"/>
    </row>
    <row r="2810" spans="1:25" x14ac:dyDescent="0.2">
      <c r="A2810">
        <v>4677</v>
      </c>
      <c r="B2810" t="s">
        <v>6097</v>
      </c>
      <c r="C2810" t="s">
        <v>18</v>
      </c>
      <c r="D2810" t="s">
        <v>6098</v>
      </c>
      <c r="E2810" t="s">
        <v>6099</v>
      </c>
      <c r="F2810" t="s">
        <v>82</v>
      </c>
      <c r="G2810" t="s">
        <v>17</v>
      </c>
      <c r="H2810" t="b">
        <v>1</v>
      </c>
      <c r="K2810" t="b">
        <v>1</v>
      </c>
      <c r="L2810" t="b">
        <v>1</v>
      </c>
      <c r="M2810" t="s">
        <v>6100</v>
      </c>
      <c r="N2810" t="s">
        <v>6101</v>
      </c>
    </row>
    <row r="2811" spans="1:25" x14ac:dyDescent="0.2">
      <c r="A2811">
        <v>4678</v>
      </c>
      <c r="B2811" t="s">
        <v>6097</v>
      </c>
      <c r="C2811" t="s">
        <v>18</v>
      </c>
      <c r="D2811" t="s">
        <v>6102</v>
      </c>
      <c r="E2811" t="s">
        <v>3685</v>
      </c>
      <c r="F2811" t="s">
        <v>31</v>
      </c>
      <c r="G2811" t="s">
        <v>17</v>
      </c>
      <c r="H2811" t="b">
        <v>0</v>
      </c>
      <c r="K2811" t="b">
        <v>0</v>
      </c>
      <c r="L2811" t="b">
        <v>0</v>
      </c>
      <c r="M2811" t="s">
        <v>6103</v>
      </c>
    </row>
    <row r="2812" spans="1:25" x14ac:dyDescent="0.2">
      <c r="A2812">
        <v>4679</v>
      </c>
      <c r="B2812" t="s">
        <v>6097</v>
      </c>
      <c r="C2812" t="s">
        <v>18</v>
      </c>
      <c r="D2812" t="s">
        <v>6104</v>
      </c>
      <c r="E2812" t="s">
        <v>6105</v>
      </c>
      <c r="F2812" t="s">
        <v>78</v>
      </c>
      <c r="G2812" t="s">
        <v>279</v>
      </c>
      <c r="H2812" t="b">
        <v>0</v>
      </c>
      <c r="K2812" t="b">
        <v>0</v>
      </c>
      <c r="L2812" t="b">
        <v>0</v>
      </c>
      <c r="M2812" t="s">
        <v>6106</v>
      </c>
      <c r="N2812" t="s">
        <v>6107</v>
      </c>
    </row>
    <row r="2813" spans="1:25" x14ac:dyDescent="0.2">
      <c r="A2813">
        <v>4680</v>
      </c>
      <c r="B2813" t="s">
        <v>6097</v>
      </c>
      <c r="C2813" t="s">
        <v>18</v>
      </c>
      <c r="D2813" t="s">
        <v>6108</v>
      </c>
      <c r="E2813" t="s">
        <v>6109</v>
      </c>
      <c r="F2813" t="s">
        <v>31</v>
      </c>
      <c r="G2813" t="s">
        <v>17</v>
      </c>
      <c r="H2813" t="b">
        <v>0</v>
      </c>
      <c r="K2813" t="b">
        <v>0</v>
      </c>
      <c r="L2813" t="b">
        <v>0</v>
      </c>
      <c r="M2813" t="s">
        <v>6110</v>
      </c>
    </row>
    <row r="2814" spans="1:25" x14ac:dyDescent="0.2">
      <c r="A2814">
        <v>4681</v>
      </c>
      <c r="B2814" t="s">
        <v>6097</v>
      </c>
      <c r="C2814" t="s">
        <v>18</v>
      </c>
      <c r="D2814" t="s">
        <v>6111</v>
      </c>
      <c r="E2814" t="s">
        <v>6112</v>
      </c>
      <c r="F2814" t="s">
        <v>82</v>
      </c>
      <c r="G2814" t="s">
        <v>638</v>
      </c>
      <c r="H2814" t="b">
        <v>0</v>
      </c>
      <c r="K2814" t="b">
        <v>0</v>
      </c>
      <c r="L2814" t="b">
        <v>0</v>
      </c>
      <c r="M2814" t="s">
        <v>6113</v>
      </c>
      <c r="N2814" t="s">
        <v>6114</v>
      </c>
    </row>
    <row r="2816" spans="1:25" x14ac:dyDescent="0.2">
      <c r="A2816" s="2">
        <v>4690</v>
      </c>
      <c r="B2816" s="2" t="s">
        <v>6115</v>
      </c>
      <c r="C2816" s="2" t="s">
        <v>13</v>
      </c>
      <c r="D2816" s="2" t="s">
        <v>6116</v>
      </c>
      <c r="E2816" s="2" t="s">
        <v>6117</v>
      </c>
      <c r="F2816" s="2" t="s">
        <v>159</v>
      </c>
      <c r="G2816" s="2" t="s">
        <v>193</v>
      </c>
      <c r="H2816" s="2"/>
      <c r="I2816" s="2"/>
      <c r="J2816" s="2"/>
      <c r="K2816" s="2"/>
      <c r="L2816" s="2"/>
      <c r="M2816" s="2"/>
      <c r="N2816" s="2"/>
      <c r="O2816" s="2"/>
      <c r="P2816" s="2"/>
      <c r="Q2816" s="2"/>
      <c r="R2816" s="2"/>
      <c r="S2816" s="2"/>
      <c r="T2816" s="2"/>
      <c r="U2816" s="2"/>
      <c r="V2816" s="2"/>
      <c r="W2816" s="2"/>
      <c r="X2816" s="2"/>
      <c r="Y2816" s="2"/>
    </row>
    <row r="2817" spans="1:25" x14ac:dyDescent="0.2">
      <c r="A2817">
        <v>4691</v>
      </c>
      <c r="B2817" t="s">
        <v>6115</v>
      </c>
      <c r="C2817" t="s">
        <v>18</v>
      </c>
      <c r="D2817" t="s">
        <v>6116</v>
      </c>
      <c r="E2817" t="s">
        <v>6117</v>
      </c>
      <c r="F2817" t="s">
        <v>159</v>
      </c>
      <c r="G2817" t="s">
        <v>193</v>
      </c>
      <c r="H2817" t="b">
        <v>1</v>
      </c>
      <c r="K2817" t="b">
        <v>1</v>
      </c>
      <c r="L2817" t="b">
        <v>1</v>
      </c>
      <c r="M2817" t="s">
        <v>6118</v>
      </c>
      <c r="N2817" t="s">
        <v>6119</v>
      </c>
    </row>
    <row r="2818" spans="1:25" x14ac:dyDescent="0.2">
      <c r="A2818">
        <v>4692</v>
      </c>
      <c r="B2818" t="s">
        <v>6115</v>
      </c>
      <c r="C2818" t="s">
        <v>18</v>
      </c>
      <c r="D2818" t="s">
        <v>6120</v>
      </c>
      <c r="E2818" t="s">
        <v>6121</v>
      </c>
      <c r="F2818" t="s">
        <v>82</v>
      </c>
      <c r="G2818" t="s">
        <v>193</v>
      </c>
      <c r="H2818" t="b">
        <v>0</v>
      </c>
      <c r="K2818" t="b">
        <v>0</v>
      </c>
      <c r="L2818" t="b">
        <v>0</v>
      </c>
    </row>
    <row r="2819" spans="1:25" x14ac:dyDescent="0.2">
      <c r="A2819">
        <v>4693</v>
      </c>
      <c r="B2819" t="s">
        <v>6115</v>
      </c>
      <c r="C2819" t="s">
        <v>18</v>
      </c>
      <c r="D2819" t="s">
        <v>564</v>
      </c>
      <c r="E2819" t="s">
        <v>565</v>
      </c>
      <c r="F2819" t="s">
        <v>566</v>
      </c>
      <c r="G2819" t="s">
        <v>193</v>
      </c>
      <c r="H2819" t="b">
        <v>0</v>
      </c>
      <c r="K2819" t="b">
        <v>0</v>
      </c>
      <c r="L2819" t="b">
        <v>0</v>
      </c>
      <c r="M2819" t="s">
        <v>567</v>
      </c>
      <c r="N2819" t="s">
        <v>568</v>
      </c>
    </row>
    <row r="2820" spans="1:25" x14ac:dyDescent="0.2">
      <c r="A2820">
        <v>4694</v>
      </c>
      <c r="B2820" t="s">
        <v>6115</v>
      </c>
      <c r="C2820" t="s">
        <v>18</v>
      </c>
      <c r="D2820" t="s">
        <v>6122</v>
      </c>
      <c r="E2820" t="s">
        <v>6123</v>
      </c>
      <c r="F2820" t="s">
        <v>82</v>
      </c>
      <c r="G2820" t="s">
        <v>17</v>
      </c>
      <c r="H2820" t="b">
        <v>0</v>
      </c>
      <c r="K2820" t="b">
        <v>0</v>
      </c>
      <c r="L2820" t="b">
        <v>0</v>
      </c>
    </row>
    <row r="2821" spans="1:25" x14ac:dyDescent="0.2">
      <c r="A2821">
        <v>4695</v>
      </c>
      <c r="B2821" t="s">
        <v>6115</v>
      </c>
      <c r="C2821" t="s">
        <v>18</v>
      </c>
      <c r="D2821" t="s">
        <v>6124</v>
      </c>
      <c r="E2821" t="s">
        <v>6125</v>
      </c>
      <c r="F2821" t="s">
        <v>82</v>
      </c>
      <c r="G2821" t="s">
        <v>193</v>
      </c>
      <c r="H2821" t="b">
        <v>0</v>
      </c>
      <c r="K2821" t="b">
        <v>0</v>
      </c>
      <c r="L2821" t="b">
        <v>0</v>
      </c>
    </row>
    <row r="2823" spans="1:25" x14ac:dyDescent="0.2">
      <c r="A2823" s="2">
        <v>4704</v>
      </c>
      <c r="B2823" s="2" t="s">
        <v>6126</v>
      </c>
      <c r="C2823" s="2" t="s">
        <v>13</v>
      </c>
      <c r="D2823" s="2" t="s">
        <v>6127</v>
      </c>
      <c r="E2823" s="2" t="s">
        <v>6128</v>
      </c>
      <c r="F2823" s="2" t="s">
        <v>420</v>
      </c>
      <c r="G2823" s="2" t="s">
        <v>280</v>
      </c>
      <c r="H2823" s="2"/>
      <c r="I2823" s="2"/>
      <c r="J2823" s="2"/>
      <c r="K2823" s="2"/>
      <c r="L2823" s="2"/>
      <c r="M2823" s="2"/>
      <c r="N2823" s="2"/>
      <c r="O2823" s="2"/>
      <c r="P2823" s="2"/>
      <c r="Q2823" s="2"/>
      <c r="R2823" s="2"/>
      <c r="S2823" s="2"/>
      <c r="T2823" s="2"/>
      <c r="U2823" s="2"/>
      <c r="V2823" s="2"/>
      <c r="W2823" s="2"/>
      <c r="X2823" s="2"/>
      <c r="Y2823" s="2"/>
    </row>
    <row r="2824" spans="1:25" x14ac:dyDescent="0.2">
      <c r="A2824">
        <v>4705</v>
      </c>
      <c r="B2824" t="s">
        <v>6126</v>
      </c>
      <c r="C2824" t="s">
        <v>18</v>
      </c>
      <c r="D2824" t="s">
        <v>6127</v>
      </c>
      <c r="E2824" t="s">
        <v>2338</v>
      </c>
      <c r="F2824" t="s">
        <v>420</v>
      </c>
      <c r="G2824" t="s">
        <v>280</v>
      </c>
      <c r="H2824" t="b">
        <v>1</v>
      </c>
      <c r="I2824" t="b">
        <v>1</v>
      </c>
      <c r="L2824" t="b">
        <v>1</v>
      </c>
      <c r="M2824" t="s">
        <v>6129</v>
      </c>
      <c r="N2824" t="s">
        <v>6130</v>
      </c>
    </row>
    <row r="2825" spans="1:25" x14ac:dyDescent="0.2">
      <c r="A2825">
        <v>4706</v>
      </c>
      <c r="B2825" t="s">
        <v>6126</v>
      </c>
      <c r="C2825" t="s">
        <v>18</v>
      </c>
      <c r="D2825" t="s">
        <v>6131</v>
      </c>
      <c r="E2825" t="s">
        <v>3000</v>
      </c>
      <c r="F2825" t="s">
        <v>420</v>
      </c>
      <c r="G2825" t="s">
        <v>280</v>
      </c>
      <c r="H2825" t="b">
        <v>1</v>
      </c>
      <c r="I2825" t="b">
        <v>1</v>
      </c>
      <c r="L2825" t="b">
        <v>1</v>
      </c>
      <c r="M2825" t="s">
        <v>6132</v>
      </c>
      <c r="N2825" t="s">
        <v>6133</v>
      </c>
    </row>
    <row r="2826" spans="1:25" x14ac:dyDescent="0.2">
      <c r="A2826">
        <v>4707</v>
      </c>
      <c r="B2826" t="s">
        <v>6126</v>
      </c>
      <c r="C2826" t="s">
        <v>18</v>
      </c>
      <c r="D2826" t="s">
        <v>6134</v>
      </c>
      <c r="E2826" t="s">
        <v>6135</v>
      </c>
      <c r="F2826" t="s">
        <v>23</v>
      </c>
      <c r="G2826" t="s">
        <v>280</v>
      </c>
      <c r="H2826" t="b">
        <v>0</v>
      </c>
      <c r="I2826" t="b">
        <v>0</v>
      </c>
      <c r="L2826" t="b">
        <v>0</v>
      </c>
    </row>
    <row r="2827" spans="1:25" x14ac:dyDescent="0.2">
      <c r="A2827">
        <v>4708</v>
      </c>
      <c r="B2827" t="s">
        <v>6126</v>
      </c>
      <c r="C2827" t="s">
        <v>18</v>
      </c>
      <c r="D2827" t="s">
        <v>6136</v>
      </c>
      <c r="E2827" t="s">
        <v>6137</v>
      </c>
      <c r="F2827" t="s">
        <v>420</v>
      </c>
      <c r="G2827" t="s">
        <v>280</v>
      </c>
      <c r="H2827" t="b">
        <v>0</v>
      </c>
      <c r="I2827" t="b">
        <v>0</v>
      </c>
      <c r="L2827" t="b">
        <v>0</v>
      </c>
      <c r="M2827" t="s">
        <v>6138</v>
      </c>
      <c r="N2827" t="s">
        <v>6139</v>
      </c>
    </row>
    <row r="2828" spans="1:25" x14ac:dyDescent="0.2">
      <c r="A2828">
        <v>4709</v>
      </c>
      <c r="B2828" t="s">
        <v>6126</v>
      </c>
      <c r="C2828" t="s">
        <v>18</v>
      </c>
      <c r="D2828" t="s">
        <v>1934</v>
      </c>
      <c r="E2828" t="s">
        <v>1935</v>
      </c>
      <c r="F2828" t="s">
        <v>205</v>
      </c>
      <c r="G2828" t="s">
        <v>280</v>
      </c>
      <c r="H2828" t="b">
        <v>0</v>
      </c>
      <c r="I2828" t="b">
        <v>0</v>
      </c>
      <c r="L2828" t="b">
        <v>0</v>
      </c>
    </row>
    <row r="2830" spans="1:25" x14ac:dyDescent="0.2">
      <c r="A2830" s="2">
        <v>4711</v>
      </c>
      <c r="B2830" s="2" t="s">
        <v>6140</v>
      </c>
      <c r="C2830" s="2" t="s">
        <v>13</v>
      </c>
      <c r="D2830" s="2" t="s">
        <v>3329</v>
      </c>
      <c r="E2830" s="2" t="s">
        <v>3330</v>
      </c>
      <c r="F2830" s="2" t="s">
        <v>78</v>
      </c>
      <c r="G2830" s="2" t="s">
        <v>280</v>
      </c>
      <c r="H2830" s="2"/>
      <c r="I2830" s="2"/>
      <c r="J2830" s="2"/>
      <c r="K2830" s="2"/>
      <c r="L2830" s="2"/>
      <c r="M2830" s="2"/>
      <c r="N2830" s="2"/>
      <c r="O2830" s="2"/>
      <c r="P2830" s="2"/>
      <c r="Q2830" s="2"/>
      <c r="R2830" s="2"/>
      <c r="S2830" s="2"/>
      <c r="T2830" s="2"/>
      <c r="U2830" s="2"/>
      <c r="V2830" s="2"/>
      <c r="W2830" s="2"/>
      <c r="X2830" s="2"/>
      <c r="Y2830" s="2"/>
    </row>
    <row r="2831" spans="1:25" x14ac:dyDescent="0.2">
      <c r="A2831">
        <v>4712</v>
      </c>
      <c r="B2831" t="s">
        <v>6140</v>
      </c>
      <c r="C2831" t="s">
        <v>18</v>
      </c>
      <c r="D2831" t="s">
        <v>3329</v>
      </c>
      <c r="E2831" t="s">
        <v>3330</v>
      </c>
      <c r="F2831" t="s">
        <v>78</v>
      </c>
      <c r="G2831" t="s">
        <v>280</v>
      </c>
      <c r="H2831" t="b">
        <v>1</v>
      </c>
      <c r="I2831" t="b">
        <v>1</v>
      </c>
      <c r="L2831" t="b">
        <v>1</v>
      </c>
      <c r="M2831" t="s">
        <v>3331</v>
      </c>
      <c r="N2831" t="s">
        <v>3332</v>
      </c>
      <c r="O2831" t="s">
        <v>3333</v>
      </c>
      <c r="P2831" t="s">
        <v>3334</v>
      </c>
    </row>
    <row r="2832" spans="1:25" x14ac:dyDescent="0.2">
      <c r="A2832">
        <v>4713</v>
      </c>
      <c r="B2832" t="s">
        <v>6140</v>
      </c>
      <c r="C2832" t="s">
        <v>18</v>
      </c>
      <c r="D2832" t="s">
        <v>5239</v>
      </c>
      <c r="E2832" t="s">
        <v>643</v>
      </c>
      <c r="F2832" t="s">
        <v>670</v>
      </c>
      <c r="G2832" t="s">
        <v>17</v>
      </c>
      <c r="H2832" t="b">
        <v>0</v>
      </c>
      <c r="I2832" t="b">
        <v>0</v>
      </c>
      <c r="L2832" t="b">
        <v>0</v>
      </c>
      <c r="M2832" t="s">
        <v>5240</v>
      </c>
      <c r="N2832" t="s">
        <v>5241</v>
      </c>
    </row>
    <row r="2833" spans="1:25" x14ac:dyDescent="0.2">
      <c r="A2833">
        <v>4714</v>
      </c>
      <c r="B2833" t="s">
        <v>6140</v>
      </c>
      <c r="C2833" t="s">
        <v>18</v>
      </c>
      <c r="D2833" t="s">
        <v>6141</v>
      </c>
      <c r="E2833" t="s">
        <v>6142</v>
      </c>
      <c r="F2833" t="s">
        <v>616</v>
      </c>
      <c r="G2833" t="s">
        <v>280</v>
      </c>
      <c r="H2833" t="b">
        <v>0</v>
      </c>
      <c r="I2833" t="b">
        <v>0</v>
      </c>
      <c r="L2833" t="b">
        <v>0</v>
      </c>
    </row>
    <row r="2834" spans="1:25" x14ac:dyDescent="0.2">
      <c r="A2834">
        <v>4715</v>
      </c>
      <c r="B2834" t="s">
        <v>6140</v>
      </c>
      <c r="C2834" t="s">
        <v>18</v>
      </c>
      <c r="D2834" t="s">
        <v>6143</v>
      </c>
      <c r="E2834" t="s">
        <v>6144</v>
      </c>
      <c r="F2834" t="s">
        <v>6145</v>
      </c>
      <c r="G2834" t="s">
        <v>252</v>
      </c>
      <c r="H2834" t="b">
        <v>0</v>
      </c>
      <c r="I2834" t="b">
        <v>0</v>
      </c>
      <c r="L2834" t="b">
        <v>0</v>
      </c>
      <c r="M2834" t="s">
        <v>6146</v>
      </c>
      <c r="N2834" t="s">
        <v>745</v>
      </c>
    </row>
    <row r="2835" spans="1:25" x14ac:dyDescent="0.2">
      <c r="A2835">
        <v>4716</v>
      </c>
      <c r="B2835" t="s">
        <v>6140</v>
      </c>
      <c r="C2835" t="s">
        <v>18</v>
      </c>
      <c r="D2835" t="s">
        <v>6147</v>
      </c>
      <c r="E2835" t="s">
        <v>6148</v>
      </c>
      <c r="F2835" t="s">
        <v>78</v>
      </c>
      <c r="G2835" t="s">
        <v>280</v>
      </c>
      <c r="H2835" t="b">
        <v>0</v>
      </c>
      <c r="I2835" t="b">
        <v>0</v>
      </c>
      <c r="L2835" t="b">
        <v>0</v>
      </c>
      <c r="M2835" t="s">
        <v>6149</v>
      </c>
      <c r="N2835" t="s">
        <v>6150</v>
      </c>
    </row>
    <row r="2837" spans="1:25" x14ac:dyDescent="0.2">
      <c r="A2837" s="2">
        <v>4732</v>
      </c>
      <c r="B2837" s="2" t="s">
        <v>6151</v>
      </c>
      <c r="C2837" s="2" t="s">
        <v>13</v>
      </c>
      <c r="D2837" s="2" t="s">
        <v>6152</v>
      </c>
      <c r="E2837" s="2" t="s">
        <v>6153</v>
      </c>
      <c r="F2837" s="2" t="s">
        <v>654</v>
      </c>
      <c r="G2837" s="2" t="s">
        <v>62</v>
      </c>
      <c r="H2837" s="2"/>
      <c r="I2837" s="2"/>
      <c r="J2837" s="2"/>
      <c r="K2837" s="2"/>
      <c r="L2837" s="2"/>
      <c r="M2837" s="2"/>
      <c r="N2837" s="2"/>
      <c r="O2837" s="2"/>
      <c r="P2837" s="2"/>
      <c r="Q2837" s="2"/>
      <c r="R2837" s="2"/>
      <c r="S2837" s="2"/>
      <c r="T2837" s="2"/>
      <c r="U2837" s="2"/>
      <c r="V2837" s="2"/>
      <c r="W2837" s="2"/>
      <c r="X2837" s="2"/>
      <c r="Y2837" s="2"/>
    </row>
    <row r="2838" spans="1:25" x14ac:dyDescent="0.2">
      <c r="A2838">
        <v>4733</v>
      </c>
      <c r="B2838" t="s">
        <v>6151</v>
      </c>
      <c r="C2838" t="s">
        <v>18</v>
      </c>
      <c r="D2838" t="s">
        <v>6152</v>
      </c>
      <c r="E2838" t="s">
        <v>6153</v>
      </c>
      <c r="F2838" t="s">
        <v>654</v>
      </c>
      <c r="G2838" t="s">
        <v>62</v>
      </c>
      <c r="H2838" t="b">
        <v>1</v>
      </c>
      <c r="I2838" t="b">
        <v>1</v>
      </c>
      <c r="L2838" t="b">
        <v>1</v>
      </c>
      <c r="M2838" t="s">
        <v>6154</v>
      </c>
      <c r="N2838" t="s">
        <v>6155</v>
      </c>
    </row>
    <row r="2839" spans="1:25" x14ac:dyDescent="0.2">
      <c r="A2839">
        <v>4734</v>
      </c>
      <c r="B2839" t="s">
        <v>6151</v>
      </c>
      <c r="C2839" t="s">
        <v>18</v>
      </c>
      <c r="D2839" t="s">
        <v>6156</v>
      </c>
      <c r="E2839" t="s">
        <v>6157</v>
      </c>
      <c r="F2839" t="s">
        <v>654</v>
      </c>
      <c r="G2839" t="s">
        <v>62</v>
      </c>
      <c r="H2839" t="b">
        <v>0</v>
      </c>
      <c r="I2839" t="b">
        <v>0</v>
      </c>
      <c r="L2839" t="b">
        <v>0</v>
      </c>
    </row>
    <row r="2840" spans="1:25" x14ac:dyDescent="0.2">
      <c r="A2840">
        <v>4735</v>
      </c>
      <c r="B2840" t="s">
        <v>6151</v>
      </c>
      <c r="C2840" t="s">
        <v>18</v>
      </c>
      <c r="D2840" t="s">
        <v>6158</v>
      </c>
      <c r="E2840" t="s">
        <v>6159</v>
      </c>
      <c r="F2840" t="s">
        <v>654</v>
      </c>
      <c r="G2840" t="s">
        <v>62</v>
      </c>
      <c r="H2840" t="b">
        <v>0</v>
      </c>
      <c r="I2840" t="b">
        <v>0</v>
      </c>
      <c r="L2840" t="b">
        <v>0</v>
      </c>
    </row>
    <row r="2841" spans="1:25" x14ac:dyDescent="0.2">
      <c r="A2841">
        <v>4736</v>
      </c>
      <c r="B2841" t="s">
        <v>6151</v>
      </c>
      <c r="C2841" t="s">
        <v>18</v>
      </c>
      <c r="D2841" t="s">
        <v>6160</v>
      </c>
      <c r="E2841" t="s">
        <v>6161</v>
      </c>
      <c r="F2841" t="s">
        <v>654</v>
      </c>
      <c r="G2841" t="s">
        <v>62</v>
      </c>
      <c r="H2841" t="b">
        <v>0</v>
      </c>
      <c r="I2841" t="b">
        <v>0</v>
      </c>
      <c r="L2841" t="b">
        <v>0</v>
      </c>
    </row>
    <row r="2842" spans="1:25" x14ac:dyDescent="0.2">
      <c r="A2842">
        <v>4737</v>
      </c>
      <c r="B2842" t="s">
        <v>6151</v>
      </c>
      <c r="C2842" t="s">
        <v>18</v>
      </c>
      <c r="D2842" t="s">
        <v>6162</v>
      </c>
      <c r="E2842" t="s">
        <v>6163</v>
      </c>
      <c r="F2842" t="s">
        <v>574</v>
      </c>
      <c r="G2842" t="s">
        <v>62</v>
      </c>
      <c r="H2842" t="b">
        <v>0</v>
      </c>
      <c r="I2842" t="b">
        <v>0</v>
      </c>
      <c r="L2842" t="b">
        <v>0</v>
      </c>
      <c r="M2842" t="s">
        <v>6164</v>
      </c>
      <c r="N2842" t="s">
        <v>6165</v>
      </c>
    </row>
    <row r="2844" spans="1:25" x14ac:dyDescent="0.2">
      <c r="A2844" s="2">
        <v>4774</v>
      </c>
      <c r="B2844" s="2" t="s">
        <v>6166</v>
      </c>
      <c r="C2844" s="2" t="s">
        <v>13</v>
      </c>
      <c r="D2844" s="2" t="s">
        <v>4876</v>
      </c>
      <c r="E2844" s="2" t="s">
        <v>4877</v>
      </c>
      <c r="F2844" s="2" t="s">
        <v>159</v>
      </c>
      <c r="G2844" s="2" t="s">
        <v>345</v>
      </c>
      <c r="H2844" s="2"/>
      <c r="I2844" s="2"/>
      <c r="J2844" s="2"/>
      <c r="K2844" s="2"/>
      <c r="L2844" s="2"/>
      <c r="M2844" s="2"/>
      <c r="N2844" s="2"/>
      <c r="O2844" s="2"/>
      <c r="P2844" s="2"/>
      <c r="Q2844" s="2"/>
      <c r="R2844" s="2"/>
      <c r="S2844" s="2"/>
      <c r="T2844" s="2"/>
      <c r="U2844" s="2"/>
      <c r="V2844" s="2"/>
      <c r="W2844" s="2"/>
      <c r="X2844" s="2"/>
      <c r="Y2844" s="2"/>
    </row>
    <row r="2845" spans="1:25" x14ac:dyDescent="0.2">
      <c r="A2845">
        <v>4775</v>
      </c>
      <c r="B2845" t="s">
        <v>6166</v>
      </c>
      <c r="C2845" t="s">
        <v>18</v>
      </c>
      <c r="D2845" t="s">
        <v>4876</v>
      </c>
      <c r="E2845" t="s">
        <v>4877</v>
      </c>
      <c r="F2845" t="s">
        <v>159</v>
      </c>
      <c r="G2845" t="s">
        <v>345</v>
      </c>
      <c r="H2845" t="b">
        <v>1</v>
      </c>
      <c r="K2845" t="b">
        <v>1</v>
      </c>
      <c r="L2845" t="b">
        <v>1</v>
      </c>
      <c r="M2845" t="s">
        <v>4878</v>
      </c>
      <c r="N2845" t="s">
        <v>4879</v>
      </c>
    </row>
    <row r="2846" spans="1:25" x14ac:dyDescent="0.2">
      <c r="A2846">
        <v>4776</v>
      </c>
      <c r="B2846" t="s">
        <v>6166</v>
      </c>
      <c r="C2846" t="s">
        <v>18</v>
      </c>
      <c r="D2846" t="s">
        <v>4880</v>
      </c>
      <c r="E2846" t="s">
        <v>4881</v>
      </c>
      <c r="F2846" t="s">
        <v>159</v>
      </c>
      <c r="G2846" t="s">
        <v>345</v>
      </c>
      <c r="H2846" t="b">
        <v>0</v>
      </c>
      <c r="K2846" t="b">
        <v>0</v>
      </c>
      <c r="L2846" t="b">
        <v>0</v>
      </c>
      <c r="M2846" t="s">
        <v>4882</v>
      </c>
      <c r="N2846" t="s">
        <v>4883</v>
      </c>
    </row>
    <row r="2847" spans="1:25" x14ac:dyDescent="0.2">
      <c r="A2847">
        <v>4777</v>
      </c>
      <c r="B2847" t="s">
        <v>6166</v>
      </c>
      <c r="C2847" t="s">
        <v>18</v>
      </c>
      <c r="D2847" t="s">
        <v>4864</v>
      </c>
      <c r="E2847" t="s">
        <v>4865</v>
      </c>
      <c r="F2847" t="s">
        <v>159</v>
      </c>
      <c r="G2847" t="s">
        <v>345</v>
      </c>
      <c r="H2847" t="b">
        <v>0</v>
      </c>
      <c r="K2847" t="b">
        <v>0</v>
      </c>
      <c r="L2847" t="b">
        <v>0</v>
      </c>
      <c r="M2847" t="s">
        <v>4866</v>
      </c>
      <c r="N2847" t="s">
        <v>4867</v>
      </c>
    </row>
    <row r="2848" spans="1:25" x14ac:dyDescent="0.2">
      <c r="A2848">
        <v>4778</v>
      </c>
      <c r="B2848" t="s">
        <v>6166</v>
      </c>
      <c r="C2848" t="s">
        <v>18</v>
      </c>
      <c r="D2848" t="s">
        <v>6167</v>
      </c>
      <c r="E2848" t="s">
        <v>6168</v>
      </c>
      <c r="F2848" t="s">
        <v>16</v>
      </c>
      <c r="G2848" t="s">
        <v>24</v>
      </c>
      <c r="H2848" t="b">
        <v>0</v>
      </c>
      <c r="K2848" t="b">
        <v>0</v>
      </c>
      <c r="L2848" t="b">
        <v>0</v>
      </c>
      <c r="M2848" t="s">
        <v>6169</v>
      </c>
      <c r="N2848" t="s">
        <v>6170</v>
      </c>
    </row>
    <row r="2849" spans="1:25" x14ac:dyDescent="0.2">
      <c r="A2849">
        <v>4779</v>
      </c>
      <c r="B2849" t="s">
        <v>6166</v>
      </c>
      <c r="C2849" t="s">
        <v>18</v>
      </c>
      <c r="D2849" t="s">
        <v>6171</v>
      </c>
      <c r="E2849" t="s">
        <v>6172</v>
      </c>
      <c r="F2849" t="s">
        <v>6173</v>
      </c>
      <c r="G2849" t="s">
        <v>345</v>
      </c>
      <c r="H2849" t="b">
        <v>0</v>
      </c>
      <c r="K2849" t="b">
        <v>0</v>
      </c>
      <c r="L2849" t="b">
        <v>0</v>
      </c>
      <c r="M2849" t="s">
        <v>6174</v>
      </c>
      <c r="N2849" t="s">
        <v>6175</v>
      </c>
    </row>
    <row r="2851" spans="1:25" x14ac:dyDescent="0.2">
      <c r="A2851" s="2">
        <v>4795</v>
      </c>
      <c r="B2851" s="2" t="s">
        <v>6176</v>
      </c>
      <c r="C2851" s="2" t="s">
        <v>13</v>
      </c>
      <c r="D2851" s="2" t="s">
        <v>6177</v>
      </c>
      <c r="E2851" s="2" t="s">
        <v>6178</v>
      </c>
      <c r="F2851" s="2" t="s">
        <v>260</v>
      </c>
      <c r="G2851" s="2" t="s">
        <v>252</v>
      </c>
      <c r="H2851" s="2"/>
      <c r="I2851" s="2"/>
      <c r="J2851" s="2"/>
      <c r="K2851" s="2"/>
      <c r="L2851" s="2"/>
      <c r="M2851" s="2"/>
      <c r="N2851" s="2"/>
      <c r="O2851" s="2"/>
      <c r="P2851" s="2"/>
      <c r="Q2851" s="2"/>
      <c r="R2851" s="2"/>
      <c r="S2851" s="2"/>
      <c r="T2851" s="2"/>
      <c r="U2851" s="2"/>
      <c r="V2851" s="2"/>
      <c r="W2851" s="2"/>
      <c r="X2851" s="2"/>
      <c r="Y2851" s="2"/>
    </row>
    <row r="2852" spans="1:25" x14ac:dyDescent="0.2">
      <c r="A2852">
        <v>4796</v>
      </c>
      <c r="B2852" t="s">
        <v>6176</v>
      </c>
      <c r="C2852" t="s">
        <v>18</v>
      </c>
      <c r="D2852" t="s">
        <v>6177</v>
      </c>
      <c r="E2852" t="s">
        <v>6178</v>
      </c>
      <c r="F2852" t="s">
        <v>260</v>
      </c>
      <c r="G2852" t="s">
        <v>252</v>
      </c>
      <c r="H2852" t="b">
        <v>1</v>
      </c>
      <c r="I2852" t="b">
        <v>1</v>
      </c>
      <c r="L2852" t="b">
        <v>1</v>
      </c>
      <c r="M2852" t="s">
        <v>6179</v>
      </c>
      <c r="N2852" t="s">
        <v>6180</v>
      </c>
    </row>
    <row r="2853" spans="1:25" x14ac:dyDescent="0.2">
      <c r="A2853">
        <v>4797</v>
      </c>
      <c r="B2853" t="s">
        <v>6176</v>
      </c>
      <c r="C2853" t="s">
        <v>18</v>
      </c>
      <c r="D2853" t="s">
        <v>6181</v>
      </c>
      <c r="E2853" t="s">
        <v>6182</v>
      </c>
      <c r="F2853" t="s">
        <v>260</v>
      </c>
      <c r="G2853" t="s">
        <v>62</v>
      </c>
      <c r="H2853" t="b">
        <v>0</v>
      </c>
      <c r="I2853" t="b">
        <v>0</v>
      </c>
      <c r="L2853" t="b">
        <v>0</v>
      </c>
    </row>
    <row r="2854" spans="1:25" x14ac:dyDescent="0.2">
      <c r="A2854">
        <v>4798</v>
      </c>
      <c r="B2854" t="s">
        <v>6176</v>
      </c>
      <c r="C2854" t="s">
        <v>18</v>
      </c>
      <c r="D2854" t="s">
        <v>6183</v>
      </c>
      <c r="E2854" t="s">
        <v>6184</v>
      </c>
      <c r="F2854" t="s">
        <v>260</v>
      </c>
      <c r="G2854" t="s">
        <v>62</v>
      </c>
      <c r="H2854" t="b">
        <v>0</v>
      </c>
      <c r="I2854" t="b">
        <v>0</v>
      </c>
      <c r="L2854" t="b">
        <v>0</v>
      </c>
      <c r="M2854" t="s">
        <v>6185</v>
      </c>
      <c r="N2854" t="s">
        <v>6186</v>
      </c>
    </row>
    <row r="2855" spans="1:25" x14ac:dyDescent="0.2">
      <c r="A2855">
        <v>4799</v>
      </c>
      <c r="B2855" t="s">
        <v>6176</v>
      </c>
      <c r="C2855" t="s">
        <v>18</v>
      </c>
      <c r="D2855" t="s">
        <v>6187</v>
      </c>
      <c r="E2855" t="s">
        <v>6188</v>
      </c>
      <c r="F2855" t="s">
        <v>260</v>
      </c>
      <c r="G2855" t="s">
        <v>252</v>
      </c>
      <c r="H2855" t="b">
        <v>0</v>
      </c>
      <c r="I2855" t="b">
        <v>0</v>
      </c>
      <c r="L2855" t="b">
        <v>0</v>
      </c>
    </row>
    <row r="2856" spans="1:25" x14ac:dyDescent="0.2">
      <c r="A2856">
        <v>4800</v>
      </c>
      <c r="B2856" t="s">
        <v>6176</v>
      </c>
      <c r="C2856" t="s">
        <v>18</v>
      </c>
      <c r="D2856" t="s">
        <v>6189</v>
      </c>
      <c r="E2856" t="s">
        <v>6190</v>
      </c>
      <c r="F2856" t="s">
        <v>260</v>
      </c>
      <c r="G2856" t="s">
        <v>62</v>
      </c>
      <c r="H2856" t="b">
        <v>0</v>
      </c>
      <c r="I2856" t="b">
        <v>0</v>
      </c>
      <c r="L2856" t="b">
        <v>0</v>
      </c>
    </row>
    <row r="2858" spans="1:25" x14ac:dyDescent="0.2">
      <c r="A2858" s="2">
        <v>4809</v>
      </c>
      <c r="B2858" s="2" t="s">
        <v>6191</v>
      </c>
      <c r="C2858" s="2" t="s">
        <v>13</v>
      </c>
      <c r="D2858" s="2" t="s">
        <v>6192</v>
      </c>
      <c r="E2858" s="2" t="s">
        <v>6193</v>
      </c>
      <c r="F2858" s="2" t="s">
        <v>144</v>
      </c>
      <c r="G2858" s="2" t="s">
        <v>62</v>
      </c>
      <c r="H2858" s="2"/>
      <c r="I2858" s="2"/>
      <c r="J2858" s="2"/>
      <c r="K2858" s="2"/>
      <c r="L2858" s="2"/>
      <c r="M2858" s="2"/>
      <c r="N2858" s="2"/>
      <c r="O2858" s="2"/>
      <c r="P2858" s="2"/>
      <c r="Q2858" s="2"/>
      <c r="R2858" s="2"/>
      <c r="S2858" s="2"/>
      <c r="T2858" s="2"/>
      <c r="U2858" s="2"/>
      <c r="V2858" s="2"/>
      <c r="W2858" s="2"/>
      <c r="X2858" s="2"/>
      <c r="Y2858" s="2"/>
    </row>
    <row r="2859" spans="1:25" x14ac:dyDescent="0.2">
      <c r="A2859">
        <v>4810</v>
      </c>
      <c r="B2859" t="s">
        <v>6191</v>
      </c>
      <c r="C2859" t="s">
        <v>18</v>
      </c>
      <c r="D2859" t="s">
        <v>6192</v>
      </c>
      <c r="E2859" t="s">
        <v>2669</v>
      </c>
      <c r="F2859" t="s">
        <v>144</v>
      </c>
      <c r="G2859" t="s">
        <v>62</v>
      </c>
      <c r="H2859" t="b">
        <v>1</v>
      </c>
      <c r="I2859" t="b">
        <v>1</v>
      </c>
      <c r="L2859" t="b">
        <v>1</v>
      </c>
      <c r="M2859" t="s">
        <v>6194</v>
      </c>
    </row>
    <row r="2860" spans="1:25" x14ac:dyDescent="0.2">
      <c r="A2860">
        <v>4811</v>
      </c>
      <c r="B2860" t="s">
        <v>6191</v>
      </c>
      <c r="C2860" t="s">
        <v>18</v>
      </c>
      <c r="D2860" t="s">
        <v>6195</v>
      </c>
      <c r="E2860" t="s">
        <v>6196</v>
      </c>
      <c r="F2860" t="s">
        <v>144</v>
      </c>
      <c r="G2860" t="s">
        <v>62</v>
      </c>
      <c r="H2860" t="b">
        <v>1</v>
      </c>
      <c r="I2860" t="b">
        <v>1</v>
      </c>
      <c r="L2860" t="b">
        <v>1</v>
      </c>
      <c r="M2860" t="s">
        <v>6197</v>
      </c>
      <c r="N2860" t="s">
        <v>6198</v>
      </c>
    </row>
    <row r="2861" spans="1:25" x14ac:dyDescent="0.2">
      <c r="A2861">
        <v>4812</v>
      </c>
      <c r="B2861" t="s">
        <v>6191</v>
      </c>
      <c r="C2861" t="s">
        <v>18</v>
      </c>
      <c r="D2861" t="s">
        <v>6199</v>
      </c>
      <c r="E2861" t="s">
        <v>6200</v>
      </c>
      <c r="F2861" t="s">
        <v>144</v>
      </c>
      <c r="G2861" t="s">
        <v>62</v>
      </c>
      <c r="H2861" t="b">
        <v>0</v>
      </c>
      <c r="I2861" t="b">
        <v>0</v>
      </c>
      <c r="L2861" t="b">
        <v>0</v>
      </c>
    </row>
    <row r="2862" spans="1:25" x14ac:dyDescent="0.2">
      <c r="A2862">
        <v>4813</v>
      </c>
      <c r="B2862" t="s">
        <v>6191</v>
      </c>
      <c r="C2862" t="s">
        <v>18</v>
      </c>
      <c r="D2862" t="s">
        <v>157</v>
      </c>
      <c r="E2862" t="s">
        <v>158</v>
      </c>
      <c r="F2862" t="s">
        <v>160</v>
      </c>
      <c r="G2862" t="s">
        <v>161</v>
      </c>
      <c r="H2862" t="b">
        <v>0</v>
      </c>
      <c r="I2862" t="b">
        <v>0</v>
      </c>
      <c r="L2862" t="b">
        <v>0</v>
      </c>
      <c r="M2862" t="s">
        <v>6201</v>
      </c>
      <c r="N2862" t="s">
        <v>6202</v>
      </c>
    </row>
    <row r="2863" spans="1:25" x14ac:dyDescent="0.2">
      <c r="A2863">
        <v>4814</v>
      </c>
      <c r="B2863" t="s">
        <v>6191</v>
      </c>
      <c r="C2863" t="s">
        <v>18</v>
      </c>
      <c r="D2863" t="s">
        <v>3703</v>
      </c>
      <c r="E2863" t="s">
        <v>3704</v>
      </c>
      <c r="F2863" t="s">
        <v>148</v>
      </c>
      <c r="G2863" t="s">
        <v>252</v>
      </c>
      <c r="H2863" t="b">
        <v>0</v>
      </c>
      <c r="I2863" t="b">
        <v>0</v>
      </c>
      <c r="L2863" t="b">
        <v>0</v>
      </c>
      <c r="M2863" t="s">
        <v>3705</v>
      </c>
      <c r="N2863" t="s">
        <v>3706</v>
      </c>
    </row>
    <row r="2865" spans="1:25" x14ac:dyDescent="0.2">
      <c r="A2865" s="2">
        <v>4823</v>
      </c>
      <c r="B2865" s="2" t="s">
        <v>6203</v>
      </c>
      <c r="C2865" s="2" t="s">
        <v>13</v>
      </c>
      <c r="D2865" s="2" t="s">
        <v>6204</v>
      </c>
      <c r="E2865" s="2" t="s">
        <v>6205</v>
      </c>
      <c r="F2865" s="2" t="s">
        <v>78</v>
      </c>
      <c r="G2865" s="2" t="s">
        <v>88</v>
      </c>
      <c r="H2865" s="2"/>
      <c r="I2865" s="2"/>
      <c r="J2865" s="2"/>
      <c r="K2865" s="2"/>
      <c r="L2865" s="2"/>
      <c r="M2865" s="2"/>
      <c r="N2865" s="2"/>
      <c r="O2865" s="2"/>
      <c r="P2865" s="2"/>
      <c r="Q2865" s="2"/>
      <c r="R2865" s="2"/>
      <c r="S2865" s="2"/>
      <c r="T2865" s="2"/>
      <c r="U2865" s="2"/>
      <c r="V2865" s="2"/>
      <c r="W2865" s="2"/>
      <c r="X2865" s="2"/>
      <c r="Y2865" s="2"/>
    </row>
    <row r="2866" spans="1:25" x14ac:dyDescent="0.2">
      <c r="A2866">
        <v>4824</v>
      </c>
      <c r="B2866" t="s">
        <v>6203</v>
      </c>
      <c r="C2866" t="s">
        <v>18</v>
      </c>
      <c r="D2866" t="s">
        <v>6204</v>
      </c>
      <c r="E2866" t="s">
        <v>6205</v>
      </c>
      <c r="F2866" t="s">
        <v>78</v>
      </c>
      <c r="G2866" t="s">
        <v>88</v>
      </c>
      <c r="H2866" t="b">
        <v>1</v>
      </c>
      <c r="K2866" t="b">
        <v>1</v>
      </c>
      <c r="L2866" t="b">
        <v>1</v>
      </c>
      <c r="M2866" t="s">
        <v>6206</v>
      </c>
      <c r="N2866" t="s">
        <v>6207</v>
      </c>
    </row>
    <row r="2867" spans="1:25" x14ac:dyDescent="0.2">
      <c r="A2867">
        <v>4825</v>
      </c>
      <c r="B2867" t="s">
        <v>6203</v>
      </c>
      <c r="C2867" t="s">
        <v>18</v>
      </c>
      <c r="D2867" t="s">
        <v>2492</v>
      </c>
      <c r="E2867" t="s">
        <v>2493</v>
      </c>
      <c r="F2867" t="s">
        <v>78</v>
      </c>
      <c r="G2867" t="s">
        <v>134</v>
      </c>
      <c r="H2867" t="b">
        <v>0</v>
      </c>
      <c r="K2867" t="b">
        <v>0</v>
      </c>
      <c r="L2867" t="b">
        <v>0</v>
      </c>
    </row>
    <row r="2868" spans="1:25" x14ac:dyDescent="0.2">
      <c r="A2868">
        <v>4826</v>
      </c>
      <c r="B2868" t="s">
        <v>6203</v>
      </c>
      <c r="C2868" t="s">
        <v>18</v>
      </c>
      <c r="D2868" t="s">
        <v>4734</v>
      </c>
      <c r="E2868" t="s">
        <v>4735</v>
      </c>
      <c r="F2868" t="s">
        <v>78</v>
      </c>
      <c r="G2868" t="s">
        <v>134</v>
      </c>
      <c r="H2868" t="b">
        <v>0</v>
      </c>
      <c r="K2868" t="b">
        <v>0</v>
      </c>
      <c r="L2868" t="b">
        <v>0</v>
      </c>
      <c r="M2868" t="s">
        <v>4736</v>
      </c>
    </row>
    <row r="2869" spans="1:25" x14ac:dyDescent="0.2">
      <c r="A2869">
        <v>4827</v>
      </c>
      <c r="B2869" t="s">
        <v>6203</v>
      </c>
      <c r="C2869" t="s">
        <v>18</v>
      </c>
      <c r="D2869" t="s">
        <v>6208</v>
      </c>
      <c r="E2869" t="s">
        <v>6209</v>
      </c>
      <c r="F2869" t="s">
        <v>78</v>
      </c>
      <c r="G2869" t="s">
        <v>17</v>
      </c>
      <c r="H2869" t="b">
        <v>0</v>
      </c>
      <c r="K2869" t="b">
        <v>0</v>
      </c>
      <c r="L2869" t="b">
        <v>0</v>
      </c>
    </row>
    <row r="2870" spans="1:25" x14ac:dyDescent="0.2">
      <c r="A2870">
        <v>4828</v>
      </c>
      <c r="B2870" t="s">
        <v>6203</v>
      </c>
      <c r="C2870" t="s">
        <v>18</v>
      </c>
      <c r="D2870" t="s">
        <v>2377</v>
      </c>
      <c r="E2870" t="s">
        <v>2378</v>
      </c>
      <c r="F2870" t="s">
        <v>78</v>
      </c>
      <c r="G2870" t="s">
        <v>24</v>
      </c>
      <c r="H2870" t="b">
        <v>0</v>
      </c>
      <c r="K2870" t="b">
        <v>0</v>
      </c>
      <c r="L2870" t="b">
        <v>0</v>
      </c>
      <c r="M2870" t="s">
        <v>2379</v>
      </c>
    </row>
    <row r="2872" spans="1:25" x14ac:dyDescent="0.2">
      <c r="A2872" s="2">
        <v>4830</v>
      </c>
      <c r="B2872" s="2" t="s">
        <v>6210</v>
      </c>
      <c r="C2872" s="2" t="s">
        <v>13</v>
      </c>
      <c r="D2872" s="2" t="s">
        <v>6211</v>
      </c>
      <c r="E2872" s="2" t="s">
        <v>6212</v>
      </c>
      <c r="F2872" s="2" t="s">
        <v>151</v>
      </c>
      <c r="G2872" s="2" t="s">
        <v>130</v>
      </c>
      <c r="H2872" s="2"/>
      <c r="I2872" s="2"/>
      <c r="J2872" s="2"/>
      <c r="K2872" s="2"/>
      <c r="L2872" s="2"/>
      <c r="M2872" s="2"/>
      <c r="N2872" s="2"/>
      <c r="O2872" s="2"/>
      <c r="P2872" s="2"/>
      <c r="Q2872" s="2"/>
      <c r="R2872" s="2"/>
      <c r="S2872" s="2"/>
      <c r="T2872" s="2"/>
      <c r="U2872" s="2"/>
      <c r="V2872" s="2"/>
      <c r="W2872" s="2"/>
      <c r="X2872" s="2"/>
      <c r="Y2872" s="2"/>
    </row>
    <row r="2873" spans="1:25" x14ac:dyDescent="0.2">
      <c r="A2873">
        <v>4831</v>
      </c>
      <c r="B2873" t="s">
        <v>6210</v>
      </c>
      <c r="C2873" t="s">
        <v>18</v>
      </c>
      <c r="D2873" t="s">
        <v>6213</v>
      </c>
      <c r="E2873" t="s">
        <v>6214</v>
      </c>
      <c r="F2873" t="s">
        <v>151</v>
      </c>
      <c r="G2873" t="s">
        <v>130</v>
      </c>
      <c r="H2873" t="b">
        <v>1</v>
      </c>
      <c r="K2873" t="b">
        <v>1</v>
      </c>
      <c r="L2873" t="b">
        <v>1</v>
      </c>
      <c r="M2873" t="s">
        <v>6215</v>
      </c>
      <c r="N2873" t="s">
        <v>6216</v>
      </c>
    </row>
    <row r="2874" spans="1:25" x14ac:dyDescent="0.2">
      <c r="A2874">
        <v>4832</v>
      </c>
      <c r="B2874" t="s">
        <v>6210</v>
      </c>
      <c r="C2874" t="s">
        <v>18</v>
      </c>
      <c r="D2874" t="s">
        <v>4307</v>
      </c>
      <c r="E2874" t="s">
        <v>4308</v>
      </c>
      <c r="F2874" t="s">
        <v>420</v>
      </c>
      <c r="G2874" t="s">
        <v>252</v>
      </c>
      <c r="H2874" t="b">
        <v>0</v>
      </c>
      <c r="K2874" t="b">
        <v>0</v>
      </c>
      <c r="L2874" t="b">
        <v>0</v>
      </c>
      <c r="M2874" t="s">
        <v>4309</v>
      </c>
      <c r="N2874" t="s">
        <v>4310</v>
      </c>
    </row>
    <row r="2875" spans="1:25" x14ac:dyDescent="0.2">
      <c r="A2875">
        <v>4833</v>
      </c>
      <c r="B2875" t="s">
        <v>6210</v>
      </c>
      <c r="C2875" t="s">
        <v>18</v>
      </c>
      <c r="D2875" t="s">
        <v>6217</v>
      </c>
      <c r="E2875" t="s">
        <v>2830</v>
      </c>
      <c r="F2875" t="s">
        <v>78</v>
      </c>
      <c r="G2875" t="s">
        <v>130</v>
      </c>
      <c r="H2875" t="b">
        <v>0</v>
      </c>
      <c r="K2875" t="b">
        <v>0</v>
      </c>
      <c r="L2875" t="b">
        <v>0</v>
      </c>
      <c r="M2875" t="s">
        <v>6218</v>
      </c>
      <c r="N2875" t="s">
        <v>6219</v>
      </c>
    </row>
    <row r="2876" spans="1:25" x14ac:dyDescent="0.2">
      <c r="A2876">
        <v>4834</v>
      </c>
      <c r="B2876" t="s">
        <v>6210</v>
      </c>
      <c r="C2876" t="s">
        <v>18</v>
      </c>
      <c r="D2876" t="s">
        <v>5293</v>
      </c>
      <c r="E2876" t="s">
        <v>381</v>
      </c>
      <c r="F2876" t="s">
        <v>31</v>
      </c>
      <c r="G2876" t="s">
        <v>24</v>
      </c>
      <c r="H2876" t="b">
        <v>0</v>
      </c>
      <c r="K2876" t="b">
        <v>0</v>
      </c>
      <c r="L2876" t="b">
        <v>0</v>
      </c>
      <c r="M2876" t="s">
        <v>5294</v>
      </c>
    </row>
    <row r="2877" spans="1:25" x14ac:dyDescent="0.2">
      <c r="A2877">
        <v>4835</v>
      </c>
      <c r="B2877" t="s">
        <v>6210</v>
      </c>
      <c r="C2877" t="s">
        <v>18</v>
      </c>
      <c r="D2877" t="s">
        <v>6046</v>
      </c>
      <c r="E2877" t="s">
        <v>2082</v>
      </c>
      <c r="F2877" t="s">
        <v>148</v>
      </c>
      <c r="G2877" t="s">
        <v>252</v>
      </c>
      <c r="H2877" t="b">
        <v>0</v>
      </c>
      <c r="K2877" t="b">
        <v>0</v>
      </c>
      <c r="L2877" t="b">
        <v>0</v>
      </c>
      <c r="M2877" t="s">
        <v>6047</v>
      </c>
    </row>
    <row r="2879" spans="1:25" x14ac:dyDescent="0.2">
      <c r="A2879" s="2">
        <v>4851</v>
      </c>
      <c r="B2879" s="2" t="s">
        <v>6220</v>
      </c>
      <c r="C2879" s="2" t="s">
        <v>13</v>
      </c>
      <c r="D2879" s="2" t="s">
        <v>6221</v>
      </c>
      <c r="E2879" s="2" t="s">
        <v>3178</v>
      </c>
      <c r="F2879" s="2" t="s">
        <v>16</v>
      </c>
      <c r="G2879" s="2" t="s">
        <v>1405</v>
      </c>
      <c r="H2879" s="2"/>
      <c r="I2879" s="2"/>
      <c r="J2879" s="2"/>
      <c r="K2879" s="2"/>
      <c r="L2879" s="2"/>
      <c r="M2879" s="2"/>
      <c r="N2879" s="2"/>
      <c r="O2879" s="2"/>
      <c r="P2879" s="2"/>
      <c r="Q2879" s="2"/>
      <c r="R2879" s="2"/>
      <c r="S2879" s="2"/>
      <c r="T2879" s="2"/>
      <c r="U2879" s="2"/>
      <c r="V2879" s="2"/>
      <c r="W2879" s="2"/>
      <c r="X2879" s="2"/>
      <c r="Y2879" s="2"/>
    </row>
    <row r="2880" spans="1:25" x14ac:dyDescent="0.2">
      <c r="A2880">
        <v>4852</v>
      </c>
      <c r="B2880" t="s">
        <v>6220</v>
      </c>
      <c r="C2880" t="s">
        <v>18</v>
      </c>
      <c r="D2880" t="s">
        <v>3177</v>
      </c>
      <c r="E2880" t="s">
        <v>3178</v>
      </c>
      <c r="F2880" t="s">
        <v>16</v>
      </c>
      <c r="G2880" t="s">
        <v>1406</v>
      </c>
      <c r="H2880" t="b">
        <v>1</v>
      </c>
      <c r="K2880" t="b">
        <v>1</v>
      </c>
      <c r="L2880" t="b">
        <v>1</v>
      </c>
      <c r="M2880" t="s">
        <v>3179</v>
      </c>
      <c r="N2880" t="s">
        <v>3180</v>
      </c>
    </row>
    <row r="2881" spans="1:25" x14ac:dyDescent="0.2">
      <c r="A2881">
        <v>4853</v>
      </c>
      <c r="B2881" t="s">
        <v>6220</v>
      </c>
      <c r="C2881" t="s">
        <v>18</v>
      </c>
      <c r="D2881" t="s">
        <v>3173</v>
      </c>
      <c r="E2881" t="s">
        <v>3174</v>
      </c>
      <c r="F2881" t="s">
        <v>16</v>
      </c>
      <c r="G2881" t="s">
        <v>1406</v>
      </c>
      <c r="H2881" t="b">
        <v>0</v>
      </c>
      <c r="K2881" t="b">
        <v>0</v>
      </c>
      <c r="L2881" t="b">
        <v>0</v>
      </c>
      <c r="M2881" t="s">
        <v>3175</v>
      </c>
      <c r="N2881" t="s">
        <v>3176</v>
      </c>
    </row>
    <row r="2882" spans="1:25" x14ac:dyDescent="0.2">
      <c r="A2882">
        <v>4854</v>
      </c>
      <c r="B2882" t="s">
        <v>6220</v>
      </c>
      <c r="C2882" t="s">
        <v>18</v>
      </c>
      <c r="D2882" t="s">
        <v>3181</v>
      </c>
      <c r="E2882" t="s">
        <v>3182</v>
      </c>
      <c r="F2882" t="s">
        <v>16</v>
      </c>
      <c r="G2882" t="s">
        <v>1406</v>
      </c>
      <c r="H2882" t="b">
        <v>0</v>
      </c>
      <c r="K2882" t="b">
        <v>0</v>
      </c>
      <c r="L2882" t="b">
        <v>0</v>
      </c>
      <c r="M2882" t="s">
        <v>3183</v>
      </c>
      <c r="N2882" t="s">
        <v>3184</v>
      </c>
    </row>
    <row r="2883" spans="1:25" x14ac:dyDescent="0.2">
      <c r="A2883">
        <v>4855</v>
      </c>
      <c r="B2883" t="s">
        <v>6220</v>
      </c>
      <c r="C2883" t="s">
        <v>18</v>
      </c>
      <c r="D2883" t="s">
        <v>5561</v>
      </c>
      <c r="E2883" t="s">
        <v>5562</v>
      </c>
      <c r="F2883" t="s">
        <v>16</v>
      </c>
      <c r="G2883" t="s">
        <v>1406</v>
      </c>
      <c r="H2883" t="b">
        <v>0</v>
      </c>
      <c r="K2883" t="b">
        <v>0</v>
      </c>
      <c r="L2883" t="b">
        <v>0</v>
      </c>
      <c r="M2883" t="s">
        <v>5563</v>
      </c>
      <c r="N2883" t="s">
        <v>5564</v>
      </c>
      <c r="O2883" t="s">
        <v>5565</v>
      </c>
      <c r="P2883" t="s">
        <v>5566</v>
      </c>
    </row>
    <row r="2884" spans="1:25" x14ac:dyDescent="0.2">
      <c r="A2884">
        <v>4856</v>
      </c>
      <c r="B2884" t="s">
        <v>6220</v>
      </c>
      <c r="C2884" t="s">
        <v>18</v>
      </c>
      <c r="D2884" t="s">
        <v>5252</v>
      </c>
      <c r="E2884" t="s">
        <v>5253</v>
      </c>
      <c r="F2884" t="s">
        <v>16</v>
      </c>
      <c r="G2884" t="s">
        <v>24</v>
      </c>
      <c r="H2884" t="b">
        <v>0</v>
      </c>
      <c r="K2884" t="b">
        <v>0</v>
      </c>
      <c r="L2884" t="b">
        <v>0</v>
      </c>
      <c r="M2884" t="s">
        <v>5254</v>
      </c>
      <c r="N2884" t="s">
        <v>5255</v>
      </c>
    </row>
    <row r="2886" spans="1:25" x14ac:dyDescent="0.2">
      <c r="A2886" s="2">
        <v>4858</v>
      </c>
      <c r="B2886" s="2" t="s">
        <v>6222</v>
      </c>
      <c r="C2886" s="2" t="s">
        <v>13</v>
      </c>
      <c r="D2886" s="2" t="s">
        <v>6223</v>
      </c>
      <c r="E2886" s="2" t="s">
        <v>6224</v>
      </c>
      <c r="F2886" s="2" t="s">
        <v>316</v>
      </c>
      <c r="G2886" s="2" t="s">
        <v>3555</v>
      </c>
      <c r="H2886" s="2"/>
      <c r="I2886" s="2"/>
      <c r="J2886" s="2"/>
      <c r="K2886" s="2"/>
      <c r="L2886" s="2"/>
      <c r="M2886" s="2"/>
      <c r="N2886" s="2"/>
      <c r="O2886" s="2"/>
      <c r="P2886" s="2"/>
      <c r="Q2886" s="2"/>
      <c r="R2886" s="2"/>
      <c r="S2886" s="2"/>
      <c r="T2886" s="2"/>
      <c r="U2886" s="2"/>
      <c r="V2886" s="2"/>
      <c r="W2886" s="2"/>
      <c r="X2886" s="2"/>
      <c r="Y2886" s="2"/>
    </row>
    <row r="2887" spans="1:25" x14ac:dyDescent="0.2">
      <c r="A2887">
        <v>4859</v>
      </c>
      <c r="B2887" t="s">
        <v>6222</v>
      </c>
      <c r="C2887" t="s">
        <v>18</v>
      </c>
      <c r="D2887" t="s">
        <v>6225</v>
      </c>
      <c r="E2887" t="s">
        <v>4336</v>
      </c>
      <c r="F2887" t="s">
        <v>316</v>
      </c>
      <c r="G2887" t="s">
        <v>3558</v>
      </c>
      <c r="H2887" t="b">
        <v>1</v>
      </c>
      <c r="I2887" t="b">
        <v>1</v>
      </c>
      <c r="L2887" t="b">
        <v>1</v>
      </c>
      <c r="M2887" t="s">
        <v>6226</v>
      </c>
      <c r="N2887" t="s">
        <v>6227</v>
      </c>
    </row>
    <row r="2888" spans="1:25" x14ac:dyDescent="0.2">
      <c r="A2888">
        <v>4860</v>
      </c>
      <c r="B2888" t="s">
        <v>6222</v>
      </c>
      <c r="C2888" t="s">
        <v>18</v>
      </c>
      <c r="D2888" t="s">
        <v>3561</v>
      </c>
      <c r="E2888" t="s">
        <v>3562</v>
      </c>
      <c r="F2888" t="s">
        <v>316</v>
      </c>
      <c r="G2888" t="s">
        <v>3558</v>
      </c>
      <c r="H2888" t="b">
        <v>0</v>
      </c>
      <c r="I2888" t="b">
        <v>0</v>
      </c>
      <c r="L2888" t="b">
        <v>0</v>
      </c>
      <c r="M2888" t="s">
        <v>3563</v>
      </c>
    </row>
    <row r="2889" spans="1:25" x14ac:dyDescent="0.2">
      <c r="A2889">
        <v>4861</v>
      </c>
      <c r="B2889" t="s">
        <v>6222</v>
      </c>
      <c r="C2889" t="s">
        <v>18</v>
      </c>
      <c r="D2889" t="s">
        <v>3564</v>
      </c>
      <c r="E2889" t="s">
        <v>3565</v>
      </c>
      <c r="F2889" t="s">
        <v>316</v>
      </c>
      <c r="G2889" t="s">
        <v>3558</v>
      </c>
      <c r="H2889" t="b">
        <v>0</v>
      </c>
      <c r="I2889" t="b">
        <v>0</v>
      </c>
      <c r="L2889" t="b">
        <v>0</v>
      </c>
      <c r="M2889" t="s">
        <v>3566</v>
      </c>
    </row>
    <row r="2890" spans="1:25" x14ac:dyDescent="0.2">
      <c r="A2890">
        <v>4862</v>
      </c>
      <c r="B2890" t="s">
        <v>6222</v>
      </c>
      <c r="C2890" t="s">
        <v>18</v>
      </c>
      <c r="D2890" t="s">
        <v>6228</v>
      </c>
      <c r="E2890" t="s">
        <v>6229</v>
      </c>
      <c r="F2890" t="s">
        <v>316</v>
      </c>
      <c r="G2890" t="s">
        <v>3558</v>
      </c>
      <c r="H2890" t="b">
        <v>0</v>
      </c>
      <c r="I2890" t="b">
        <v>0</v>
      </c>
      <c r="L2890" t="b">
        <v>0</v>
      </c>
      <c r="M2890" t="s">
        <v>6230</v>
      </c>
      <c r="N2890" t="s">
        <v>6231</v>
      </c>
    </row>
    <row r="2891" spans="1:25" x14ac:dyDescent="0.2">
      <c r="A2891">
        <v>4863</v>
      </c>
      <c r="B2891" t="s">
        <v>6222</v>
      </c>
      <c r="C2891" t="s">
        <v>18</v>
      </c>
      <c r="D2891" t="s">
        <v>6232</v>
      </c>
      <c r="E2891" t="s">
        <v>5198</v>
      </c>
      <c r="F2891" t="s">
        <v>316</v>
      </c>
      <c r="G2891" t="s">
        <v>280</v>
      </c>
      <c r="H2891" t="b">
        <v>0</v>
      </c>
      <c r="I2891" t="b">
        <v>0</v>
      </c>
      <c r="L2891" t="b">
        <v>0</v>
      </c>
      <c r="M2891" t="s">
        <v>6233</v>
      </c>
      <c r="N2891" t="s">
        <v>6234</v>
      </c>
    </row>
    <row r="2893" spans="1:25" x14ac:dyDescent="0.2">
      <c r="A2893" s="2">
        <v>4865</v>
      </c>
      <c r="B2893" s="2" t="s">
        <v>6235</v>
      </c>
      <c r="C2893" s="2" t="s">
        <v>13</v>
      </c>
      <c r="D2893" s="2" t="s">
        <v>6236</v>
      </c>
      <c r="E2893" s="2" t="s">
        <v>6237</v>
      </c>
      <c r="F2893" s="2" t="s">
        <v>78</v>
      </c>
      <c r="G2893" s="2" t="s">
        <v>130</v>
      </c>
      <c r="H2893" s="2"/>
      <c r="I2893" s="2"/>
      <c r="J2893" s="2"/>
      <c r="K2893" s="2"/>
      <c r="L2893" s="2"/>
      <c r="M2893" s="2"/>
      <c r="N2893" s="2"/>
      <c r="O2893" s="2"/>
      <c r="P2893" s="2"/>
      <c r="Q2893" s="2"/>
      <c r="R2893" s="2"/>
      <c r="S2893" s="2"/>
      <c r="T2893" s="2"/>
      <c r="U2893" s="2"/>
      <c r="V2893" s="2"/>
      <c r="W2893" s="2"/>
      <c r="X2893" s="2"/>
      <c r="Y2893" s="2"/>
    </row>
    <row r="2894" spans="1:25" x14ac:dyDescent="0.2">
      <c r="A2894">
        <v>4866</v>
      </c>
      <c r="B2894" t="s">
        <v>6235</v>
      </c>
      <c r="C2894" t="s">
        <v>18</v>
      </c>
      <c r="D2894" t="s">
        <v>6236</v>
      </c>
      <c r="E2894" t="s">
        <v>6237</v>
      </c>
      <c r="F2894" t="s">
        <v>78</v>
      </c>
      <c r="G2894" t="s">
        <v>130</v>
      </c>
      <c r="H2894" t="b">
        <v>1</v>
      </c>
      <c r="I2894" t="b">
        <v>1</v>
      </c>
      <c r="L2894" t="b">
        <v>1</v>
      </c>
      <c r="M2894" t="s">
        <v>6238</v>
      </c>
      <c r="N2894" t="s">
        <v>6239</v>
      </c>
    </row>
    <row r="2895" spans="1:25" x14ac:dyDescent="0.2">
      <c r="A2895">
        <v>4867</v>
      </c>
      <c r="B2895" t="s">
        <v>6235</v>
      </c>
      <c r="C2895" t="s">
        <v>18</v>
      </c>
      <c r="D2895" t="s">
        <v>2901</v>
      </c>
      <c r="E2895" t="s">
        <v>2903</v>
      </c>
      <c r="F2895" t="s">
        <v>78</v>
      </c>
      <c r="G2895" t="s">
        <v>88</v>
      </c>
      <c r="H2895" t="b">
        <v>0</v>
      </c>
      <c r="I2895" t="b">
        <v>0</v>
      </c>
      <c r="L2895" t="b">
        <v>0</v>
      </c>
      <c r="M2895" t="s">
        <v>2904</v>
      </c>
    </row>
    <row r="2896" spans="1:25" x14ac:dyDescent="0.2">
      <c r="A2896">
        <v>4868</v>
      </c>
      <c r="B2896" t="s">
        <v>6235</v>
      </c>
      <c r="C2896" t="s">
        <v>18</v>
      </c>
      <c r="D2896" t="s">
        <v>2917</v>
      </c>
      <c r="E2896" t="s">
        <v>2918</v>
      </c>
      <c r="F2896" t="s">
        <v>78</v>
      </c>
      <c r="G2896" t="s">
        <v>88</v>
      </c>
      <c r="H2896" t="b">
        <v>0</v>
      </c>
      <c r="I2896" t="b">
        <v>0</v>
      </c>
      <c r="L2896" t="b">
        <v>0</v>
      </c>
      <c r="M2896" t="s">
        <v>2919</v>
      </c>
      <c r="N2896" t="s">
        <v>2920</v>
      </c>
    </row>
    <row r="2897" spans="1:25" x14ac:dyDescent="0.2">
      <c r="A2897">
        <v>4869</v>
      </c>
      <c r="B2897" t="s">
        <v>6235</v>
      </c>
      <c r="C2897" t="s">
        <v>18</v>
      </c>
      <c r="D2897" t="s">
        <v>2909</v>
      </c>
      <c r="E2897" t="s">
        <v>2910</v>
      </c>
      <c r="F2897" t="s">
        <v>78</v>
      </c>
      <c r="G2897" t="s">
        <v>88</v>
      </c>
      <c r="H2897" t="b">
        <v>0</v>
      </c>
      <c r="I2897" t="b">
        <v>0</v>
      </c>
      <c r="L2897" t="b">
        <v>0</v>
      </c>
      <c r="M2897" t="s">
        <v>2911</v>
      </c>
      <c r="N2897" t="s">
        <v>2912</v>
      </c>
    </row>
    <row r="2898" spans="1:25" x14ac:dyDescent="0.2">
      <c r="A2898">
        <v>4870</v>
      </c>
      <c r="B2898" t="s">
        <v>6235</v>
      </c>
      <c r="C2898" t="s">
        <v>18</v>
      </c>
      <c r="D2898" t="s">
        <v>6240</v>
      </c>
      <c r="E2898" t="s">
        <v>6241</v>
      </c>
      <c r="F2898" t="s">
        <v>78</v>
      </c>
      <c r="G2898" t="s">
        <v>88</v>
      </c>
      <c r="H2898" t="b">
        <v>0</v>
      </c>
      <c r="I2898" t="b">
        <v>0</v>
      </c>
      <c r="L2898" t="b">
        <v>0</v>
      </c>
      <c r="M2898" t="s">
        <v>6242</v>
      </c>
    </row>
    <row r="2900" spans="1:25" x14ac:dyDescent="0.2">
      <c r="A2900" s="2">
        <v>4886</v>
      </c>
      <c r="B2900" s="2" t="s">
        <v>6243</v>
      </c>
      <c r="C2900" s="2" t="s">
        <v>13</v>
      </c>
      <c r="D2900" s="2" t="s">
        <v>6244</v>
      </c>
      <c r="E2900" s="2" t="s">
        <v>6245</v>
      </c>
      <c r="F2900" s="2" t="s">
        <v>369</v>
      </c>
      <c r="G2900" s="2" t="s">
        <v>62</v>
      </c>
      <c r="H2900" s="2"/>
      <c r="I2900" s="2"/>
      <c r="J2900" s="2"/>
      <c r="K2900" s="2"/>
      <c r="L2900" s="2"/>
      <c r="M2900" s="2"/>
      <c r="N2900" s="2"/>
      <c r="O2900" s="2"/>
      <c r="P2900" s="2"/>
      <c r="Q2900" s="2"/>
      <c r="R2900" s="2"/>
      <c r="S2900" s="2"/>
      <c r="T2900" s="2"/>
      <c r="U2900" s="2"/>
      <c r="V2900" s="2"/>
      <c r="W2900" s="2"/>
      <c r="X2900" s="2"/>
      <c r="Y2900" s="2"/>
    </row>
    <row r="2901" spans="1:25" x14ac:dyDescent="0.2">
      <c r="A2901">
        <v>4887</v>
      </c>
      <c r="B2901" t="s">
        <v>6243</v>
      </c>
      <c r="C2901" t="s">
        <v>18</v>
      </c>
      <c r="D2901" t="s">
        <v>6244</v>
      </c>
      <c r="E2901" t="s">
        <v>6245</v>
      </c>
      <c r="F2901" t="s">
        <v>369</v>
      </c>
      <c r="G2901" t="s">
        <v>62</v>
      </c>
      <c r="H2901" t="b">
        <v>1</v>
      </c>
      <c r="I2901" t="b">
        <v>1</v>
      </c>
      <c r="L2901" t="b">
        <v>1</v>
      </c>
      <c r="M2901" t="s">
        <v>6246</v>
      </c>
      <c r="N2901" t="s">
        <v>6247</v>
      </c>
    </row>
    <row r="2902" spans="1:25" x14ac:dyDescent="0.2">
      <c r="A2902">
        <v>4888</v>
      </c>
      <c r="B2902" t="s">
        <v>6243</v>
      </c>
      <c r="C2902" t="s">
        <v>18</v>
      </c>
      <c r="D2902" t="s">
        <v>6248</v>
      </c>
      <c r="E2902" t="s">
        <v>6249</v>
      </c>
      <c r="F2902" t="s">
        <v>369</v>
      </c>
      <c r="G2902" t="s">
        <v>62</v>
      </c>
      <c r="H2902" t="b">
        <v>0</v>
      </c>
      <c r="I2902" t="b">
        <v>0</v>
      </c>
      <c r="L2902" t="b">
        <v>0</v>
      </c>
      <c r="M2902" t="s">
        <v>6250</v>
      </c>
      <c r="N2902" t="s">
        <v>6251</v>
      </c>
    </row>
    <row r="2903" spans="1:25" x14ac:dyDescent="0.2">
      <c r="A2903">
        <v>4889</v>
      </c>
      <c r="B2903" t="s">
        <v>6243</v>
      </c>
      <c r="C2903" t="s">
        <v>18</v>
      </c>
      <c r="D2903" t="s">
        <v>6252</v>
      </c>
      <c r="E2903" t="s">
        <v>6253</v>
      </c>
      <c r="F2903" t="s">
        <v>369</v>
      </c>
      <c r="G2903" t="s">
        <v>62</v>
      </c>
      <c r="H2903" t="b">
        <v>0</v>
      </c>
      <c r="I2903" t="b">
        <v>0</v>
      </c>
      <c r="L2903" t="b">
        <v>0</v>
      </c>
      <c r="M2903" t="s">
        <v>6254</v>
      </c>
    </row>
    <row r="2904" spans="1:25" x14ac:dyDescent="0.2">
      <c r="A2904">
        <v>4890</v>
      </c>
      <c r="B2904" t="s">
        <v>6243</v>
      </c>
      <c r="C2904" t="s">
        <v>18</v>
      </c>
      <c r="D2904" t="s">
        <v>6255</v>
      </c>
      <c r="E2904" t="s">
        <v>6256</v>
      </c>
      <c r="F2904" t="s">
        <v>369</v>
      </c>
      <c r="G2904" t="s">
        <v>62</v>
      </c>
      <c r="H2904" t="b">
        <v>0</v>
      </c>
      <c r="I2904" t="b">
        <v>0</v>
      </c>
      <c r="L2904" t="b">
        <v>0</v>
      </c>
      <c r="M2904" t="s">
        <v>6257</v>
      </c>
      <c r="N2904" t="s">
        <v>6258</v>
      </c>
    </row>
    <row r="2905" spans="1:25" x14ac:dyDescent="0.2">
      <c r="A2905">
        <v>4891</v>
      </c>
      <c r="B2905" t="s">
        <v>6243</v>
      </c>
      <c r="C2905" t="s">
        <v>18</v>
      </c>
      <c r="D2905" t="s">
        <v>6259</v>
      </c>
      <c r="E2905" t="s">
        <v>647</v>
      </c>
      <c r="F2905" t="s">
        <v>369</v>
      </c>
      <c r="G2905" t="s">
        <v>62</v>
      </c>
      <c r="H2905" t="b">
        <v>0</v>
      </c>
      <c r="I2905" t="b">
        <v>0</v>
      </c>
      <c r="L2905" t="b">
        <v>0</v>
      </c>
    </row>
    <row r="2907" spans="1:25" x14ac:dyDescent="0.2">
      <c r="A2907" s="2">
        <v>4928</v>
      </c>
      <c r="B2907" s="2" t="s">
        <v>6260</v>
      </c>
      <c r="C2907" s="2" t="s">
        <v>13</v>
      </c>
      <c r="D2907" s="2" t="s">
        <v>6261</v>
      </c>
      <c r="E2907" s="2" t="s">
        <v>6262</v>
      </c>
      <c r="F2907" s="2" t="s">
        <v>196</v>
      </c>
      <c r="G2907" s="2" t="s">
        <v>24</v>
      </c>
      <c r="H2907" s="2"/>
      <c r="I2907" s="2"/>
      <c r="J2907" s="2"/>
      <c r="K2907" s="2"/>
      <c r="L2907" s="2"/>
      <c r="M2907" s="2"/>
      <c r="N2907" s="2"/>
      <c r="O2907" s="2"/>
      <c r="P2907" s="2"/>
      <c r="Q2907" s="2"/>
      <c r="R2907" s="2"/>
      <c r="S2907" s="2"/>
      <c r="T2907" s="2"/>
      <c r="U2907" s="2"/>
      <c r="V2907" s="2"/>
      <c r="W2907" s="2"/>
      <c r="X2907" s="2"/>
      <c r="Y2907" s="2"/>
    </row>
    <row r="2908" spans="1:25" x14ac:dyDescent="0.2">
      <c r="A2908">
        <v>4929</v>
      </c>
      <c r="B2908" t="s">
        <v>6260</v>
      </c>
      <c r="C2908" t="s">
        <v>18</v>
      </c>
      <c r="D2908" t="s">
        <v>6263</v>
      </c>
      <c r="E2908" t="s">
        <v>381</v>
      </c>
      <c r="F2908" t="s">
        <v>196</v>
      </c>
      <c r="G2908" t="s">
        <v>24</v>
      </c>
      <c r="H2908" t="b">
        <v>1</v>
      </c>
      <c r="I2908" t="b">
        <v>1</v>
      </c>
      <c r="L2908" t="b">
        <v>1</v>
      </c>
      <c r="M2908" t="s">
        <v>6264</v>
      </c>
    </row>
    <row r="2909" spans="1:25" x14ac:dyDescent="0.2">
      <c r="A2909">
        <v>4930</v>
      </c>
      <c r="B2909" t="s">
        <v>6260</v>
      </c>
      <c r="C2909" t="s">
        <v>18</v>
      </c>
      <c r="D2909" t="s">
        <v>6265</v>
      </c>
      <c r="E2909" t="s">
        <v>6017</v>
      </c>
      <c r="F2909" t="s">
        <v>122</v>
      </c>
      <c r="G2909" t="s">
        <v>24</v>
      </c>
      <c r="H2909" t="b">
        <v>0</v>
      </c>
      <c r="I2909" t="b">
        <v>0</v>
      </c>
      <c r="L2909" t="b">
        <v>0</v>
      </c>
      <c r="M2909" t="s">
        <v>6266</v>
      </c>
    </row>
    <row r="2910" spans="1:25" x14ac:dyDescent="0.2">
      <c r="A2910">
        <v>4931</v>
      </c>
      <c r="B2910" t="s">
        <v>6260</v>
      </c>
      <c r="C2910" t="s">
        <v>18</v>
      </c>
      <c r="D2910" t="s">
        <v>1829</v>
      </c>
      <c r="E2910" t="s">
        <v>19</v>
      </c>
      <c r="F2910" t="s">
        <v>16</v>
      </c>
      <c r="G2910" t="s">
        <v>24</v>
      </c>
      <c r="H2910" t="b">
        <v>0</v>
      </c>
      <c r="I2910" t="b">
        <v>0</v>
      </c>
      <c r="L2910" t="b">
        <v>0</v>
      </c>
      <c r="M2910" t="s">
        <v>1830</v>
      </c>
    </row>
    <row r="2911" spans="1:25" x14ac:dyDescent="0.2">
      <c r="A2911">
        <v>4932</v>
      </c>
      <c r="B2911" t="s">
        <v>6260</v>
      </c>
      <c r="C2911" t="s">
        <v>18</v>
      </c>
      <c r="D2911" t="s">
        <v>1824</v>
      </c>
      <c r="E2911" t="s">
        <v>381</v>
      </c>
      <c r="F2911" t="s">
        <v>159</v>
      </c>
      <c r="G2911" t="s">
        <v>24</v>
      </c>
      <c r="H2911" t="b">
        <v>0</v>
      </c>
      <c r="I2911" t="b">
        <v>0</v>
      </c>
      <c r="L2911" t="b">
        <v>0</v>
      </c>
      <c r="M2911" t="s">
        <v>1825</v>
      </c>
    </row>
    <row r="2912" spans="1:25" x14ac:dyDescent="0.2">
      <c r="A2912">
        <v>4933</v>
      </c>
      <c r="B2912" t="s">
        <v>6260</v>
      </c>
      <c r="C2912" t="s">
        <v>18</v>
      </c>
      <c r="D2912" t="s">
        <v>1826</v>
      </c>
      <c r="E2912" t="s">
        <v>381</v>
      </c>
      <c r="F2912" t="s">
        <v>174</v>
      </c>
      <c r="G2912" t="s">
        <v>24</v>
      </c>
      <c r="H2912" t="b">
        <v>0</v>
      </c>
      <c r="I2912" t="b">
        <v>0</v>
      </c>
      <c r="L2912" t="b">
        <v>0</v>
      </c>
      <c r="M2912" t="s">
        <v>1827</v>
      </c>
      <c r="N2912" t="s">
        <v>1828</v>
      </c>
    </row>
    <row r="2914" spans="1:25" x14ac:dyDescent="0.2">
      <c r="A2914" s="2">
        <v>4956</v>
      </c>
      <c r="B2914" s="2" t="s">
        <v>6267</v>
      </c>
      <c r="C2914" s="2" t="s">
        <v>13</v>
      </c>
      <c r="D2914" s="2" t="s">
        <v>6268</v>
      </c>
      <c r="E2914" s="2" t="s">
        <v>6269</v>
      </c>
      <c r="F2914" s="2" t="s">
        <v>6173</v>
      </c>
      <c r="G2914" s="2" t="s">
        <v>62</v>
      </c>
      <c r="H2914" s="2"/>
      <c r="I2914" s="2"/>
      <c r="J2914" s="2"/>
      <c r="K2914" s="2"/>
      <c r="L2914" s="2"/>
      <c r="M2914" s="2"/>
      <c r="N2914" s="2"/>
      <c r="O2914" s="2"/>
      <c r="P2914" s="2"/>
      <c r="Q2914" s="2"/>
      <c r="R2914" s="2"/>
      <c r="S2914" s="2"/>
      <c r="T2914" s="2"/>
      <c r="U2914" s="2"/>
      <c r="V2914" s="2"/>
      <c r="W2914" s="2"/>
      <c r="X2914" s="2"/>
      <c r="Y2914" s="2"/>
    </row>
    <row r="2915" spans="1:25" x14ac:dyDescent="0.2">
      <c r="A2915">
        <v>4957</v>
      </c>
      <c r="B2915" t="s">
        <v>6267</v>
      </c>
      <c r="C2915" t="s">
        <v>18</v>
      </c>
      <c r="D2915" t="s">
        <v>6268</v>
      </c>
      <c r="E2915" t="s">
        <v>6269</v>
      </c>
      <c r="F2915" t="s">
        <v>6173</v>
      </c>
      <c r="G2915" t="s">
        <v>62</v>
      </c>
      <c r="H2915" t="b">
        <v>1</v>
      </c>
      <c r="K2915" t="b">
        <v>1</v>
      </c>
      <c r="L2915" t="b">
        <v>1</v>
      </c>
      <c r="M2915" t="s">
        <v>6270</v>
      </c>
      <c r="N2915" t="s">
        <v>6271</v>
      </c>
    </row>
    <row r="2916" spans="1:25" x14ac:dyDescent="0.2">
      <c r="A2916">
        <v>4958</v>
      </c>
      <c r="B2916" t="s">
        <v>6267</v>
      </c>
      <c r="C2916" t="s">
        <v>18</v>
      </c>
      <c r="D2916" t="s">
        <v>6272</v>
      </c>
      <c r="E2916" t="s">
        <v>6273</v>
      </c>
      <c r="F2916" t="s">
        <v>6173</v>
      </c>
      <c r="G2916" t="s">
        <v>62</v>
      </c>
      <c r="H2916" t="b">
        <v>0</v>
      </c>
      <c r="K2916" t="b">
        <v>0</v>
      </c>
      <c r="L2916" t="b">
        <v>0</v>
      </c>
    </row>
    <row r="2917" spans="1:25" x14ac:dyDescent="0.2">
      <c r="A2917">
        <v>4959</v>
      </c>
      <c r="B2917" t="s">
        <v>6267</v>
      </c>
      <c r="C2917" t="s">
        <v>18</v>
      </c>
      <c r="D2917" t="s">
        <v>6274</v>
      </c>
      <c r="E2917" t="s">
        <v>6275</v>
      </c>
      <c r="F2917" t="s">
        <v>78</v>
      </c>
      <c r="G2917" t="s">
        <v>62</v>
      </c>
      <c r="H2917" t="b">
        <v>0</v>
      </c>
      <c r="K2917" t="b">
        <v>0</v>
      </c>
      <c r="L2917" t="b">
        <v>0</v>
      </c>
      <c r="M2917" t="s">
        <v>6276</v>
      </c>
    </row>
    <row r="2918" spans="1:25" x14ac:dyDescent="0.2">
      <c r="A2918">
        <v>4960</v>
      </c>
      <c r="B2918" t="s">
        <v>6267</v>
      </c>
      <c r="C2918" t="s">
        <v>18</v>
      </c>
      <c r="D2918" t="s">
        <v>6277</v>
      </c>
      <c r="E2918" t="s">
        <v>6278</v>
      </c>
      <c r="F2918" t="s">
        <v>78</v>
      </c>
      <c r="G2918" t="s">
        <v>62</v>
      </c>
      <c r="H2918" t="b">
        <v>0</v>
      </c>
      <c r="K2918" t="b">
        <v>0</v>
      </c>
      <c r="L2918" t="b">
        <v>0</v>
      </c>
      <c r="M2918" t="s">
        <v>6279</v>
      </c>
    </row>
    <row r="2919" spans="1:25" x14ac:dyDescent="0.2">
      <c r="A2919">
        <v>4961</v>
      </c>
      <c r="B2919" t="s">
        <v>6267</v>
      </c>
      <c r="C2919" t="s">
        <v>18</v>
      </c>
      <c r="D2919" t="s">
        <v>6280</v>
      </c>
      <c r="E2919" t="s">
        <v>6281</v>
      </c>
      <c r="F2919" t="s">
        <v>78</v>
      </c>
      <c r="G2919" t="s">
        <v>88</v>
      </c>
      <c r="H2919" t="b">
        <v>0</v>
      </c>
      <c r="K2919" t="b">
        <v>0</v>
      </c>
      <c r="L2919" t="b">
        <v>0</v>
      </c>
      <c r="M2919" t="s">
        <v>6282</v>
      </c>
      <c r="N2919" t="s">
        <v>6283</v>
      </c>
    </row>
    <row r="2921" spans="1:25" x14ac:dyDescent="0.2">
      <c r="A2921" s="2">
        <v>4963</v>
      </c>
      <c r="B2921" s="2" t="s">
        <v>6284</v>
      </c>
      <c r="C2921" s="2" t="s">
        <v>13</v>
      </c>
      <c r="D2921" s="2" t="s">
        <v>590</v>
      </c>
      <c r="E2921" s="2" t="s">
        <v>591</v>
      </c>
      <c r="F2921" s="2" t="s">
        <v>369</v>
      </c>
      <c r="G2921" s="2" t="s">
        <v>417</v>
      </c>
      <c r="H2921" s="2"/>
      <c r="I2921" s="2"/>
      <c r="J2921" s="2"/>
      <c r="K2921" s="2"/>
      <c r="L2921" s="2"/>
      <c r="M2921" s="2"/>
      <c r="N2921" s="2"/>
      <c r="O2921" s="2"/>
      <c r="P2921" s="2"/>
      <c r="Q2921" s="2"/>
      <c r="R2921" s="2"/>
      <c r="S2921" s="2"/>
      <c r="T2921" s="2"/>
      <c r="U2921" s="2"/>
      <c r="V2921" s="2"/>
      <c r="W2921" s="2"/>
      <c r="X2921" s="2"/>
      <c r="Y2921" s="2"/>
    </row>
    <row r="2922" spans="1:25" x14ac:dyDescent="0.2">
      <c r="A2922">
        <v>4964</v>
      </c>
      <c r="B2922" t="s">
        <v>6284</v>
      </c>
      <c r="C2922" t="s">
        <v>18</v>
      </c>
      <c r="D2922" t="s">
        <v>590</v>
      </c>
      <c r="E2922" t="s">
        <v>591</v>
      </c>
      <c r="F2922" t="s">
        <v>369</v>
      </c>
      <c r="G2922" t="s">
        <v>417</v>
      </c>
      <c r="H2922" t="b">
        <v>1</v>
      </c>
      <c r="K2922" t="b">
        <v>1</v>
      </c>
      <c r="L2922" t="b">
        <v>1</v>
      </c>
      <c r="M2922" t="s">
        <v>592</v>
      </c>
      <c r="N2922" t="s">
        <v>593</v>
      </c>
    </row>
    <row r="2923" spans="1:25" x14ac:dyDescent="0.2">
      <c r="A2923">
        <v>4965</v>
      </c>
      <c r="B2923" t="s">
        <v>6284</v>
      </c>
      <c r="C2923" t="s">
        <v>18</v>
      </c>
      <c r="D2923" t="s">
        <v>583</v>
      </c>
      <c r="E2923" t="s">
        <v>584</v>
      </c>
      <c r="F2923" t="s">
        <v>369</v>
      </c>
      <c r="G2923" t="s">
        <v>417</v>
      </c>
      <c r="H2923" t="b">
        <v>0</v>
      </c>
      <c r="K2923" t="b">
        <v>0</v>
      </c>
      <c r="L2923" t="b">
        <v>0</v>
      </c>
      <c r="M2923" t="s">
        <v>585</v>
      </c>
      <c r="N2923" t="s">
        <v>586</v>
      </c>
    </row>
    <row r="2924" spans="1:25" x14ac:dyDescent="0.2">
      <c r="A2924">
        <v>4966</v>
      </c>
      <c r="B2924" t="s">
        <v>6284</v>
      </c>
      <c r="C2924" t="s">
        <v>18</v>
      </c>
      <c r="D2924" t="s">
        <v>6285</v>
      </c>
      <c r="E2924" t="s">
        <v>6286</v>
      </c>
      <c r="F2924" t="s">
        <v>369</v>
      </c>
      <c r="G2924" t="s">
        <v>417</v>
      </c>
      <c r="H2924" t="b">
        <v>0</v>
      </c>
      <c r="K2924" t="b">
        <v>0</v>
      </c>
      <c r="L2924" t="b">
        <v>0</v>
      </c>
      <c r="M2924" t="s">
        <v>6287</v>
      </c>
      <c r="N2924" t="s">
        <v>745</v>
      </c>
    </row>
    <row r="2925" spans="1:25" x14ac:dyDescent="0.2">
      <c r="A2925">
        <v>4967</v>
      </c>
      <c r="B2925" t="s">
        <v>6284</v>
      </c>
      <c r="C2925" t="s">
        <v>18</v>
      </c>
      <c r="D2925" t="s">
        <v>6288</v>
      </c>
      <c r="E2925" t="s">
        <v>6289</v>
      </c>
      <c r="F2925" t="s">
        <v>369</v>
      </c>
      <c r="G2925" t="s">
        <v>88</v>
      </c>
      <c r="H2925" t="b">
        <v>0</v>
      </c>
      <c r="K2925" t="b">
        <v>0</v>
      </c>
      <c r="L2925" t="b">
        <v>0</v>
      </c>
      <c r="M2925" t="s">
        <v>6290</v>
      </c>
      <c r="N2925" t="s">
        <v>6291</v>
      </c>
    </row>
    <row r="2926" spans="1:25" x14ac:dyDescent="0.2">
      <c r="A2926">
        <v>4968</v>
      </c>
      <c r="B2926" t="s">
        <v>6284</v>
      </c>
      <c r="C2926" t="s">
        <v>18</v>
      </c>
      <c r="D2926" t="s">
        <v>580</v>
      </c>
      <c r="E2926" t="s">
        <v>582</v>
      </c>
      <c r="F2926" t="s">
        <v>205</v>
      </c>
      <c r="G2926" t="s">
        <v>417</v>
      </c>
      <c r="H2926" t="b">
        <v>0</v>
      </c>
      <c r="K2926" t="b">
        <v>0</v>
      </c>
      <c r="L2926" t="b">
        <v>0</v>
      </c>
    </row>
    <row r="2928" spans="1:25" x14ac:dyDescent="0.2">
      <c r="A2928" s="2">
        <v>4970</v>
      </c>
      <c r="B2928" s="2" t="s">
        <v>6292</v>
      </c>
      <c r="C2928" s="2" t="s">
        <v>13</v>
      </c>
      <c r="D2928" s="2" t="s">
        <v>6293</v>
      </c>
      <c r="E2928" s="2" t="s">
        <v>6294</v>
      </c>
      <c r="F2928" s="2" t="s">
        <v>369</v>
      </c>
      <c r="G2928" s="2" t="s">
        <v>17</v>
      </c>
      <c r="H2928" s="2"/>
      <c r="I2928" s="2"/>
      <c r="J2928" s="2"/>
      <c r="K2928" s="2"/>
      <c r="L2928" s="2"/>
      <c r="M2928" s="2"/>
      <c r="N2928" s="2"/>
      <c r="O2928" s="2"/>
      <c r="P2928" s="2"/>
      <c r="Q2928" s="2"/>
      <c r="R2928" s="2"/>
      <c r="S2928" s="2"/>
      <c r="T2928" s="2"/>
      <c r="U2928" s="2"/>
      <c r="V2928" s="2"/>
      <c r="W2928" s="2"/>
      <c r="X2928" s="2"/>
      <c r="Y2928" s="2"/>
    </row>
    <row r="2929" spans="1:25" x14ac:dyDescent="0.2">
      <c r="A2929">
        <v>4971</v>
      </c>
      <c r="B2929" t="s">
        <v>6292</v>
      </c>
      <c r="C2929" t="s">
        <v>18</v>
      </c>
      <c r="D2929" t="s">
        <v>6293</v>
      </c>
      <c r="E2929" t="s">
        <v>6294</v>
      </c>
      <c r="F2929" t="s">
        <v>369</v>
      </c>
      <c r="G2929" t="s">
        <v>17</v>
      </c>
      <c r="H2929" t="b">
        <v>1</v>
      </c>
      <c r="K2929" t="b">
        <v>1</v>
      </c>
      <c r="L2929" t="b">
        <v>1</v>
      </c>
      <c r="M2929" t="s">
        <v>6295</v>
      </c>
      <c r="N2929" t="s">
        <v>6296</v>
      </c>
    </row>
    <row r="2930" spans="1:25" x14ac:dyDescent="0.2">
      <c r="A2930">
        <v>4972</v>
      </c>
      <c r="B2930" t="s">
        <v>6292</v>
      </c>
      <c r="C2930" t="s">
        <v>18</v>
      </c>
      <c r="D2930" t="s">
        <v>6297</v>
      </c>
      <c r="E2930" t="s">
        <v>6298</v>
      </c>
      <c r="F2930" t="s">
        <v>369</v>
      </c>
      <c r="G2930" t="s">
        <v>17</v>
      </c>
      <c r="H2930" t="b">
        <v>0</v>
      </c>
      <c r="K2930" t="b">
        <v>0</v>
      </c>
      <c r="L2930" t="b">
        <v>0</v>
      </c>
    </row>
    <row r="2931" spans="1:25" x14ac:dyDescent="0.2">
      <c r="A2931">
        <v>4973</v>
      </c>
      <c r="B2931" t="s">
        <v>6292</v>
      </c>
      <c r="C2931" t="s">
        <v>18</v>
      </c>
      <c r="D2931" t="s">
        <v>4550</v>
      </c>
      <c r="E2931" t="s">
        <v>4551</v>
      </c>
      <c r="F2931" t="s">
        <v>369</v>
      </c>
      <c r="G2931" t="s">
        <v>17</v>
      </c>
      <c r="H2931" t="b">
        <v>0</v>
      </c>
      <c r="K2931" t="b">
        <v>0</v>
      </c>
      <c r="L2931" t="b">
        <v>0</v>
      </c>
      <c r="M2931" t="s">
        <v>4552</v>
      </c>
    </row>
    <row r="2932" spans="1:25" x14ac:dyDescent="0.2">
      <c r="A2932">
        <v>4974</v>
      </c>
      <c r="B2932" t="s">
        <v>6292</v>
      </c>
      <c r="C2932" t="s">
        <v>18</v>
      </c>
      <c r="D2932" t="s">
        <v>6299</v>
      </c>
      <c r="E2932" t="s">
        <v>6300</v>
      </c>
      <c r="F2932" t="s">
        <v>369</v>
      </c>
      <c r="G2932" t="s">
        <v>17</v>
      </c>
      <c r="H2932" t="b">
        <v>0</v>
      </c>
      <c r="K2932" t="b">
        <v>0</v>
      </c>
      <c r="L2932" t="b">
        <v>0</v>
      </c>
      <c r="M2932" t="s">
        <v>6301</v>
      </c>
    </row>
    <row r="2933" spans="1:25" x14ac:dyDescent="0.2">
      <c r="A2933">
        <v>4975</v>
      </c>
      <c r="B2933" t="s">
        <v>6292</v>
      </c>
      <c r="C2933" t="s">
        <v>18</v>
      </c>
      <c r="D2933" t="s">
        <v>6302</v>
      </c>
      <c r="E2933" t="s">
        <v>6303</v>
      </c>
      <c r="F2933" t="s">
        <v>82</v>
      </c>
      <c r="G2933" t="s">
        <v>17</v>
      </c>
      <c r="H2933" t="b">
        <v>0</v>
      </c>
      <c r="K2933" t="b">
        <v>0</v>
      </c>
      <c r="L2933" t="b">
        <v>0</v>
      </c>
    </row>
    <row r="2935" spans="1:25" x14ac:dyDescent="0.2">
      <c r="A2935" s="2">
        <v>4977</v>
      </c>
      <c r="B2935" s="2" t="s">
        <v>6304</v>
      </c>
      <c r="C2935" s="2" t="s">
        <v>13</v>
      </c>
      <c r="D2935" s="2" t="s">
        <v>1512</v>
      </c>
      <c r="E2935" s="2" t="s">
        <v>1513</v>
      </c>
      <c r="F2935" s="2" t="s">
        <v>174</v>
      </c>
      <c r="G2935" s="2" t="s">
        <v>24</v>
      </c>
      <c r="H2935" s="2"/>
      <c r="I2935" s="2"/>
      <c r="J2935" s="2"/>
      <c r="K2935" s="2"/>
      <c r="L2935" s="2"/>
      <c r="M2935" s="2"/>
      <c r="N2935" s="2"/>
      <c r="O2935" s="2"/>
      <c r="P2935" s="2"/>
      <c r="Q2935" s="2"/>
      <c r="R2935" s="2"/>
      <c r="S2935" s="2"/>
      <c r="T2935" s="2"/>
      <c r="U2935" s="2"/>
      <c r="V2935" s="2"/>
      <c r="W2935" s="2"/>
      <c r="X2935" s="2"/>
      <c r="Y2935" s="2"/>
    </row>
    <row r="2936" spans="1:25" x14ac:dyDescent="0.2">
      <c r="A2936">
        <v>4978</v>
      </c>
      <c r="B2936" t="s">
        <v>6304</v>
      </c>
      <c r="C2936" t="s">
        <v>18</v>
      </c>
      <c r="D2936" t="s">
        <v>1512</v>
      </c>
      <c r="E2936" t="s">
        <v>1513</v>
      </c>
      <c r="F2936" t="s">
        <v>174</v>
      </c>
      <c r="G2936" t="s">
        <v>24</v>
      </c>
      <c r="H2936" t="b">
        <v>1</v>
      </c>
      <c r="I2936" t="b">
        <v>1</v>
      </c>
      <c r="L2936" t="b">
        <v>1</v>
      </c>
      <c r="M2936" t="s">
        <v>1514</v>
      </c>
      <c r="N2936" t="s">
        <v>1515</v>
      </c>
    </row>
    <row r="2937" spans="1:25" x14ac:dyDescent="0.2">
      <c r="A2937">
        <v>4979</v>
      </c>
      <c r="B2937" t="s">
        <v>6304</v>
      </c>
      <c r="C2937" t="s">
        <v>18</v>
      </c>
      <c r="D2937" t="s">
        <v>1508</v>
      </c>
      <c r="E2937" t="s">
        <v>1509</v>
      </c>
      <c r="F2937" t="s">
        <v>174</v>
      </c>
      <c r="G2937" t="s">
        <v>24</v>
      </c>
      <c r="H2937" t="b">
        <v>0</v>
      </c>
      <c r="I2937" t="b">
        <v>0</v>
      </c>
      <c r="L2937" t="b">
        <v>0</v>
      </c>
      <c r="M2937" t="s">
        <v>1510</v>
      </c>
      <c r="N2937" t="s">
        <v>1511</v>
      </c>
    </row>
    <row r="2938" spans="1:25" x14ac:dyDescent="0.2">
      <c r="A2938">
        <v>4980</v>
      </c>
      <c r="B2938" t="s">
        <v>6304</v>
      </c>
      <c r="C2938" t="s">
        <v>18</v>
      </c>
      <c r="D2938" t="s">
        <v>256</v>
      </c>
      <c r="E2938" t="s">
        <v>257</v>
      </c>
      <c r="F2938" t="s">
        <v>248</v>
      </c>
      <c r="G2938" t="s">
        <v>24</v>
      </c>
      <c r="H2938" t="b">
        <v>0</v>
      </c>
      <c r="I2938" t="b">
        <v>0</v>
      </c>
      <c r="L2938" t="b">
        <v>0</v>
      </c>
    </row>
    <row r="2939" spans="1:25" x14ac:dyDescent="0.2">
      <c r="A2939">
        <v>4981</v>
      </c>
      <c r="B2939" t="s">
        <v>6304</v>
      </c>
      <c r="C2939" t="s">
        <v>18</v>
      </c>
      <c r="D2939" t="s">
        <v>80</v>
      </c>
      <c r="E2939" t="s">
        <v>81</v>
      </c>
      <c r="F2939" t="s">
        <v>82</v>
      </c>
      <c r="G2939" t="s">
        <v>24</v>
      </c>
      <c r="H2939" t="b">
        <v>0</v>
      </c>
      <c r="I2939" t="b">
        <v>0</v>
      </c>
      <c r="L2939" t="b">
        <v>0</v>
      </c>
    </row>
    <row r="2940" spans="1:25" x14ac:dyDescent="0.2">
      <c r="A2940">
        <v>4982</v>
      </c>
      <c r="B2940" t="s">
        <v>6304</v>
      </c>
      <c r="C2940" t="s">
        <v>18</v>
      </c>
      <c r="D2940" t="s">
        <v>1516</v>
      </c>
      <c r="E2940" t="s">
        <v>1517</v>
      </c>
      <c r="F2940" t="s">
        <v>174</v>
      </c>
      <c r="G2940" t="s">
        <v>24</v>
      </c>
      <c r="H2940" t="b">
        <v>0</v>
      </c>
      <c r="I2940" t="b">
        <v>0</v>
      </c>
      <c r="L2940" t="b">
        <v>0</v>
      </c>
    </row>
    <row r="2942" spans="1:25" x14ac:dyDescent="0.2">
      <c r="A2942" s="2">
        <v>4984</v>
      </c>
      <c r="B2942" s="2" t="s">
        <v>6305</v>
      </c>
      <c r="C2942" s="2" t="s">
        <v>13</v>
      </c>
      <c r="D2942" s="2" t="s">
        <v>6306</v>
      </c>
      <c r="E2942" s="2" t="s">
        <v>6307</v>
      </c>
      <c r="F2942" s="2" t="s">
        <v>654</v>
      </c>
      <c r="G2942" s="2" t="s">
        <v>88</v>
      </c>
      <c r="H2942" s="2"/>
      <c r="I2942" s="2"/>
      <c r="J2942" s="2"/>
      <c r="K2942" s="2"/>
      <c r="L2942" s="2"/>
      <c r="M2942" s="2"/>
      <c r="N2942" s="2"/>
      <c r="O2942" s="2"/>
      <c r="P2942" s="2"/>
      <c r="Q2942" s="2"/>
      <c r="R2942" s="2"/>
      <c r="S2942" s="2"/>
      <c r="T2942" s="2"/>
      <c r="U2942" s="2"/>
      <c r="V2942" s="2"/>
      <c r="W2942" s="2"/>
      <c r="X2942" s="2"/>
      <c r="Y2942" s="2"/>
    </row>
    <row r="2943" spans="1:25" x14ac:dyDescent="0.2">
      <c r="A2943">
        <v>4985</v>
      </c>
      <c r="B2943" t="s">
        <v>6305</v>
      </c>
      <c r="C2943" t="s">
        <v>18</v>
      </c>
      <c r="D2943" t="s">
        <v>6306</v>
      </c>
      <c r="E2943" t="s">
        <v>6307</v>
      </c>
      <c r="F2943" t="s">
        <v>654</v>
      </c>
      <c r="G2943" t="s">
        <v>88</v>
      </c>
      <c r="H2943" t="b">
        <v>1</v>
      </c>
      <c r="I2943" t="b">
        <v>1</v>
      </c>
      <c r="L2943" t="b">
        <v>1</v>
      </c>
      <c r="M2943" t="s">
        <v>6308</v>
      </c>
      <c r="N2943" t="s">
        <v>6309</v>
      </c>
    </row>
    <row r="2944" spans="1:25" x14ac:dyDescent="0.2">
      <c r="A2944">
        <v>4986</v>
      </c>
      <c r="B2944" t="s">
        <v>6305</v>
      </c>
      <c r="C2944" t="s">
        <v>18</v>
      </c>
      <c r="D2944" t="s">
        <v>6310</v>
      </c>
      <c r="E2944" t="s">
        <v>6311</v>
      </c>
      <c r="F2944" t="s">
        <v>654</v>
      </c>
      <c r="G2944" t="s">
        <v>88</v>
      </c>
      <c r="H2944" t="b">
        <v>0</v>
      </c>
      <c r="I2944" t="b">
        <v>0</v>
      </c>
      <c r="L2944" t="b">
        <v>0</v>
      </c>
    </row>
    <row r="2945" spans="1:25" x14ac:dyDescent="0.2">
      <c r="A2945">
        <v>4987</v>
      </c>
      <c r="B2945" t="s">
        <v>6305</v>
      </c>
      <c r="C2945" t="s">
        <v>18</v>
      </c>
      <c r="D2945" t="s">
        <v>6312</v>
      </c>
      <c r="E2945" t="s">
        <v>6313</v>
      </c>
      <c r="F2945" t="s">
        <v>654</v>
      </c>
      <c r="G2945" t="s">
        <v>88</v>
      </c>
      <c r="H2945" t="b">
        <v>0</v>
      </c>
      <c r="I2945" t="b">
        <v>0</v>
      </c>
      <c r="L2945" t="b">
        <v>0</v>
      </c>
      <c r="M2945" t="s">
        <v>6314</v>
      </c>
      <c r="N2945" t="s">
        <v>6315</v>
      </c>
    </row>
    <row r="2946" spans="1:25" x14ac:dyDescent="0.2">
      <c r="A2946">
        <v>4988</v>
      </c>
      <c r="B2946" t="s">
        <v>6305</v>
      </c>
      <c r="C2946" t="s">
        <v>18</v>
      </c>
      <c r="D2946" t="s">
        <v>1445</v>
      </c>
      <c r="E2946" t="s">
        <v>1446</v>
      </c>
      <c r="F2946" t="s">
        <v>654</v>
      </c>
      <c r="G2946" t="s">
        <v>88</v>
      </c>
      <c r="H2946" t="b">
        <v>0</v>
      </c>
      <c r="I2946" t="b">
        <v>0</v>
      </c>
      <c r="L2946" t="b">
        <v>0</v>
      </c>
      <c r="M2946" t="s">
        <v>1447</v>
      </c>
      <c r="N2946" t="s">
        <v>1448</v>
      </c>
    </row>
    <row r="2947" spans="1:25" x14ac:dyDescent="0.2">
      <c r="A2947">
        <v>4989</v>
      </c>
      <c r="B2947" t="s">
        <v>6305</v>
      </c>
      <c r="C2947" t="s">
        <v>18</v>
      </c>
      <c r="D2947" t="s">
        <v>6316</v>
      </c>
      <c r="E2947" t="s">
        <v>6317</v>
      </c>
      <c r="F2947" t="s">
        <v>654</v>
      </c>
      <c r="G2947" t="s">
        <v>88</v>
      </c>
      <c r="H2947" t="b">
        <v>0</v>
      </c>
      <c r="I2947" t="b">
        <v>0</v>
      </c>
      <c r="L2947" t="b">
        <v>0</v>
      </c>
      <c r="M2947" t="s">
        <v>6318</v>
      </c>
      <c r="N2947" t="s">
        <v>6319</v>
      </c>
    </row>
    <row r="2949" spans="1:25" x14ac:dyDescent="0.2">
      <c r="A2949" s="2">
        <v>5012</v>
      </c>
      <c r="B2949" s="2" t="s">
        <v>6320</v>
      </c>
      <c r="C2949" s="2" t="s">
        <v>13</v>
      </c>
      <c r="D2949" s="2" t="s">
        <v>6321</v>
      </c>
      <c r="E2949" s="2" t="s">
        <v>6322</v>
      </c>
      <c r="F2949" s="2" t="s">
        <v>3988</v>
      </c>
      <c r="G2949" s="2" t="s">
        <v>32</v>
      </c>
      <c r="H2949" s="2"/>
      <c r="I2949" s="2"/>
      <c r="J2949" s="2"/>
      <c r="K2949" s="2"/>
      <c r="L2949" s="2"/>
      <c r="M2949" s="2"/>
      <c r="N2949" s="2"/>
      <c r="O2949" s="2"/>
      <c r="P2949" s="2"/>
      <c r="Q2949" s="2"/>
      <c r="R2949" s="2"/>
      <c r="S2949" s="2"/>
      <c r="T2949" s="2"/>
      <c r="U2949" s="2"/>
      <c r="V2949" s="2"/>
      <c r="W2949" s="2"/>
      <c r="X2949" s="2"/>
      <c r="Y2949" s="2"/>
    </row>
    <row r="2950" spans="1:25" x14ac:dyDescent="0.2">
      <c r="A2950">
        <v>5013</v>
      </c>
      <c r="B2950" t="s">
        <v>6320</v>
      </c>
      <c r="C2950" t="s">
        <v>18</v>
      </c>
      <c r="D2950" t="s">
        <v>4183</v>
      </c>
      <c r="E2950" t="s">
        <v>4184</v>
      </c>
      <c r="F2950" t="s">
        <v>3988</v>
      </c>
      <c r="G2950" t="s">
        <v>32</v>
      </c>
      <c r="H2950" t="b">
        <v>1</v>
      </c>
      <c r="I2950" t="b">
        <v>1</v>
      </c>
      <c r="L2950" t="b">
        <v>1</v>
      </c>
      <c r="M2950" t="s">
        <v>4185</v>
      </c>
    </row>
    <row r="2951" spans="1:25" x14ac:dyDescent="0.2">
      <c r="A2951">
        <v>5014</v>
      </c>
      <c r="B2951" t="s">
        <v>6320</v>
      </c>
      <c r="C2951" t="s">
        <v>18</v>
      </c>
      <c r="D2951" t="s">
        <v>4179</v>
      </c>
      <c r="E2951" t="s">
        <v>4180</v>
      </c>
      <c r="F2951" t="s">
        <v>27</v>
      </c>
      <c r="G2951" t="s">
        <v>32</v>
      </c>
      <c r="H2951" t="b">
        <v>0</v>
      </c>
      <c r="I2951" t="b">
        <v>0</v>
      </c>
      <c r="L2951" t="b">
        <v>0</v>
      </c>
      <c r="M2951" t="s">
        <v>4181</v>
      </c>
      <c r="N2951" t="s">
        <v>4182</v>
      </c>
    </row>
    <row r="2952" spans="1:25" x14ac:dyDescent="0.2">
      <c r="A2952">
        <v>5015</v>
      </c>
      <c r="B2952" t="s">
        <v>6320</v>
      </c>
      <c r="C2952" t="s">
        <v>18</v>
      </c>
      <c r="D2952" t="s">
        <v>2001</v>
      </c>
      <c r="E2952" t="s">
        <v>2002</v>
      </c>
      <c r="F2952" t="s">
        <v>200</v>
      </c>
      <c r="G2952" t="s">
        <v>345</v>
      </c>
      <c r="H2952" t="b">
        <v>0</v>
      </c>
      <c r="I2952" t="b">
        <v>0</v>
      </c>
      <c r="L2952" t="b">
        <v>0</v>
      </c>
      <c r="M2952" t="s">
        <v>2003</v>
      </c>
      <c r="N2952" t="s">
        <v>2004</v>
      </c>
      <c r="O2952" t="s">
        <v>2005</v>
      </c>
      <c r="P2952" t="s">
        <v>2006</v>
      </c>
    </row>
    <row r="2953" spans="1:25" x14ac:dyDescent="0.2">
      <c r="A2953">
        <v>5016</v>
      </c>
      <c r="B2953" t="s">
        <v>6320</v>
      </c>
      <c r="C2953" t="s">
        <v>18</v>
      </c>
      <c r="D2953" t="s">
        <v>2007</v>
      </c>
      <c r="E2953" t="s">
        <v>2008</v>
      </c>
      <c r="F2953" t="s">
        <v>200</v>
      </c>
      <c r="G2953" t="s">
        <v>32</v>
      </c>
      <c r="H2953" t="b">
        <v>0</v>
      </c>
      <c r="I2953" t="b">
        <v>0</v>
      </c>
      <c r="L2953" t="b">
        <v>0</v>
      </c>
      <c r="M2953" t="s">
        <v>2009</v>
      </c>
    </row>
    <row r="2954" spans="1:25" x14ac:dyDescent="0.2">
      <c r="A2954">
        <v>5017</v>
      </c>
      <c r="B2954" t="s">
        <v>6320</v>
      </c>
      <c r="C2954" t="s">
        <v>18</v>
      </c>
      <c r="D2954" t="s">
        <v>166</v>
      </c>
      <c r="E2954" t="s">
        <v>167</v>
      </c>
      <c r="F2954" t="s">
        <v>168</v>
      </c>
      <c r="G2954" t="s">
        <v>24</v>
      </c>
      <c r="H2954" t="b">
        <v>0</v>
      </c>
      <c r="I2954" t="b">
        <v>0</v>
      </c>
      <c r="L2954" t="b">
        <v>0</v>
      </c>
      <c r="M2954" t="s">
        <v>4156</v>
      </c>
      <c r="N2954" t="s">
        <v>4157</v>
      </c>
    </row>
    <row r="2956" spans="1:25" x14ac:dyDescent="0.2">
      <c r="A2956" s="2">
        <v>5019</v>
      </c>
      <c r="B2956" s="2" t="s">
        <v>6323</v>
      </c>
      <c r="C2956" s="2" t="s">
        <v>13</v>
      </c>
      <c r="D2956" s="2" t="s">
        <v>6324</v>
      </c>
      <c r="E2956" s="2" t="s">
        <v>6325</v>
      </c>
      <c r="F2956" s="2" t="s">
        <v>27</v>
      </c>
      <c r="G2956" s="2" t="s">
        <v>88</v>
      </c>
      <c r="H2956" s="2"/>
      <c r="I2956" s="2"/>
      <c r="J2956" s="2"/>
      <c r="K2956" s="2"/>
      <c r="L2956" s="2"/>
      <c r="M2956" s="2"/>
      <c r="N2956" s="2"/>
      <c r="O2956" s="2"/>
      <c r="P2956" s="2"/>
      <c r="Q2956" s="2"/>
      <c r="R2956" s="2"/>
      <c r="S2956" s="2"/>
      <c r="T2956" s="2"/>
      <c r="U2956" s="2"/>
      <c r="V2956" s="2"/>
      <c r="W2956" s="2"/>
      <c r="X2956" s="2"/>
      <c r="Y2956" s="2"/>
    </row>
    <row r="2957" spans="1:25" x14ac:dyDescent="0.2">
      <c r="A2957">
        <v>5020</v>
      </c>
      <c r="B2957" t="s">
        <v>6323</v>
      </c>
      <c r="C2957" t="s">
        <v>18</v>
      </c>
      <c r="D2957" t="s">
        <v>2115</v>
      </c>
      <c r="E2957" t="s">
        <v>2116</v>
      </c>
      <c r="F2957" t="s">
        <v>27</v>
      </c>
      <c r="G2957" t="s">
        <v>88</v>
      </c>
      <c r="H2957" t="b">
        <v>1</v>
      </c>
      <c r="K2957" t="b">
        <v>1</v>
      </c>
      <c r="L2957" t="b">
        <v>1</v>
      </c>
      <c r="M2957" t="s">
        <v>2117</v>
      </c>
      <c r="N2957" t="s">
        <v>2118</v>
      </c>
    </row>
    <row r="2958" spans="1:25" x14ac:dyDescent="0.2">
      <c r="A2958">
        <v>5021</v>
      </c>
      <c r="B2958" t="s">
        <v>6323</v>
      </c>
      <c r="C2958" t="s">
        <v>18</v>
      </c>
      <c r="D2958" t="s">
        <v>6324</v>
      </c>
      <c r="E2958" t="s">
        <v>6326</v>
      </c>
      <c r="F2958" t="s">
        <v>27</v>
      </c>
      <c r="G2958" t="s">
        <v>88</v>
      </c>
      <c r="H2958" t="b">
        <v>1</v>
      </c>
      <c r="K2958" t="b">
        <v>1</v>
      </c>
      <c r="L2958" t="b">
        <v>1</v>
      </c>
      <c r="M2958" t="s">
        <v>6327</v>
      </c>
      <c r="N2958" t="s">
        <v>6328</v>
      </c>
      <c r="O2958" t="s">
        <v>6329</v>
      </c>
    </row>
    <row r="2959" spans="1:25" x14ac:dyDescent="0.2">
      <c r="A2959">
        <v>5022</v>
      </c>
      <c r="B2959" t="s">
        <v>6323</v>
      </c>
      <c r="C2959" t="s">
        <v>18</v>
      </c>
      <c r="D2959" t="s">
        <v>2108</v>
      </c>
      <c r="E2959" t="s">
        <v>2109</v>
      </c>
      <c r="F2959" t="s">
        <v>27</v>
      </c>
      <c r="G2959" t="s">
        <v>17</v>
      </c>
      <c r="H2959" t="b">
        <v>0</v>
      </c>
      <c r="K2959" t="b">
        <v>0</v>
      </c>
      <c r="L2959" t="b">
        <v>0</v>
      </c>
      <c r="M2959" t="s">
        <v>2110</v>
      </c>
      <c r="N2959" t="s">
        <v>2111</v>
      </c>
    </row>
    <row r="2960" spans="1:25" x14ac:dyDescent="0.2">
      <c r="A2960">
        <v>5023</v>
      </c>
      <c r="B2960" t="s">
        <v>6323</v>
      </c>
      <c r="C2960" t="s">
        <v>18</v>
      </c>
      <c r="D2960" t="s">
        <v>2112</v>
      </c>
      <c r="E2960" t="s">
        <v>2113</v>
      </c>
      <c r="F2960" t="s">
        <v>78</v>
      </c>
      <c r="G2960" t="s">
        <v>17</v>
      </c>
      <c r="H2960" t="b">
        <v>0</v>
      </c>
      <c r="K2960" t="b">
        <v>0</v>
      </c>
      <c r="L2960" t="b">
        <v>0</v>
      </c>
      <c r="M2960" t="s">
        <v>2114</v>
      </c>
    </row>
    <row r="2961" spans="1:25" x14ac:dyDescent="0.2">
      <c r="A2961">
        <v>5024</v>
      </c>
      <c r="B2961" t="s">
        <v>6323</v>
      </c>
      <c r="C2961" t="s">
        <v>18</v>
      </c>
      <c r="D2961" t="s">
        <v>2100</v>
      </c>
      <c r="E2961" t="s">
        <v>2102</v>
      </c>
      <c r="F2961" t="s">
        <v>670</v>
      </c>
      <c r="G2961" t="s">
        <v>17</v>
      </c>
      <c r="H2961" t="b">
        <v>0</v>
      </c>
      <c r="K2961" t="b">
        <v>0</v>
      </c>
      <c r="L2961" t="b">
        <v>0</v>
      </c>
      <c r="M2961" t="s">
        <v>2103</v>
      </c>
    </row>
    <row r="2963" spans="1:25" x14ac:dyDescent="0.2">
      <c r="A2963" s="2">
        <v>5033</v>
      </c>
      <c r="B2963" s="2" t="s">
        <v>6330</v>
      </c>
      <c r="C2963" s="2" t="s">
        <v>13</v>
      </c>
      <c r="D2963" s="2" t="s">
        <v>6331</v>
      </c>
      <c r="E2963" s="2" t="s">
        <v>6332</v>
      </c>
      <c r="F2963" s="2" t="s">
        <v>451</v>
      </c>
      <c r="G2963" s="2" t="s">
        <v>62</v>
      </c>
      <c r="H2963" s="2"/>
      <c r="I2963" s="2"/>
      <c r="J2963" s="2"/>
      <c r="K2963" s="2"/>
      <c r="L2963" s="2"/>
      <c r="M2963" s="2"/>
      <c r="N2963" s="2"/>
      <c r="O2963" s="2"/>
      <c r="P2963" s="2"/>
      <c r="Q2963" s="2"/>
      <c r="R2963" s="2"/>
      <c r="S2963" s="2"/>
      <c r="T2963" s="2"/>
      <c r="U2963" s="2"/>
      <c r="V2963" s="2"/>
      <c r="W2963" s="2"/>
      <c r="X2963" s="2"/>
      <c r="Y2963" s="2"/>
    </row>
    <row r="2964" spans="1:25" x14ac:dyDescent="0.2">
      <c r="A2964">
        <v>5034</v>
      </c>
      <c r="B2964" t="s">
        <v>6330</v>
      </c>
      <c r="C2964" t="s">
        <v>18</v>
      </c>
      <c r="D2964" t="s">
        <v>6331</v>
      </c>
      <c r="E2964" t="s">
        <v>3441</v>
      </c>
      <c r="F2964" t="s">
        <v>451</v>
      </c>
      <c r="G2964" t="s">
        <v>62</v>
      </c>
      <c r="H2964" t="b">
        <v>1</v>
      </c>
      <c r="I2964" t="b">
        <v>1</v>
      </c>
      <c r="L2964" t="b">
        <v>1</v>
      </c>
      <c r="M2964" t="s">
        <v>6333</v>
      </c>
    </row>
    <row r="2965" spans="1:25" x14ac:dyDescent="0.2">
      <c r="A2965">
        <v>5035</v>
      </c>
      <c r="B2965" t="s">
        <v>6330</v>
      </c>
      <c r="C2965" t="s">
        <v>18</v>
      </c>
      <c r="D2965" t="s">
        <v>6334</v>
      </c>
      <c r="E2965" t="s">
        <v>6335</v>
      </c>
      <c r="F2965" t="s">
        <v>451</v>
      </c>
      <c r="G2965" t="s">
        <v>62</v>
      </c>
      <c r="H2965" t="b">
        <v>1</v>
      </c>
      <c r="I2965" t="b">
        <v>1</v>
      </c>
      <c r="L2965" t="b">
        <v>1</v>
      </c>
      <c r="M2965" t="s">
        <v>6336</v>
      </c>
    </row>
    <row r="2966" spans="1:25" x14ac:dyDescent="0.2">
      <c r="A2966">
        <v>5036</v>
      </c>
      <c r="B2966" t="s">
        <v>6330</v>
      </c>
      <c r="C2966" t="s">
        <v>18</v>
      </c>
      <c r="D2966" t="s">
        <v>6337</v>
      </c>
      <c r="E2966" t="s">
        <v>3893</v>
      </c>
      <c r="F2966" t="s">
        <v>451</v>
      </c>
      <c r="G2966" t="s">
        <v>62</v>
      </c>
      <c r="H2966" t="b">
        <v>1</v>
      </c>
      <c r="I2966" t="b">
        <v>1</v>
      </c>
      <c r="L2966" t="b">
        <v>1</v>
      </c>
      <c r="M2966" t="s">
        <v>6338</v>
      </c>
    </row>
    <row r="2967" spans="1:25" x14ac:dyDescent="0.2">
      <c r="A2967">
        <v>5037</v>
      </c>
      <c r="B2967" t="s">
        <v>6330</v>
      </c>
      <c r="C2967" t="s">
        <v>18</v>
      </c>
      <c r="D2967" t="s">
        <v>6339</v>
      </c>
      <c r="E2967" t="s">
        <v>6340</v>
      </c>
      <c r="F2967" t="s">
        <v>451</v>
      </c>
      <c r="G2967" t="s">
        <v>62</v>
      </c>
      <c r="H2967" t="b">
        <v>0</v>
      </c>
      <c r="I2967" t="b">
        <v>0</v>
      </c>
      <c r="L2967" t="b">
        <v>0</v>
      </c>
    </row>
    <row r="2968" spans="1:25" x14ac:dyDescent="0.2">
      <c r="A2968">
        <v>5038</v>
      </c>
      <c r="B2968" t="s">
        <v>6330</v>
      </c>
      <c r="C2968" t="s">
        <v>18</v>
      </c>
      <c r="D2968" t="s">
        <v>6341</v>
      </c>
      <c r="E2968" t="s">
        <v>756</v>
      </c>
      <c r="F2968" t="s">
        <v>71</v>
      </c>
      <c r="G2968" t="s">
        <v>62</v>
      </c>
      <c r="H2968" t="b">
        <v>0</v>
      </c>
      <c r="I2968" t="b">
        <v>0</v>
      </c>
      <c r="L2968" t="b">
        <v>0</v>
      </c>
      <c r="M2968" t="s">
        <v>6342</v>
      </c>
    </row>
    <row r="2970" spans="1:25" x14ac:dyDescent="0.2">
      <c r="A2970" s="2">
        <v>5068</v>
      </c>
      <c r="B2970" s="2" t="s">
        <v>6343</v>
      </c>
      <c r="C2970" s="2" t="s">
        <v>13</v>
      </c>
      <c r="D2970" s="2" t="s">
        <v>6344</v>
      </c>
      <c r="E2970" s="2" t="s">
        <v>5171</v>
      </c>
      <c r="F2970" s="2" t="s">
        <v>78</v>
      </c>
      <c r="G2970" s="2" t="s">
        <v>24</v>
      </c>
      <c r="H2970" s="2"/>
      <c r="I2970" s="2"/>
      <c r="J2970" s="2"/>
      <c r="K2970" s="2"/>
      <c r="L2970" s="2"/>
      <c r="M2970" s="2"/>
      <c r="N2970" s="2"/>
      <c r="O2970" s="2"/>
      <c r="P2970" s="2"/>
      <c r="Q2970" s="2"/>
      <c r="R2970" s="2"/>
      <c r="S2970" s="2"/>
      <c r="T2970" s="2"/>
      <c r="U2970" s="2"/>
      <c r="V2970" s="2"/>
      <c r="W2970" s="2"/>
      <c r="X2970" s="2"/>
      <c r="Y2970" s="2"/>
    </row>
    <row r="2971" spans="1:25" x14ac:dyDescent="0.2">
      <c r="A2971">
        <v>5069</v>
      </c>
      <c r="B2971" t="s">
        <v>6343</v>
      </c>
      <c r="C2971" t="s">
        <v>18</v>
      </c>
      <c r="D2971" t="s">
        <v>6344</v>
      </c>
      <c r="E2971" t="s">
        <v>5171</v>
      </c>
      <c r="F2971" t="s">
        <v>78</v>
      </c>
      <c r="G2971" t="s">
        <v>24</v>
      </c>
      <c r="H2971" t="b">
        <v>1</v>
      </c>
      <c r="I2971" t="b">
        <v>1</v>
      </c>
      <c r="L2971" t="b">
        <v>1</v>
      </c>
      <c r="M2971" t="s">
        <v>6345</v>
      </c>
      <c r="N2971" t="s">
        <v>6346</v>
      </c>
    </row>
    <row r="2972" spans="1:25" x14ac:dyDescent="0.2">
      <c r="A2972">
        <v>5070</v>
      </c>
      <c r="B2972" t="s">
        <v>6343</v>
      </c>
      <c r="C2972" t="s">
        <v>18</v>
      </c>
      <c r="D2972" t="s">
        <v>2999</v>
      </c>
      <c r="E2972" t="s">
        <v>3000</v>
      </c>
      <c r="F2972" t="s">
        <v>78</v>
      </c>
      <c r="G2972" t="s">
        <v>24</v>
      </c>
      <c r="H2972" t="b">
        <v>0</v>
      </c>
      <c r="I2972" t="b">
        <v>0</v>
      </c>
      <c r="L2972" t="b">
        <v>0</v>
      </c>
      <c r="M2972" t="s">
        <v>3001</v>
      </c>
    </row>
    <row r="2973" spans="1:25" x14ac:dyDescent="0.2">
      <c r="A2973">
        <v>5071</v>
      </c>
      <c r="B2973" t="s">
        <v>6343</v>
      </c>
      <c r="C2973" t="s">
        <v>18</v>
      </c>
      <c r="D2973" t="s">
        <v>1052</v>
      </c>
      <c r="E2973" t="s">
        <v>1053</v>
      </c>
      <c r="F2973" t="s">
        <v>596</v>
      </c>
      <c r="G2973" t="s">
        <v>201</v>
      </c>
      <c r="H2973" t="b">
        <v>0</v>
      </c>
      <c r="I2973" t="b">
        <v>0</v>
      </c>
      <c r="L2973" t="b">
        <v>0</v>
      </c>
      <c r="M2973" t="s">
        <v>1054</v>
      </c>
      <c r="N2973" t="s">
        <v>1055</v>
      </c>
    </row>
    <row r="2974" spans="1:25" x14ac:dyDescent="0.2">
      <c r="A2974">
        <v>5072</v>
      </c>
      <c r="B2974" t="s">
        <v>6343</v>
      </c>
      <c r="C2974" t="s">
        <v>18</v>
      </c>
      <c r="D2974" t="s">
        <v>1258</v>
      </c>
      <c r="E2974" t="s">
        <v>1259</v>
      </c>
      <c r="F2974" t="s">
        <v>151</v>
      </c>
      <c r="G2974" t="s">
        <v>24</v>
      </c>
      <c r="H2974" t="b">
        <v>0</v>
      </c>
      <c r="I2974" t="b">
        <v>0</v>
      </c>
      <c r="L2974" t="b">
        <v>0</v>
      </c>
      <c r="M2974" t="s">
        <v>1260</v>
      </c>
    </row>
    <row r="2975" spans="1:25" x14ac:dyDescent="0.2">
      <c r="A2975">
        <v>5073</v>
      </c>
      <c r="B2975" t="s">
        <v>6343</v>
      </c>
      <c r="C2975" t="s">
        <v>18</v>
      </c>
      <c r="D2975" t="s">
        <v>6347</v>
      </c>
      <c r="E2975" t="s">
        <v>356</v>
      </c>
      <c r="F2975" t="s">
        <v>78</v>
      </c>
      <c r="G2975" t="s">
        <v>24</v>
      </c>
      <c r="H2975" t="b">
        <v>0</v>
      </c>
      <c r="I2975" t="b">
        <v>0</v>
      </c>
      <c r="L2975" t="b">
        <v>0</v>
      </c>
      <c r="M2975" t="s">
        <v>6348</v>
      </c>
    </row>
    <row r="2977" spans="1:25" x14ac:dyDescent="0.2">
      <c r="A2977" s="2">
        <v>5075</v>
      </c>
      <c r="B2977" s="2" t="s">
        <v>6349</v>
      </c>
      <c r="C2977" s="2" t="s">
        <v>13</v>
      </c>
      <c r="D2977" s="2" t="s">
        <v>6350</v>
      </c>
      <c r="E2977" s="2" t="s">
        <v>6351</v>
      </c>
      <c r="F2977" s="2" t="s">
        <v>78</v>
      </c>
      <c r="G2977" s="2" t="s">
        <v>24</v>
      </c>
      <c r="H2977" s="2"/>
      <c r="I2977" s="2"/>
      <c r="J2977" s="2"/>
      <c r="K2977" s="2"/>
      <c r="L2977" s="2"/>
      <c r="M2977" s="2"/>
      <c r="N2977" s="2"/>
      <c r="O2977" s="2"/>
      <c r="P2977" s="2"/>
      <c r="Q2977" s="2"/>
      <c r="R2977" s="2"/>
      <c r="S2977" s="2"/>
      <c r="T2977" s="2"/>
      <c r="U2977" s="2"/>
      <c r="V2977" s="2"/>
      <c r="W2977" s="2"/>
      <c r="X2977" s="2"/>
      <c r="Y2977" s="2"/>
    </row>
    <row r="2978" spans="1:25" x14ac:dyDescent="0.2">
      <c r="A2978">
        <v>5076</v>
      </c>
      <c r="B2978" t="s">
        <v>6349</v>
      </c>
      <c r="C2978" t="s">
        <v>18</v>
      </c>
      <c r="D2978" t="s">
        <v>6350</v>
      </c>
      <c r="E2978" t="s">
        <v>3505</v>
      </c>
      <c r="F2978" t="s">
        <v>78</v>
      </c>
      <c r="G2978" t="s">
        <v>24</v>
      </c>
      <c r="H2978" t="b">
        <v>1</v>
      </c>
      <c r="K2978" t="b">
        <v>1</v>
      </c>
      <c r="L2978" t="b">
        <v>1</v>
      </c>
      <c r="M2978" t="s">
        <v>6352</v>
      </c>
      <c r="N2978" t="s">
        <v>6353</v>
      </c>
    </row>
    <row r="2979" spans="1:25" x14ac:dyDescent="0.2">
      <c r="A2979">
        <v>5077</v>
      </c>
      <c r="B2979" t="s">
        <v>6349</v>
      </c>
      <c r="C2979" t="s">
        <v>18</v>
      </c>
      <c r="D2979" t="s">
        <v>3145</v>
      </c>
      <c r="E2979" t="s">
        <v>3146</v>
      </c>
      <c r="F2979" t="s">
        <v>78</v>
      </c>
      <c r="G2979" t="s">
        <v>24</v>
      </c>
      <c r="H2979" t="b">
        <v>0</v>
      </c>
      <c r="K2979" t="b">
        <v>0</v>
      </c>
      <c r="L2979" t="b">
        <v>0</v>
      </c>
      <c r="M2979" t="s">
        <v>3147</v>
      </c>
      <c r="N2979" t="s">
        <v>3148</v>
      </c>
    </row>
    <row r="2980" spans="1:25" x14ac:dyDescent="0.2">
      <c r="A2980">
        <v>5078</v>
      </c>
      <c r="B2980" t="s">
        <v>6349</v>
      </c>
      <c r="C2980" t="s">
        <v>18</v>
      </c>
      <c r="D2980" t="s">
        <v>1529</v>
      </c>
      <c r="E2980" t="s">
        <v>1530</v>
      </c>
      <c r="F2980" t="s">
        <v>78</v>
      </c>
      <c r="G2980" t="s">
        <v>24</v>
      </c>
      <c r="H2980" t="b">
        <v>0</v>
      </c>
      <c r="K2980" t="b">
        <v>0</v>
      </c>
      <c r="L2980" t="b">
        <v>0</v>
      </c>
      <c r="M2980" t="s">
        <v>1531</v>
      </c>
    </row>
    <row r="2981" spans="1:25" x14ac:dyDescent="0.2">
      <c r="A2981">
        <v>5079</v>
      </c>
      <c r="B2981" t="s">
        <v>6349</v>
      </c>
      <c r="C2981" t="s">
        <v>18</v>
      </c>
      <c r="D2981" t="s">
        <v>6354</v>
      </c>
      <c r="E2981" t="s">
        <v>4810</v>
      </c>
      <c r="F2981" t="s">
        <v>78</v>
      </c>
      <c r="G2981" t="s">
        <v>24</v>
      </c>
      <c r="H2981" t="b">
        <v>0</v>
      </c>
      <c r="K2981" t="b">
        <v>0</v>
      </c>
      <c r="L2981" t="b">
        <v>0</v>
      </c>
      <c r="M2981" t="s">
        <v>6355</v>
      </c>
    </row>
    <row r="2982" spans="1:25" x14ac:dyDescent="0.2">
      <c r="A2982">
        <v>5080</v>
      </c>
      <c r="B2982" t="s">
        <v>6349</v>
      </c>
      <c r="C2982" t="s">
        <v>18</v>
      </c>
      <c r="D2982" t="s">
        <v>6356</v>
      </c>
      <c r="E2982" t="s">
        <v>6357</v>
      </c>
      <c r="F2982" t="s">
        <v>78</v>
      </c>
      <c r="G2982" t="s">
        <v>24</v>
      </c>
      <c r="H2982" t="b">
        <v>0</v>
      </c>
      <c r="K2982" t="b">
        <v>0</v>
      </c>
      <c r="L2982" t="b">
        <v>0</v>
      </c>
    </row>
    <row r="2984" spans="1:25" x14ac:dyDescent="0.2">
      <c r="A2984" s="2">
        <v>5082</v>
      </c>
      <c r="B2984" s="2" t="s">
        <v>6358</v>
      </c>
      <c r="C2984" s="2" t="s">
        <v>13</v>
      </c>
      <c r="D2984" s="2" t="s">
        <v>6359</v>
      </c>
      <c r="E2984" s="2" t="s">
        <v>6360</v>
      </c>
      <c r="F2984" s="2" t="s">
        <v>23</v>
      </c>
      <c r="G2984" s="2" t="s">
        <v>130</v>
      </c>
      <c r="H2984" s="2"/>
      <c r="I2984" s="2"/>
      <c r="J2984" s="2"/>
      <c r="K2984" s="2"/>
      <c r="L2984" s="2"/>
      <c r="M2984" s="2"/>
      <c r="N2984" s="2"/>
      <c r="O2984" s="2"/>
      <c r="P2984" s="2"/>
      <c r="Q2984" s="2"/>
      <c r="R2984" s="2"/>
      <c r="S2984" s="2"/>
      <c r="T2984" s="2"/>
      <c r="U2984" s="2"/>
      <c r="V2984" s="2"/>
      <c r="W2984" s="2"/>
      <c r="X2984" s="2"/>
      <c r="Y2984" s="2"/>
    </row>
    <row r="2985" spans="1:25" x14ac:dyDescent="0.2">
      <c r="A2985">
        <v>5083</v>
      </c>
      <c r="B2985" t="s">
        <v>6358</v>
      </c>
      <c r="C2985" t="s">
        <v>18</v>
      </c>
      <c r="D2985" t="s">
        <v>6359</v>
      </c>
      <c r="E2985" t="s">
        <v>392</v>
      </c>
      <c r="F2985" t="s">
        <v>23</v>
      </c>
      <c r="G2985" t="s">
        <v>130</v>
      </c>
      <c r="H2985" t="b">
        <v>1</v>
      </c>
      <c r="K2985" t="b">
        <v>1</v>
      </c>
      <c r="L2985" t="b">
        <v>1</v>
      </c>
      <c r="M2985" t="s">
        <v>6361</v>
      </c>
    </row>
    <row r="2986" spans="1:25" x14ac:dyDescent="0.2">
      <c r="A2986">
        <v>5084</v>
      </c>
      <c r="B2986" t="s">
        <v>6358</v>
      </c>
      <c r="C2986" t="s">
        <v>18</v>
      </c>
      <c r="D2986" t="s">
        <v>6362</v>
      </c>
      <c r="E2986" t="s">
        <v>6363</v>
      </c>
      <c r="F2986" t="s">
        <v>23</v>
      </c>
      <c r="G2986" t="s">
        <v>130</v>
      </c>
      <c r="H2986" t="b">
        <v>1</v>
      </c>
      <c r="K2986" t="b">
        <v>1</v>
      </c>
      <c r="L2986" t="b">
        <v>1</v>
      </c>
      <c r="M2986" t="s">
        <v>6364</v>
      </c>
    </row>
    <row r="2987" spans="1:25" x14ac:dyDescent="0.2">
      <c r="A2987">
        <v>5085</v>
      </c>
      <c r="B2987" t="s">
        <v>6358</v>
      </c>
      <c r="C2987" t="s">
        <v>18</v>
      </c>
      <c r="D2987" t="s">
        <v>6365</v>
      </c>
      <c r="E2987" t="s">
        <v>6366</v>
      </c>
      <c r="F2987" t="s">
        <v>23</v>
      </c>
      <c r="G2987" t="s">
        <v>130</v>
      </c>
      <c r="H2987" t="b">
        <v>0</v>
      </c>
      <c r="K2987" t="b">
        <v>0</v>
      </c>
      <c r="L2987" t="b">
        <v>0</v>
      </c>
    </row>
    <row r="2988" spans="1:25" x14ac:dyDescent="0.2">
      <c r="A2988">
        <v>5086</v>
      </c>
      <c r="B2988" t="s">
        <v>6358</v>
      </c>
      <c r="C2988" t="s">
        <v>18</v>
      </c>
      <c r="D2988" t="s">
        <v>6367</v>
      </c>
      <c r="E2988" t="s">
        <v>6368</v>
      </c>
      <c r="F2988" t="s">
        <v>23</v>
      </c>
      <c r="G2988" t="s">
        <v>252</v>
      </c>
      <c r="H2988" t="b">
        <v>0</v>
      </c>
      <c r="K2988" t="b">
        <v>0</v>
      </c>
      <c r="L2988" t="b">
        <v>0</v>
      </c>
    </row>
    <row r="2989" spans="1:25" x14ac:dyDescent="0.2">
      <c r="A2989">
        <v>5087</v>
      </c>
      <c r="B2989" t="s">
        <v>6358</v>
      </c>
      <c r="C2989" t="s">
        <v>18</v>
      </c>
      <c r="D2989" t="s">
        <v>6369</v>
      </c>
      <c r="E2989" t="s">
        <v>6370</v>
      </c>
      <c r="F2989" t="s">
        <v>23</v>
      </c>
      <c r="G2989" t="s">
        <v>134</v>
      </c>
      <c r="H2989" t="b">
        <v>0</v>
      </c>
      <c r="K2989" t="b">
        <v>0</v>
      </c>
      <c r="L2989" t="b">
        <v>0</v>
      </c>
    </row>
    <row r="2991" spans="1:25" x14ac:dyDescent="0.2">
      <c r="A2991" s="2">
        <v>5089</v>
      </c>
      <c r="B2991" s="2" t="s">
        <v>6371</v>
      </c>
      <c r="C2991" s="2" t="s">
        <v>13</v>
      </c>
      <c r="D2991" s="2" t="s">
        <v>6372</v>
      </c>
      <c r="E2991" s="2" t="s">
        <v>6373</v>
      </c>
      <c r="F2991" s="2" t="s">
        <v>174</v>
      </c>
      <c r="G2991" s="2" t="s">
        <v>17</v>
      </c>
      <c r="H2991" s="2"/>
      <c r="I2991" s="2"/>
      <c r="J2991" s="2"/>
      <c r="K2991" s="2"/>
      <c r="L2991" s="2"/>
      <c r="M2991" s="2"/>
      <c r="N2991" s="2"/>
      <c r="O2991" s="2"/>
      <c r="P2991" s="2"/>
      <c r="Q2991" s="2"/>
      <c r="R2991" s="2"/>
      <c r="S2991" s="2"/>
      <c r="T2991" s="2"/>
      <c r="U2991" s="2"/>
      <c r="V2991" s="2"/>
      <c r="W2991" s="2"/>
      <c r="X2991" s="2"/>
      <c r="Y2991" s="2"/>
    </row>
    <row r="2992" spans="1:25" x14ac:dyDescent="0.2">
      <c r="A2992">
        <v>5090</v>
      </c>
      <c r="B2992" t="s">
        <v>6371</v>
      </c>
      <c r="C2992" t="s">
        <v>18</v>
      </c>
      <c r="D2992" t="s">
        <v>6372</v>
      </c>
      <c r="E2992" t="s">
        <v>6374</v>
      </c>
      <c r="F2992" t="s">
        <v>174</v>
      </c>
      <c r="G2992" t="s">
        <v>17</v>
      </c>
      <c r="H2992" t="b">
        <v>1</v>
      </c>
      <c r="K2992" t="b">
        <v>1</v>
      </c>
      <c r="L2992" t="b">
        <v>1</v>
      </c>
      <c r="M2992" t="s">
        <v>6375</v>
      </c>
      <c r="N2992" t="s">
        <v>6376</v>
      </c>
    </row>
    <row r="2993" spans="1:25" x14ac:dyDescent="0.2">
      <c r="A2993">
        <v>5091</v>
      </c>
      <c r="B2993" t="s">
        <v>6371</v>
      </c>
      <c r="C2993" t="s">
        <v>18</v>
      </c>
      <c r="D2993" t="s">
        <v>6377</v>
      </c>
      <c r="E2993" t="s">
        <v>6378</v>
      </c>
      <c r="F2993" t="s">
        <v>174</v>
      </c>
      <c r="G2993" t="s">
        <v>17</v>
      </c>
      <c r="H2993" t="b">
        <v>0</v>
      </c>
      <c r="K2993" t="b">
        <v>0</v>
      </c>
      <c r="L2993" t="b">
        <v>0</v>
      </c>
    </row>
    <row r="2994" spans="1:25" x14ac:dyDescent="0.2">
      <c r="A2994">
        <v>5092</v>
      </c>
      <c r="B2994" t="s">
        <v>6371</v>
      </c>
      <c r="C2994" t="s">
        <v>18</v>
      </c>
      <c r="D2994" t="s">
        <v>6379</v>
      </c>
      <c r="E2994" t="s">
        <v>6380</v>
      </c>
      <c r="F2994" t="s">
        <v>174</v>
      </c>
      <c r="G2994" t="s">
        <v>17</v>
      </c>
      <c r="H2994" t="b">
        <v>0</v>
      </c>
      <c r="K2994" t="b">
        <v>0</v>
      </c>
      <c r="L2994" t="b">
        <v>0</v>
      </c>
      <c r="M2994" t="s">
        <v>6381</v>
      </c>
      <c r="N2994" t="s">
        <v>6382</v>
      </c>
    </row>
    <row r="2995" spans="1:25" x14ac:dyDescent="0.2">
      <c r="A2995">
        <v>5093</v>
      </c>
      <c r="B2995" t="s">
        <v>6371</v>
      </c>
      <c r="C2995" t="s">
        <v>18</v>
      </c>
      <c r="D2995" t="s">
        <v>6383</v>
      </c>
      <c r="E2995" t="s">
        <v>6384</v>
      </c>
      <c r="F2995" t="s">
        <v>174</v>
      </c>
      <c r="G2995" t="s">
        <v>17</v>
      </c>
      <c r="H2995" t="b">
        <v>0</v>
      </c>
      <c r="K2995" t="b">
        <v>0</v>
      </c>
      <c r="L2995" t="b">
        <v>0</v>
      </c>
    </row>
    <row r="2996" spans="1:25" x14ac:dyDescent="0.2">
      <c r="A2996">
        <v>5094</v>
      </c>
      <c r="B2996" t="s">
        <v>6371</v>
      </c>
      <c r="C2996" t="s">
        <v>18</v>
      </c>
      <c r="D2996" t="s">
        <v>6385</v>
      </c>
      <c r="E2996" t="s">
        <v>6386</v>
      </c>
      <c r="F2996" t="s">
        <v>174</v>
      </c>
      <c r="G2996" t="s">
        <v>17</v>
      </c>
      <c r="H2996" t="b">
        <v>0</v>
      </c>
      <c r="K2996" t="b">
        <v>0</v>
      </c>
      <c r="L2996" t="b">
        <v>0</v>
      </c>
      <c r="M2996" t="s">
        <v>6387</v>
      </c>
      <c r="N2996" t="s">
        <v>6388</v>
      </c>
    </row>
    <row r="2998" spans="1:25" x14ac:dyDescent="0.2">
      <c r="A2998" s="2">
        <v>5096</v>
      </c>
      <c r="B2998" s="2" t="s">
        <v>6389</v>
      </c>
      <c r="C2998" s="2" t="s">
        <v>13</v>
      </c>
      <c r="D2998" s="2" t="s">
        <v>177</v>
      </c>
      <c r="E2998" s="2" t="s">
        <v>178</v>
      </c>
      <c r="F2998" s="2" t="s">
        <v>174</v>
      </c>
      <c r="G2998" s="2" t="s">
        <v>17</v>
      </c>
      <c r="H2998" s="2"/>
      <c r="I2998" s="2"/>
      <c r="J2998" s="2"/>
      <c r="K2998" s="2"/>
      <c r="L2998" s="2"/>
      <c r="M2998" s="2"/>
      <c r="N2998" s="2"/>
      <c r="O2998" s="2"/>
      <c r="P2998" s="2"/>
      <c r="Q2998" s="2"/>
      <c r="R2998" s="2"/>
      <c r="S2998" s="2"/>
      <c r="T2998" s="2"/>
      <c r="U2998" s="2"/>
      <c r="V2998" s="2"/>
      <c r="W2998" s="2"/>
      <c r="X2998" s="2"/>
      <c r="Y2998" s="2"/>
    </row>
    <row r="2999" spans="1:25" x14ac:dyDescent="0.2">
      <c r="A2999">
        <v>5097</v>
      </c>
      <c r="B2999" t="s">
        <v>6389</v>
      </c>
      <c r="C2999" t="s">
        <v>18</v>
      </c>
      <c r="D2999" t="s">
        <v>177</v>
      </c>
      <c r="E2999" t="s">
        <v>178</v>
      </c>
      <c r="F2999" t="s">
        <v>174</v>
      </c>
      <c r="G2999" t="s">
        <v>17</v>
      </c>
      <c r="H2999" t="b">
        <v>1</v>
      </c>
      <c r="I2999" t="b">
        <v>1</v>
      </c>
      <c r="L2999" t="b">
        <v>1</v>
      </c>
      <c r="M2999" t="s">
        <v>4737</v>
      </c>
      <c r="N2999" t="s">
        <v>745</v>
      </c>
    </row>
    <row r="3000" spans="1:25" x14ac:dyDescent="0.2">
      <c r="A3000">
        <v>5098</v>
      </c>
      <c r="B3000" t="s">
        <v>6389</v>
      </c>
      <c r="C3000" t="s">
        <v>18</v>
      </c>
      <c r="D3000" t="s">
        <v>175</v>
      </c>
      <c r="E3000" t="s">
        <v>176</v>
      </c>
      <c r="F3000" t="s">
        <v>174</v>
      </c>
      <c r="G3000" t="s">
        <v>17</v>
      </c>
      <c r="H3000" t="b">
        <v>0</v>
      </c>
      <c r="I3000" t="b">
        <v>0</v>
      </c>
      <c r="L3000" t="b">
        <v>0</v>
      </c>
      <c r="M3000" t="s">
        <v>6390</v>
      </c>
      <c r="N3000" t="s">
        <v>6391</v>
      </c>
    </row>
    <row r="3001" spans="1:25" x14ac:dyDescent="0.2">
      <c r="A3001">
        <v>5099</v>
      </c>
      <c r="B3001" t="s">
        <v>6389</v>
      </c>
      <c r="C3001" t="s">
        <v>18</v>
      </c>
      <c r="D3001" t="s">
        <v>6392</v>
      </c>
      <c r="E3001" t="s">
        <v>6393</v>
      </c>
      <c r="F3001" t="s">
        <v>174</v>
      </c>
      <c r="G3001" t="s">
        <v>17</v>
      </c>
      <c r="H3001" t="b">
        <v>0</v>
      </c>
      <c r="I3001" t="b">
        <v>0</v>
      </c>
      <c r="L3001" t="b">
        <v>0</v>
      </c>
      <c r="M3001" t="s">
        <v>6394</v>
      </c>
      <c r="N3001" t="s">
        <v>6395</v>
      </c>
    </row>
    <row r="3002" spans="1:25" x14ac:dyDescent="0.2">
      <c r="A3002">
        <v>5100</v>
      </c>
      <c r="B3002" t="s">
        <v>6389</v>
      </c>
      <c r="C3002" t="s">
        <v>18</v>
      </c>
      <c r="D3002" t="s">
        <v>172</v>
      </c>
      <c r="E3002" t="s">
        <v>173</v>
      </c>
      <c r="F3002" t="s">
        <v>174</v>
      </c>
      <c r="G3002" t="s">
        <v>17</v>
      </c>
      <c r="H3002" t="b">
        <v>0</v>
      </c>
      <c r="I3002" t="b">
        <v>0</v>
      </c>
      <c r="L3002" t="b">
        <v>0</v>
      </c>
      <c r="M3002" t="s">
        <v>6396</v>
      </c>
      <c r="N3002" t="s">
        <v>6397</v>
      </c>
    </row>
    <row r="3003" spans="1:25" x14ac:dyDescent="0.2">
      <c r="A3003">
        <v>5101</v>
      </c>
      <c r="B3003" t="s">
        <v>6389</v>
      </c>
      <c r="C3003" t="s">
        <v>18</v>
      </c>
      <c r="D3003" t="s">
        <v>6398</v>
      </c>
      <c r="E3003" t="s">
        <v>6399</v>
      </c>
      <c r="F3003" t="s">
        <v>174</v>
      </c>
      <c r="G3003" t="s">
        <v>17</v>
      </c>
      <c r="H3003" t="b">
        <v>0</v>
      </c>
      <c r="I3003" t="b">
        <v>0</v>
      </c>
      <c r="L3003" t="b">
        <v>0</v>
      </c>
      <c r="M3003" t="s">
        <v>6400</v>
      </c>
      <c r="N3003" t="s">
        <v>6401</v>
      </c>
    </row>
    <row r="3005" spans="1:25" x14ac:dyDescent="0.2">
      <c r="A3005" s="2">
        <v>5110</v>
      </c>
      <c r="B3005" s="2" t="s">
        <v>6402</v>
      </c>
      <c r="C3005" s="2" t="s">
        <v>13</v>
      </c>
      <c r="D3005" s="2" t="s">
        <v>6403</v>
      </c>
      <c r="E3005" s="2" t="s">
        <v>6404</v>
      </c>
      <c r="F3005" s="2" t="s">
        <v>151</v>
      </c>
      <c r="G3005" s="2" t="s">
        <v>24</v>
      </c>
      <c r="H3005" s="2"/>
      <c r="I3005" s="2"/>
      <c r="J3005" s="2"/>
      <c r="K3005" s="2"/>
      <c r="L3005" s="2"/>
      <c r="M3005" s="2"/>
      <c r="N3005" s="2"/>
      <c r="O3005" s="2"/>
      <c r="P3005" s="2"/>
      <c r="Q3005" s="2"/>
      <c r="R3005" s="2"/>
      <c r="S3005" s="2"/>
      <c r="T3005" s="2"/>
      <c r="U3005" s="2"/>
      <c r="V3005" s="2"/>
      <c r="W3005" s="2"/>
      <c r="X3005" s="2"/>
      <c r="Y3005" s="2"/>
    </row>
    <row r="3006" spans="1:25" x14ac:dyDescent="0.2">
      <c r="A3006">
        <v>5111</v>
      </c>
      <c r="B3006" t="s">
        <v>6402</v>
      </c>
      <c r="C3006" t="s">
        <v>18</v>
      </c>
      <c r="D3006" t="s">
        <v>6405</v>
      </c>
      <c r="E3006" t="s">
        <v>6406</v>
      </c>
      <c r="F3006" t="s">
        <v>151</v>
      </c>
      <c r="G3006" t="s">
        <v>24</v>
      </c>
      <c r="H3006" t="b">
        <v>1</v>
      </c>
      <c r="K3006" t="b">
        <v>1</v>
      </c>
      <c r="L3006" t="b">
        <v>1</v>
      </c>
      <c r="M3006" t="s">
        <v>6407</v>
      </c>
      <c r="N3006" t="s">
        <v>745</v>
      </c>
    </row>
    <row r="3007" spans="1:25" x14ac:dyDescent="0.2">
      <c r="A3007">
        <v>5112</v>
      </c>
      <c r="B3007" t="s">
        <v>6402</v>
      </c>
      <c r="C3007" t="s">
        <v>18</v>
      </c>
      <c r="D3007" t="s">
        <v>6408</v>
      </c>
      <c r="E3007" t="s">
        <v>6409</v>
      </c>
      <c r="F3007" t="s">
        <v>159</v>
      </c>
      <c r="G3007" t="s">
        <v>953</v>
      </c>
      <c r="H3007" t="b">
        <v>0</v>
      </c>
      <c r="K3007" t="b">
        <v>0</v>
      </c>
      <c r="L3007" t="b">
        <v>0</v>
      </c>
      <c r="M3007" t="s">
        <v>6410</v>
      </c>
      <c r="N3007" t="s">
        <v>6411</v>
      </c>
      <c r="O3007" t="s">
        <v>6412</v>
      </c>
    </row>
    <row r="3008" spans="1:25" x14ac:dyDescent="0.2">
      <c r="A3008">
        <v>5113</v>
      </c>
      <c r="B3008" t="s">
        <v>6402</v>
      </c>
      <c r="C3008" t="s">
        <v>18</v>
      </c>
      <c r="D3008" t="s">
        <v>6413</v>
      </c>
      <c r="E3008" t="s">
        <v>6414</v>
      </c>
      <c r="F3008" t="s">
        <v>596</v>
      </c>
      <c r="G3008" t="s">
        <v>417</v>
      </c>
      <c r="H3008" t="b">
        <v>0</v>
      </c>
      <c r="K3008" t="b">
        <v>0</v>
      </c>
      <c r="L3008" t="b">
        <v>0</v>
      </c>
      <c r="M3008" t="s">
        <v>6415</v>
      </c>
    </row>
    <row r="3009" spans="1:25" x14ac:dyDescent="0.2">
      <c r="A3009">
        <v>5114</v>
      </c>
      <c r="B3009" t="s">
        <v>6402</v>
      </c>
      <c r="C3009" t="s">
        <v>18</v>
      </c>
      <c r="D3009" t="s">
        <v>3445</v>
      </c>
      <c r="E3009" t="s">
        <v>3446</v>
      </c>
      <c r="F3009" t="s">
        <v>151</v>
      </c>
      <c r="G3009" t="s">
        <v>17</v>
      </c>
      <c r="H3009" t="b">
        <v>0</v>
      </c>
      <c r="K3009" t="b">
        <v>0</v>
      </c>
      <c r="L3009" t="b">
        <v>0</v>
      </c>
      <c r="M3009" t="s">
        <v>3447</v>
      </c>
      <c r="N3009" t="s">
        <v>3448</v>
      </c>
    </row>
    <row r="3010" spans="1:25" x14ac:dyDescent="0.2">
      <c r="A3010">
        <v>5115</v>
      </c>
      <c r="B3010" t="s">
        <v>6402</v>
      </c>
      <c r="C3010" t="s">
        <v>18</v>
      </c>
      <c r="D3010" t="s">
        <v>6416</v>
      </c>
      <c r="E3010" t="s">
        <v>6417</v>
      </c>
      <c r="F3010" t="s">
        <v>122</v>
      </c>
      <c r="G3010" t="s">
        <v>62</v>
      </c>
      <c r="H3010" t="b">
        <v>0</v>
      </c>
      <c r="K3010" t="b">
        <v>0</v>
      </c>
      <c r="L3010" t="b">
        <v>0</v>
      </c>
    </row>
    <row r="3012" spans="1:25" x14ac:dyDescent="0.2">
      <c r="A3012" s="2">
        <v>5117</v>
      </c>
      <c r="B3012" s="2" t="s">
        <v>6418</v>
      </c>
      <c r="C3012" s="2" t="s">
        <v>13</v>
      </c>
      <c r="D3012" s="2" t="s">
        <v>6419</v>
      </c>
      <c r="E3012" s="2" t="s">
        <v>6420</v>
      </c>
      <c r="F3012" s="2" t="s">
        <v>78</v>
      </c>
      <c r="G3012" s="2" t="s">
        <v>17</v>
      </c>
      <c r="H3012" s="2"/>
      <c r="I3012" s="2"/>
      <c r="J3012" s="2"/>
      <c r="K3012" s="2"/>
      <c r="L3012" s="2"/>
      <c r="M3012" s="2"/>
      <c r="N3012" s="2"/>
      <c r="O3012" s="2"/>
      <c r="P3012" s="2"/>
      <c r="Q3012" s="2"/>
      <c r="R3012" s="2"/>
      <c r="S3012" s="2"/>
      <c r="T3012" s="2"/>
      <c r="U3012" s="2"/>
      <c r="V3012" s="2"/>
      <c r="W3012" s="2"/>
      <c r="X3012" s="2"/>
      <c r="Y3012" s="2"/>
    </row>
    <row r="3013" spans="1:25" x14ac:dyDescent="0.2">
      <c r="A3013">
        <v>5118</v>
      </c>
      <c r="B3013" t="s">
        <v>6418</v>
      </c>
      <c r="C3013" t="s">
        <v>18</v>
      </c>
      <c r="D3013" t="s">
        <v>6419</v>
      </c>
      <c r="E3013" t="s">
        <v>6420</v>
      </c>
      <c r="F3013" t="s">
        <v>78</v>
      </c>
      <c r="G3013" t="s">
        <v>17</v>
      </c>
      <c r="H3013" t="b">
        <v>1</v>
      </c>
      <c r="K3013" t="b">
        <v>1</v>
      </c>
      <c r="L3013" t="b">
        <v>1</v>
      </c>
      <c r="M3013" t="s">
        <v>6421</v>
      </c>
      <c r="N3013" t="s">
        <v>6422</v>
      </c>
    </row>
    <row r="3014" spans="1:25" x14ac:dyDescent="0.2">
      <c r="A3014">
        <v>5119</v>
      </c>
      <c r="B3014" t="s">
        <v>6418</v>
      </c>
      <c r="C3014" t="s">
        <v>18</v>
      </c>
      <c r="D3014" t="s">
        <v>6423</v>
      </c>
      <c r="E3014" t="s">
        <v>6424</v>
      </c>
      <c r="F3014" t="s">
        <v>78</v>
      </c>
      <c r="G3014" t="s">
        <v>17</v>
      </c>
      <c r="H3014" t="b">
        <v>0</v>
      </c>
      <c r="K3014" t="b">
        <v>0</v>
      </c>
      <c r="L3014" t="b">
        <v>0</v>
      </c>
      <c r="M3014" t="s">
        <v>6425</v>
      </c>
    </row>
    <row r="3015" spans="1:25" x14ac:dyDescent="0.2">
      <c r="A3015">
        <v>5120</v>
      </c>
      <c r="B3015" t="s">
        <v>6418</v>
      </c>
      <c r="C3015" t="s">
        <v>18</v>
      </c>
      <c r="D3015" t="s">
        <v>6426</v>
      </c>
      <c r="E3015" t="s">
        <v>6427</v>
      </c>
      <c r="F3015" t="s">
        <v>78</v>
      </c>
      <c r="G3015" t="s">
        <v>17</v>
      </c>
      <c r="H3015" t="b">
        <v>0</v>
      </c>
      <c r="K3015" t="b">
        <v>0</v>
      </c>
      <c r="L3015" t="b">
        <v>0</v>
      </c>
      <c r="M3015" t="s">
        <v>6428</v>
      </c>
    </row>
    <row r="3016" spans="1:25" x14ac:dyDescent="0.2">
      <c r="A3016">
        <v>5121</v>
      </c>
      <c r="B3016" t="s">
        <v>6418</v>
      </c>
      <c r="C3016" t="s">
        <v>18</v>
      </c>
      <c r="D3016" t="s">
        <v>5155</v>
      </c>
      <c r="E3016" t="s">
        <v>5156</v>
      </c>
      <c r="F3016" t="s">
        <v>78</v>
      </c>
      <c r="G3016" t="s">
        <v>17</v>
      </c>
      <c r="H3016" t="b">
        <v>0</v>
      </c>
      <c r="K3016" t="b">
        <v>0</v>
      </c>
      <c r="L3016" t="b">
        <v>0</v>
      </c>
      <c r="M3016" t="s">
        <v>5157</v>
      </c>
      <c r="N3016" t="s">
        <v>5158</v>
      </c>
    </row>
    <row r="3017" spans="1:25" x14ac:dyDescent="0.2">
      <c r="A3017">
        <v>5122</v>
      </c>
      <c r="B3017" t="s">
        <v>6418</v>
      </c>
      <c r="C3017" t="s">
        <v>18</v>
      </c>
      <c r="D3017" t="s">
        <v>6429</v>
      </c>
      <c r="E3017" t="s">
        <v>6430</v>
      </c>
      <c r="F3017" t="s">
        <v>78</v>
      </c>
      <c r="G3017" t="s">
        <v>17</v>
      </c>
      <c r="H3017" t="b">
        <v>0</v>
      </c>
      <c r="K3017" t="b">
        <v>0</v>
      </c>
      <c r="L3017" t="b">
        <v>0</v>
      </c>
      <c r="M3017" t="s">
        <v>6431</v>
      </c>
      <c r="N3017" t="s">
        <v>6432</v>
      </c>
    </row>
    <row r="3019" spans="1:25" x14ac:dyDescent="0.2">
      <c r="A3019" s="2">
        <v>5124</v>
      </c>
      <c r="B3019" s="2" t="s">
        <v>6433</v>
      </c>
      <c r="C3019" s="2" t="s">
        <v>13</v>
      </c>
      <c r="D3019" s="2" t="s">
        <v>6434</v>
      </c>
      <c r="E3019" s="2" t="s">
        <v>6435</v>
      </c>
      <c r="F3019" s="2" t="s">
        <v>174</v>
      </c>
      <c r="G3019" s="2" t="s">
        <v>62</v>
      </c>
      <c r="H3019" s="2"/>
      <c r="I3019" s="2"/>
      <c r="J3019" s="2"/>
      <c r="K3019" s="2"/>
      <c r="L3019" s="2"/>
      <c r="M3019" s="2"/>
      <c r="N3019" s="2"/>
      <c r="O3019" s="2"/>
      <c r="P3019" s="2"/>
      <c r="Q3019" s="2"/>
      <c r="R3019" s="2"/>
      <c r="S3019" s="2"/>
      <c r="T3019" s="2"/>
      <c r="U3019" s="2"/>
      <c r="V3019" s="2"/>
      <c r="W3019" s="2"/>
      <c r="X3019" s="2"/>
      <c r="Y3019" s="2"/>
    </row>
    <row r="3020" spans="1:25" x14ac:dyDescent="0.2">
      <c r="A3020">
        <v>5125</v>
      </c>
      <c r="B3020" t="s">
        <v>6433</v>
      </c>
      <c r="C3020" t="s">
        <v>18</v>
      </c>
      <c r="D3020" t="s">
        <v>6434</v>
      </c>
      <c r="E3020" t="s">
        <v>2267</v>
      </c>
      <c r="F3020" t="s">
        <v>174</v>
      </c>
      <c r="G3020" t="s">
        <v>62</v>
      </c>
      <c r="H3020" t="b">
        <v>1</v>
      </c>
      <c r="I3020" t="b">
        <v>1</v>
      </c>
      <c r="L3020" t="b">
        <v>1</v>
      </c>
      <c r="M3020" t="s">
        <v>6436</v>
      </c>
    </row>
    <row r="3021" spans="1:25" x14ac:dyDescent="0.2">
      <c r="A3021">
        <v>5126</v>
      </c>
      <c r="B3021" t="s">
        <v>6433</v>
      </c>
      <c r="C3021" t="s">
        <v>18</v>
      </c>
      <c r="D3021" t="s">
        <v>6437</v>
      </c>
      <c r="E3021" t="s">
        <v>379</v>
      </c>
      <c r="F3021" t="s">
        <v>174</v>
      </c>
      <c r="G3021" t="s">
        <v>62</v>
      </c>
      <c r="H3021" t="b">
        <v>1</v>
      </c>
      <c r="I3021" t="b">
        <v>1</v>
      </c>
      <c r="L3021" t="b">
        <v>1</v>
      </c>
      <c r="M3021" t="s">
        <v>6438</v>
      </c>
    </row>
    <row r="3022" spans="1:25" x14ac:dyDescent="0.2">
      <c r="A3022">
        <v>5127</v>
      </c>
      <c r="B3022" t="s">
        <v>6433</v>
      </c>
      <c r="C3022" t="s">
        <v>18</v>
      </c>
      <c r="D3022" t="s">
        <v>6439</v>
      </c>
      <c r="E3022" t="s">
        <v>6440</v>
      </c>
      <c r="F3022" t="s">
        <v>561</v>
      </c>
      <c r="G3022" t="s">
        <v>62</v>
      </c>
      <c r="H3022" t="b">
        <v>0</v>
      </c>
      <c r="I3022" t="b">
        <v>0</v>
      </c>
      <c r="L3022" t="b">
        <v>0</v>
      </c>
    </row>
    <row r="3023" spans="1:25" x14ac:dyDescent="0.2">
      <c r="A3023">
        <v>5128</v>
      </c>
      <c r="B3023" t="s">
        <v>6433</v>
      </c>
      <c r="C3023" t="s">
        <v>18</v>
      </c>
      <c r="D3023" t="s">
        <v>6441</v>
      </c>
      <c r="E3023" t="s">
        <v>6442</v>
      </c>
      <c r="F3023" t="s">
        <v>82</v>
      </c>
      <c r="G3023" t="s">
        <v>62</v>
      </c>
      <c r="H3023" t="b">
        <v>0</v>
      </c>
      <c r="I3023" t="b">
        <v>0</v>
      </c>
      <c r="L3023" t="b">
        <v>0</v>
      </c>
    </row>
    <row r="3024" spans="1:25" x14ac:dyDescent="0.2">
      <c r="A3024">
        <v>5129</v>
      </c>
      <c r="B3024" t="s">
        <v>6433</v>
      </c>
      <c r="C3024" t="s">
        <v>18</v>
      </c>
      <c r="D3024" t="s">
        <v>6443</v>
      </c>
      <c r="E3024" t="s">
        <v>6444</v>
      </c>
      <c r="F3024" t="s">
        <v>369</v>
      </c>
      <c r="G3024" t="s">
        <v>62</v>
      </c>
      <c r="H3024" t="b">
        <v>0</v>
      </c>
      <c r="I3024" t="b">
        <v>0</v>
      </c>
      <c r="L3024" t="b">
        <v>0</v>
      </c>
    </row>
    <row r="3026" spans="1:25" x14ac:dyDescent="0.2">
      <c r="A3026" s="2">
        <v>5145</v>
      </c>
      <c r="B3026" s="2" t="s">
        <v>6445</v>
      </c>
      <c r="C3026" s="2" t="s">
        <v>13</v>
      </c>
      <c r="D3026" s="2" t="s">
        <v>6446</v>
      </c>
      <c r="E3026" s="2" t="s">
        <v>6447</v>
      </c>
      <c r="F3026" s="2" t="s">
        <v>78</v>
      </c>
      <c r="G3026" s="2" t="s">
        <v>953</v>
      </c>
      <c r="H3026" s="2"/>
      <c r="I3026" s="2"/>
      <c r="J3026" s="2"/>
      <c r="K3026" s="2"/>
      <c r="L3026" s="2"/>
      <c r="M3026" s="2"/>
      <c r="N3026" s="2"/>
      <c r="O3026" s="2"/>
      <c r="P3026" s="2"/>
      <c r="Q3026" s="2"/>
      <c r="R3026" s="2"/>
      <c r="S3026" s="2"/>
      <c r="T3026" s="2"/>
      <c r="U3026" s="2"/>
      <c r="V3026" s="2"/>
      <c r="W3026" s="2"/>
      <c r="X3026" s="2"/>
      <c r="Y3026" s="2"/>
    </row>
    <row r="3027" spans="1:25" x14ac:dyDescent="0.2">
      <c r="A3027">
        <v>5146</v>
      </c>
      <c r="B3027" t="s">
        <v>6445</v>
      </c>
      <c r="C3027" t="s">
        <v>18</v>
      </c>
      <c r="D3027" t="s">
        <v>6446</v>
      </c>
      <c r="E3027" t="s">
        <v>4498</v>
      </c>
      <c r="F3027" t="s">
        <v>78</v>
      </c>
      <c r="G3027" t="s">
        <v>953</v>
      </c>
      <c r="H3027" t="b">
        <v>1</v>
      </c>
      <c r="K3027" t="b">
        <v>1</v>
      </c>
      <c r="L3027" t="b">
        <v>1</v>
      </c>
      <c r="M3027" t="s">
        <v>6448</v>
      </c>
      <c r="N3027" t="s">
        <v>6449</v>
      </c>
    </row>
    <row r="3028" spans="1:25" x14ac:dyDescent="0.2">
      <c r="A3028">
        <v>5147</v>
      </c>
      <c r="B3028" t="s">
        <v>6445</v>
      </c>
      <c r="C3028" t="s">
        <v>18</v>
      </c>
      <c r="D3028" t="s">
        <v>6450</v>
      </c>
      <c r="E3028" t="s">
        <v>6451</v>
      </c>
      <c r="F3028" t="s">
        <v>78</v>
      </c>
      <c r="G3028" t="s">
        <v>953</v>
      </c>
      <c r="H3028" t="b">
        <v>1</v>
      </c>
      <c r="K3028" t="b">
        <v>1</v>
      </c>
      <c r="L3028" t="b">
        <v>1</v>
      </c>
      <c r="M3028" t="s">
        <v>6452</v>
      </c>
      <c r="N3028" t="s">
        <v>6453</v>
      </c>
    </row>
    <row r="3029" spans="1:25" x14ac:dyDescent="0.2">
      <c r="A3029">
        <v>5148</v>
      </c>
      <c r="B3029" t="s">
        <v>6445</v>
      </c>
      <c r="C3029" t="s">
        <v>18</v>
      </c>
      <c r="D3029" t="s">
        <v>648</v>
      </c>
      <c r="E3029" t="s">
        <v>649</v>
      </c>
      <c r="F3029" t="s">
        <v>78</v>
      </c>
      <c r="G3029" t="s">
        <v>74</v>
      </c>
      <c r="H3029" t="b">
        <v>0</v>
      </c>
      <c r="K3029" t="b">
        <v>0</v>
      </c>
      <c r="L3029" t="b">
        <v>0</v>
      </c>
      <c r="M3029" t="s">
        <v>650</v>
      </c>
      <c r="N3029" t="s">
        <v>651</v>
      </c>
    </row>
    <row r="3030" spans="1:25" x14ac:dyDescent="0.2">
      <c r="A3030">
        <v>5149</v>
      </c>
      <c r="B3030" t="s">
        <v>6445</v>
      </c>
      <c r="C3030" t="s">
        <v>18</v>
      </c>
      <c r="D3030" t="s">
        <v>6454</v>
      </c>
      <c r="E3030" t="s">
        <v>6455</v>
      </c>
      <c r="F3030" t="s">
        <v>78</v>
      </c>
      <c r="G3030" t="s">
        <v>62</v>
      </c>
      <c r="H3030" t="b">
        <v>0</v>
      </c>
      <c r="K3030" t="b">
        <v>0</v>
      </c>
      <c r="L3030" t="b">
        <v>0</v>
      </c>
    </row>
    <row r="3031" spans="1:25" x14ac:dyDescent="0.2">
      <c r="A3031">
        <v>5150</v>
      </c>
      <c r="B3031" t="s">
        <v>6445</v>
      </c>
      <c r="C3031" t="s">
        <v>18</v>
      </c>
      <c r="D3031" t="s">
        <v>6456</v>
      </c>
      <c r="E3031" t="s">
        <v>6457</v>
      </c>
      <c r="F3031" t="s">
        <v>78</v>
      </c>
      <c r="G3031" t="s">
        <v>88</v>
      </c>
      <c r="H3031" t="b">
        <v>0</v>
      </c>
      <c r="K3031" t="b">
        <v>0</v>
      </c>
      <c r="L3031" t="b">
        <v>0</v>
      </c>
      <c r="M3031" t="s">
        <v>6458</v>
      </c>
    </row>
    <row r="3033" spans="1:25" x14ac:dyDescent="0.2">
      <c r="A3033" s="2">
        <v>5152</v>
      </c>
      <c r="B3033" s="2" t="s">
        <v>6459</v>
      </c>
      <c r="C3033" s="2" t="s">
        <v>13</v>
      </c>
      <c r="D3033" s="2" t="s">
        <v>6460</v>
      </c>
      <c r="E3033" s="2" t="s">
        <v>6461</v>
      </c>
      <c r="F3033" s="2" t="s">
        <v>316</v>
      </c>
      <c r="G3033" s="2" t="s">
        <v>280</v>
      </c>
      <c r="H3033" s="2"/>
      <c r="I3033" s="2"/>
      <c r="J3033" s="2"/>
      <c r="K3033" s="2"/>
      <c r="L3033" s="2"/>
      <c r="M3033" s="2"/>
      <c r="N3033" s="2"/>
      <c r="O3033" s="2"/>
      <c r="P3033" s="2"/>
      <c r="Q3033" s="2"/>
      <c r="R3033" s="2"/>
      <c r="S3033" s="2"/>
      <c r="T3033" s="2"/>
      <c r="U3033" s="2"/>
      <c r="V3033" s="2"/>
      <c r="W3033" s="2"/>
      <c r="X3033" s="2"/>
      <c r="Y3033" s="2"/>
    </row>
    <row r="3034" spans="1:25" x14ac:dyDescent="0.2">
      <c r="A3034">
        <v>5153</v>
      </c>
      <c r="B3034" t="s">
        <v>6459</v>
      </c>
      <c r="C3034" t="s">
        <v>18</v>
      </c>
      <c r="D3034" t="s">
        <v>6460</v>
      </c>
      <c r="E3034" t="s">
        <v>553</v>
      </c>
      <c r="F3034" t="s">
        <v>316</v>
      </c>
      <c r="G3034" t="s">
        <v>280</v>
      </c>
      <c r="H3034" t="b">
        <v>1</v>
      </c>
      <c r="I3034" t="b">
        <v>1</v>
      </c>
      <c r="L3034" t="b">
        <v>1</v>
      </c>
      <c r="M3034" t="s">
        <v>6462</v>
      </c>
      <c r="N3034" t="s">
        <v>6463</v>
      </c>
    </row>
    <row r="3035" spans="1:25" x14ac:dyDescent="0.2">
      <c r="A3035">
        <v>5154</v>
      </c>
      <c r="B3035" t="s">
        <v>6459</v>
      </c>
      <c r="C3035" t="s">
        <v>18</v>
      </c>
      <c r="D3035" t="s">
        <v>6464</v>
      </c>
      <c r="E3035" t="s">
        <v>1362</v>
      </c>
      <c r="F3035" t="s">
        <v>87</v>
      </c>
      <c r="G3035" t="s">
        <v>280</v>
      </c>
      <c r="H3035" t="b">
        <v>1</v>
      </c>
      <c r="I3035" t="b">
        <v>1</v>
      </c>
      <c r="L3035" t="b">
        <v>1</v>
      </c>
      <c r="M3035" t="s">
        <v>6465</v>
      </c>
    </row>
    <row r="3036" spans="1:25" x14ac:dyDescent="0.2">
      <c r="A3036">
        <v>5155</v>
      </c>
      <c r="B3036" t="s">
        <v>6459</v>
      </c>
      <c r="C3036" t="s">
        <v>18</v>
      </c>
      <c r="D3036" t="s">
        <v>6466</v>
      </c>
      <c r="E3036" t="s">
        <v>3085</v>
      </c>
      <c r="F3036" t="s">
        <v>159</v>
      </c>
      <c r="G3036" t="s">
        <v>280</v>
      </c>
      <c r="H3036" t="b">
        <v>0</v>
      </c>
      <c r="I3036" t="b">
        <v>0</v>
      </c>
      <c r="L3036" t="b">
        <v>0</v>
      </c>
      <c r="M3036" t="s">
        <v>6467</v>
      </c>
    </row>
    <row r="3037" spans="1:25" x14ac:dyDescent="0.2">
      <c r="A3037">
        <v>5156</v>
      </c>
      <c r="B3037" t="s">
        <v>6459</v>
      </c>
      <c r="C3037" t="s">
        <v>18</v>
      </c>
      <c r="D3037" t="s">
        <v>4357</v>
      </c>
      <c r="E3037" t="s">
        <v>4358</v>
      </c>
      <c r="F3037" t="s">
        <v>82</v>
      </c>
      <c r="G3037" t="s">
        <v>280</v>
      </c>
      <c r="H3037" t="b">
        <v>0</v>
      </c>
      <c r="I3037" t="b">
        <v>0</v>
      </c>
      <c r="L3037" t="b">
        <v>0</v>
      </c>
      <c r="M3037" t="s">
        <v>4359</v>
      </c>
    </row>
    <row r="3038" spans="1:25" x14ac:dyDescent="0.2">
      <c r="A3038">
        <v>5157</v>
      </c>
      <c r="B3038" t="s">
        <v>6459</v>
      </c>
      <c r="C3038" t="s">
        <v>18</v>
      </c>
      <c r="D3038" t="s">
        <v>6468</v>
      </c>
      <c r="E3038" t="s">
        <v>3701</v>
      </c>
      <c r="F3038" t="s">
        <v>78</v>
      </c>
      <c r="G3038" t="s">
        <v>280</v>
      </c>
      <c r="H3038" t="b">
        <v>0</v>
      </c>
      <c r="I3038" t="b">
        <v>0</v>
      </c>
      <c r="L3038" t="b">
        <v>0</v>
      </c>
      <c r="M3038" t="s">
        <v>6469</v>
      </c>
    </row>
    <row r="3040" spans="1:25" x14ac:dyDescent="0.2">
      <c r="A3040" s="2">
        <v>5159</v>
      </c>
      <c r="B3040" s="2" t="s">
        <v>6470</v>
      </c>
      <c r="C3040" s="2" t="s">
        <v>13</v>
      </c>
      <c r="D3040" s="2" t="s">
        <v>6471</v>
      </c>
      <c r="E3040" s="2" t="s">
        <v>6472</v>
      </c>
      <c r="F3040" s="2" t="s">
        <v>159</v>
      </c>
      <c r="G3040" s="2" t="s">
        <v>201</v>
      </c>
      <c r="H3040" s="2"/>
      <c r="I3040" s="2"/>
      <c r="J3040" s="2"/>
      <c r="K3040" s="2"/>
      <c r="L3040" s="2"/>
      <c r="M3040" s="2"/>
      <c r="N3040" s="2"/>
      <c r="O3040" s="2"/>
      <c r="P3040" s="2"/>
      <c r="Q3040" s="2"/>
      <c r="R3040" s="2"/>
      <c r="S3040" s="2"/>
      <c r="T3040" s="2"/>
      <c r="U3040" s="2"/>
      <c r="V3040" s="2"/>
      <c r="W3040" s="2"/>
      <c r="X3040" s="2"/>
      <c r="Y3040" s="2"/>
    </row>
    <row r="3041" spans="1:25" x14ac:dyDescent="0.2">
      <c r="A3041">
        <v>5160</v>
      </c>
      <c r="B3041" t="s">
        <v>6470</v>
      </c>
      <c r="C3041" t="s">
        <v>18</v>
      </c>
      <c r="D3041" t="s">
        <v>6473</v>
      </c>
      <c r="E3041" t="s">
        <v>2210</v>
      </c>
      <c r="F3041" t="s">
        <v>159</v>
      </c>
      <c r="G3041" t="s">
        <v>201</v>
      </c>
      <c r="H3041" t="b">
        <v>1</v>
      </c>
      <c r="I3041" t="b">
        <v>1</v>
      </c>
      <c r="L3041" t="b">
        <v>1</v>
      </c>
      <c r="M3041" t="s">
        <v>6474</v>
      </c>
      <c r="N3041" t="s">
        <v>6475</v>
      </c>
    </row>
    <row r="3042" spans="1:25" x14ac:dyDescent="0.2">
      <c r="A3042">
        <v>5161</v>
      </c>
      <c r="B3042" t="s">
        <v>6470</v>
      </c>
      <c r="C3042" t="s">
        <v>18</v>
      </c>
      <c r="D3042" t="s">
        <v>6476</v>
      </c>
      <c r="E3042" t="s">
        <v>6477</v>
      </c>
      <c r="F3042" t="s">
        <v>82</v>
      </c>
      <c r="G3042" t="s">
        <v>4395</v>
      </c>
      <c r="H3042" t="b">
        <v>0</v>
      </c>
      <c r="I3042" t="b">
        <v>0</v>
      </c>
      <c r="L3042" t="b">
        <v>0</v>
      </c>
      <c r="M3042" t="s">
        <v>6478</v>
      </c>
      <c r="N3042" t="s">
        <v>6479</v>
      </c>
      <c r="O3042" t="s">
        <v>6480</v>
      </c>
    </row>
    <row r="3043" spans="1:25" x14ac:dyDescent="0.2">
      <c r="A3043">
        <v>5162</v>
      </c>
      <c r="B3043" t="s">
        <v>6470</v>
      </c>
      <c r="C3043" t="s">
        <v>18</v>
      </c>
      <c r="D3043" t="s">
        <v>6481</v>
      </c>
      <c r="E3043" t="s">
        <v>6482</v>
      </c>
      <c r="F3043" t="s">
        <v>4337</v>
      </c>
      <c r="G3043" t="s">
        <v>201</v>
      </c>
      <c r="H3043" t="b">
        <v>0</v>
      </c>
      <c r="I3043" t="b">
        <v>0</v>
      </c>
      <c r="L3043" t="b">
        <v>0</v>
      </c>
      <c r="M3043" t="s">
        <v>6483</v>
      </c>
      <c r="N3043" t="s">
        <v>6484</v>
      </c>
    </row>
    <row r="3044" spans="1:25" x14ac:dyDescent="0.2">
      <c r="A3044">
        <v>5163</v>
      </c>
      <c r="B3044" t="s">
        <v>6470</v>
      </c>
      <c r="C3044" t="s">
        <v>18</v>
      </c>
      <c r="D3044" t="s">
        <v>6485</v>
      </c>
      <c r="E3044" t="s">
        <v>6486</v>
      </c>
      <c r="F3044" t="s">
        <v>4337</v>
      </c>
      <c r="G3044" t="s">
        <v>2278</v>
      </c>
      <c r="H3044" t="b">
        <v>0</v>
      </c>
      <c r="I3044" t="b">
        <v>0</v>
      </c>
      <c r="L3044" t="b">
        <v>0</v>
      </c>
      <c r="M3044" t="s">
        <v>6487</v>
      </c>
    </row>
    <row r="3045" spans="1:25" x14ac:dyDescent="0.2">
      <c r="A3045">
        <v>5164</v>
      </c>
      <c r="B3045" t="s">
        <v>6470</v>
      </c>
      <c r="C3045" t="s">
        <v>18</v>
      </c>
      <c r="D3045" t="s">
        <v>6488</v>
      </c>
      <c r="E3045" t="s">
        <v>6489</v>
      </c>
      <c r="F3045" t="s">
        <v>248</v>
      </c>
      <c r="G3045" t="s">
        <v>1114</v>
      </c>
      <c r="H3045" t="b">
        <v>0</v>
      </c>
      <c r="I3045" t="b">
        <v>0</v>
      </c>
      <c r="L3045" t="b">
        <v>0</v>
      </c>
    </row>
    <row r="3047" spans="1:25" x14ac:dyDescent="0.2">
      <c r="A3047" s="2">
        <v>5173</v>
      </c>
      <c r="B3047" s="2" t="s">
        <v>6490</v>
      </c>
      <c r="C3047" s="2" t="s">
        <v>13</v>
      </c>
      <c r="D3047" s="2" t="s">
        <v>6491</v>
      </c>
      <c r="E3047" s="2" t="s">
        <v>6492</v>
      </c>
      <c r="F3047" s="2" t="s">
        <v>369</v>
      </c>
      <c r="G3047" s="2" t="s">
        <v>24</v>
      </c>
      <c r="H3047" s="2"/>
      <c r="I3047" s="2"/>
      <c r="J3047" s="2"/>
      <c r="K3047" s="2"/>
      <c r="L3047" s="2"/>
      <c r="M3047" s="2"/>
      <c r="N3047" s="2"/>
      <c r="O3047" s="2"/>
      <c r="P3047" s="2"/>
      <c r="Q3047" s="2"/>
      <c r="R3047" s="2"/>
      <c r="S3047" s="2"/>
      <c r="T3047" s="2"/>
      <c r="U3047" s="2"/>
      <c r="V3047" s="2"/>
      <c r="W3047" s="2"/>
      <c r="X3047" s="2"/>
      <c r="Y3047" s="2"/>
    </row>
    <row r="3048" spans="1:25" x14ac:dyDescent="0.2">
      <c r="A3048">
        <v>5174</v>
      </c>
      <c r="B3048" t="s">
        <v>6490</v>
      </c>
      <c r="C3048" t="s">
        <v>18</v>
      </c>
      <c r="D3048" t="s">
        <v>6491</v>
      </c>
      <c r="E3048" t="s">
        <v>6492</v>
      </c>
      <c r="F3048" t="s">
        <v>369</v>
      </c>
      <c r="G3048" t="s">
        <v>24</v>
      </c>
      <c r="H3048" t="b">
        <v>1</v>
      </c>
      <c r="I3048" t="b">
        <v>1</v>
      </c>
      <c r="L3048" t="b">
        <v>1</v>
      </c>
      <c r="M3048" t="s">
        <v>6493</v>
      </c>
      <c r="N3048" t="s">
        <v>6494</v>
      </c>
      <c r="O3048" t="s">
        <v>6495</v>
      </c>
    </row>
    <row r="3049" spans="1:25" x14ac:dyDescent="0.2">
      <c r="A3049">
        <v>5175</v>
      </c>
      <c r="B3049" t="s">
        <v>6490</v>
      </c>
      <c r="C3049" t="s">
        <v>18</v>
      </c>
      <c r="D3049" t="s">
        <v>6496</v>
      </c>
      <c r="E3049" t="s">
        <v>6497</v>
      </c>
      <c r="F3049" t="s">
        <v>23</v>
      </c>
      <c r="G3049" t="s">
        <v>62</v>
      </c>
      <c r="H3049" t="b">
        <v>0</v>
      </c>
      <c r="I3049" t="b">
        <v>0</v>
      </c>
      <c r="L3049" t="b">
        <v>0</v>
      </c>
      <c r="M3049" t="s">
        <v>6498</v>
      </c>
    </row>
    <row r="3050" spans="1:25" x14ac:dyDescent="0.2">
      <c r="A3050">
        <v>5176</v>
      </c>
      <c r="B3050" t="s">
        <v>6490</v>
      </c>
      <c r="C3050" t="s">
        <v>18</v>
      </c>
      <c r="D3050" t="s">
        <v>6499</v>
      </c>
      <c r="E3050" t="s">
        <v>6500</v>
      </c>
      <c r="F3050" t="s">
        <v>369</v>
      </c>
      <c r="G3050" t="s">
        <v>101</v>
      </c>
      <c r="H3050" t="b">
        <v>0</v>
      </c>
      <c r="I3050" t="b">
        <v>0</v>
      </c>
      <c r="L3050" t="b">
        <v>0</v>
      </c>
    </row>
    <row r="3051" spans="1:25" x14ac:dyDescent="0.2">
      <c r="A3051">
        <v>5177</v>
      </c>
      <c r="B3051" t="s">
        <v>6490</v>
      </c>
      <c r="C3051" t="s">
        <v>18</v>
      </c>
      <c r="D3051" t="s">
        <v>6501</v>
      </c>
      <c r="E3051" t="s">
        <v>6502</v>
      </c>
      <c r="F3051" t="s">
        <v>369</v>
      </c>
      <c r="G3051" t="s">
        <v>24</v>
      </c>
      <c r="H3051" t="b">
        <v>0</v>
      </c>
      <c r="I3051" t="b">
        <v>0</v>
      </c>
      <c r="L3051" t="b">
        <v>0</v>
      </c>
      <c r="M3051" t="s">
        <v>6503</v>
      </c>
      <c r="N3051" t="s">
        <v>6504</v>
      </c>
    </row>
    <row r="3052" spans="1:25" x14ac:dyDescent="0.2">
      <c r="A3052">
        <v>5178</v>
      </c>
      <c r="B3052" t="s">
        <v>6490</v>
      </c>
      <c r="C3052" t="s">
        <v>18</v>
      </c>
      <c r="D3052" t="s">
        <v>6505</v>
      </c>
      <c r="E3052" t="s">
        <v>6506</v>
      </c>
      <c r="F3052" t="s">
        <v>1837</v>
      </c>
      <c r="G3052" t="s">
        <v>201</v>
      </c>
      <c r="H3052" t="b">
        <v>0</v>
      </c>
      <c r="I3052" t="b">
        <v>0</v>
      </c>
      <c r="L3052" t="b">
        <v>0</v>
      </c>
      <c r="M3052" t="s">
        <v>6507</v>
      </c>
      <c r="N3052" t="s">
        <v>745</v>
      </c>
    </row>
    <row r="3054" spans="1:25" x14ac:dyDescent="0.2">
      <c r="A3054" s="2">
        <v>5180</v>
      </c>
      <c r="B3054" s="2" t="s">
        <v>6508</v>
      </c>
      <c r="C3054" s="2" t="s">
        <v>13</v>
      </c>
      <c r="D3054" s="2" t="s">
        <v>4687</v>
      </c>
      <c r="E3054" s="2" t="s">
        <v>6509</v>
      </c>
      <c r="F3054" s="2" t="s">
        <v>510</v>
      </c>
      <c r="G3054" s="2" t="s">
        <v>252</v>
      </c>
      <c r="H3054" s="2"/>
      <c r="I3054" s="2"/>
      <c r="J3054" s="2"/>
      <c r="K3054" s="2"/>
      <c r="L3054" s="2"/>
      <c r="M3054" s="2"/>
      <c r="N3054" s="2"/>
      <c r="O3054" s="2"/>
      <c r="P3054" s="2"/>
      <c r="Q3054" s="2"/>
      <c r="R3054" s="2"/>
      <c r="S3054" s="2"/>
      <c r="T3054" s="2"/>
      <c r="U3054" s="2"/>
      <c r="V3054" s="2"/>
      <c r="W3054" s="2"/>
      <c r="X3054" s="2"/>
      <c r="Y3054" s="2"/>
    </row>
    <row r="3055" spans="1:25" x14ac:dyDescent="0.2">
      <c r="A3055">
        <v>5181</v>
      </c>
      <c r="B3055" t="s">
        <v>6508</v>
      </c>
      <c r="C3055" t="s">
        <v>18</v>
      </c>
      <c r="D3055" t="s">
        <v>4687</v>
      </c>
      <c r="E3055" t="s">
        <v>4688</v>
      </c>
      <c r="F3055" t="s">
        <v>510</v>
      </c>
      <c r="G3055" t="s">
        <v>252</v>
      </c>
      <c r="H3055" t="b">
        <v>1</v>
      </c>
      <c r="K3055" t="b">
        <v>1</v>
      </c>
      <c r="L3055" t="b">
        <v>1</v>
      </c>
      <c r="M3055" t="s">
        <v>4689</v>
      </c>
      <c r="N3055" t="s">
        <v>4690</v>
      </c>
    </row>
    <row r="3056" spans="1:25" x14ac:dyDescent="0.2">
      <c r="A3056">
        <v>5182</v>
      </c>
      <c r="B3056" t="s">
        <v>6508</v>
      </c>
      <c r="C3056" t="s">
        <v>18</v>
      </c>
      <c r="D3056" t="s">
        <v>6510</v>
      </c>
      <c r="E3056" t="s">
        <v>1472</v>
      </c>
      <c r="F3056" t="s">
        <v>510</v>
      </c>
      <c r="G3056" t="s">
        <v>252</v>
      </c>
      <c r="H3056" t="b">
        <v>1</v>
      </c>
      <c r="K3056" t="b">
        <v>1</v>
      </c>
      <c r="L3056" t="b">
        <v>1</v>
      </c>
      <c r="M3056" t="s">
        <v>6511</v>
      </c>
    </row>
    <row r="3057" spans="1:25" x14ac:dyDescent="0.2">
      <c r="A3057">
        <v>5183</v>
      </c>
      <c r="B3057" t="s">
        <v>6508</v>
      </c>
      <c r="C3057" t="s">
        <v>18</v>
      </c>
      <c r="D3057" t="s">
        <v>6512</v>
      </c>
      <c r="E3057" t="s">
        <v>6513</v>
      </c>
      <c r="F3057" t="s">
        <v>6514</v>
      </c>
      <c r="G3057" t="s">
        <v>252</v>
      </c>
      <c r="H3057" t="b">
        <v>0</v>
      </c>
      <c r="K3057" t="b">
        <v>0</v>
      </c>
      <c r="L3057" t="b">
        <v>0</v>
      </c>
      <c r="M3057" t="s">
        <v>6515</v>
      </c>
      <c r="N3057" t="s">
        <v>745</v>
      </c>
    </row>
    <row r="3058" spans="1:25" x14ac:dyDescent="0.2">
      <c r="A3058">
        <v>5184</v>
      </c>
      <c r="B3058" t="s">
        <v>6508</v>
      </c>
      <c r="C3058" t="s">
        <v>18</v>
      </c>
      <c r="D3058" t="s">
        <v>6516</v>
      </c>
      <c r="E3058" t="s">
        <v>6517</v>
      </c>
      <c r="F3058" t="s">
        <v>1153</v>
      </c>
      <c r="G3058" t="s">
        <v>17</v>
      </c>
      <c r="H3058" t="b">
        <v>0</v>
      </c>
      <c r="K3058" t="b">
        <v>0</v>
      </c>
      <c r="L3058" t="b">
        <v>0</v>
      </c>
    </row>
    <row r="3059" spans="1:25" x14ac:dyDescent="0.2">
      <c r="A3059">
        <v>5185</v>
      </c>
      <c r="B3059" t="s">
        <v>6508</v>
      </c>
      <c r="C3059" t="s">
        <v>18</v>
      </c>
      <c r="D3059" t="s">
        <v>6518</v>
      </c>
      <c r="E3059" t="s">
        <v>6519</v>
      </c>
      <c r="F3059" t="s">
        <v>1153</v>
      </c>
      <c r="G3059" t="s">
        <v>17</v>
      </c>
      <c r="H3059" t="b">
        <v>0</v>
      </c>
      <c r="K3059" t="b">
        <v>0</v>
      </c>
      <c r="L3059" t="b">
        <v>0</v>
      </c>
      <c r="M3059" t="s">
        <v>6520</v>
      </c>
      <c r="N3059" t="s">
        <v>745</v>
      </c>
    </row>
    <row r="3061" spans="1:25" x14ac:dyDescent="0.2">
      <c r="A3061" s="2">
        <v>5201</v>
      </c>
      <c r="B3061" s="2" t="s">
        <v>6521</v>
      </c>
      <c r="C3061" s="2" t="s">
        <v>13</v>
      </c>
      <c r="D3061" s="2" t="s">
        <v>6522</v>
      </c>
      <c r="E3061" s="2" t="s">
        <v>6523</v>
      </c>
      <c r="F3061" s="2" t="s">
        <v>20</v>
      </c>
      <c r="G3061" s="2" t="s">
        <v>17</v>
      </c>
      <c r="H3061" s="2"/>
      <c r="I3061" s="2"/>
      <c r="J3061" s="2"/>
      <c r="K3061" s="2"/>
      <c r="L3061" s="2"/>
      <c r="M3061" s="2"/>
      <c r="N3061" s="2"/>
      <c r="O3061" s="2"/>
      <c r="P3061" s="2"/>
      <c r="Q3061" s="2"/>
      <c r="R3061" s="2"/>
      <c r="S3061" s="2"/>
      <c r="T3061" s="2"/>
      <c r="U3061" s="2"/>
      <c r="V3061" s="2"/>
      <c r="W3061" s="2"/>
      <c r="X3061" s="2"/>
      <c r="Y3061" s="2"/>
    </row>
    <row r="3062" spans="1:25" x14ac:dyDescent="0.2">
      <c r="A3062">
        <v>5202</v>
      </c>
      <c r="B3062" t="s">
        <v>6521</v>
      </c>
      <c r="C3062" t="s">
        <v>18</v>
      </c>
      <c r="D3062" t="s">
        <v>6522</v>
      </c>
      <c r="E3062" t="s">
        <v>6523</v>
      </c>
      <c r="F3062" t="s">
        <v>20</v>
      </c>
      <c r="G3062" t="s">
        <v>17</v>
      </c>
      <c r="H3062" t="b">
        <v>1</v>
      </c>
      <c r="K3062" t="b">
        <v>1</v>
      </c>
      <c r="L3062" t="b">
        <v>1</v>
      </c>
      <c r="M3062" t="s">
        <v>6524</v>
      </c>
      <c r="N3062" t="s">
        <v>6525</v>
      </c>
    </row>
    <row r="3063" spans="1:25" x14ac:dyDescent="0.2">
      <c r="A3063">
        <v>5203</v>
      </c>
      <c r="B3063" t="s">
        <v>6521</v>
      </c>
      <c r="C3063" t="s">
        <v>18</v>
      </c>
      <c r="D3063" t="s">
        <v>6526</v>
      </c>
      <c r="E3063" t="s">
        <v>6527</v>
      </c>
      <c r="F3063" t="s">
        <v>20</v>
      </c>
      <c r="G3063" t="s">
        <v>17</v>
      </c>
      <c r="H3063" t="b">
        <v>0</v>
      </c>
      <c r="K3063" t="b">
        <v>0</v>
      </c>
      <c r="L3063" t="b">
        <v>0</v>
      </c>
      <c r="M3063" t="s">
        <v>6528</v>
      </c>
    </row>
    <row r="3064" spans="1:25" x14ac:dyDescent="0.2">
      <c r="A3064">
        <v>5204</v>
      </c>
      <c r="B3064" t="s">
        <v>6521</v>
      </c>
      <c r="C3064" t="s">
        <v>18</v>
      </c>
      <c r="D3064" t="s">
        <v>6093</v>
      </c>
      <c r="E3064" t="s">
        <v>6094</v>
      </c>
      <c r="F3064" t="s">
        <v>20</v>
      </c>
      <c r="G3064" t="s">
        <v>17</v>
      </c>
      <c r="H3064" t="b">
        <v>0</v>
      </c>
      <c r="K3064" t="b">
        <v>0</v>
      </c>
      <c r="L3064" t="b">
        <v>0</v>
      </c>
      <c r="M3064" t="s">
        <v>6095</v>
      </c>
      <c r="N3064" t="s">
        <v>6096</v>
      </c>
    </row>
    <row r="3065" spans="1:25" x14ac:dyDescent="0.2">
      <c r="A3065">
        <v>5205</v>
      </c>
      <c r="B3065" t="s">
        <v>6521</v>
      </c>
      <c r="C3065" t="s">
        <v>18</v>
      </c>
      <c r="D3065" t="s">
        <v>6529</v>
      </c>
      <c r="E3065" t="s">
        <v>6530</v>
      </c>
      <c r="F3065" t="s">
        <v>20</v>
      </c>
      <c r="G3065" t="s">
        <v>17</v>
      </c>
      <c r="H3065" t="b">
        <v>0</v>
      </c>
      <c r="K3065" t="b">
        <v>0</v>
      </c>
      <c r="L3065" t="b">
        <v>0</v>
      </c>
      <c r="M3065" t="s">
        <v>6531</v>
      </c>
      <c r="N3065" t="s">
        <v>745</v>
      </c>
    </row>
    <row r="3066" spans="1:25" x14ac:dyDescent="0.2">
      <c r="A3066">
        <v>5206</v>
      </c>
      <c r="B3066" t="s">
        <v>6521</v>
      </c>
      <c r="C3066" t="s">
        <v>18</v>
      </c>
      <c r="D3066" t="s">
        <v>6532</v>
      </c>
      <c r="E3066" t="s">
        <v>965</v>
      </c>
      <c r="F3066" t="s">
        <v>20</v>
      </c>
      <c r="G3066" t="s">
        <v>17</v>
      </c>
      <c r="H3066" t="b">
        <v>0</v>
      </c>
      <c r="K3066" t="b">
        <v>0</v>
      </c>
      <c r="L3066" t="b">
        <v>0</v>
      </c>
      <c r="M3066" t="s">
        <v>6533</v>
      </c>
    </row>
    <row r="3068" spans="1:25" x14ac:dyDescent="0.2">
      <c r="A3068" s="2">
        <v>5229</v>
      </c>
      <c r="B3068" s="2" t="s">
        <v>6534</v>
      </c>
      <c r="C3068" s="2" t="s">
        <v>13</v>
      </c>
      <c r="D3068" s="2" t="s">
        <v>6535</v>
      </c>
      <c r="E3068" s="2" t="s">
        <v>6536</v>
      </c>
      <c r="F3068" s="2" t="s">
        <v>270</v>
      </c>
      <c r="G3068" s="2" t="s">
        <v>134</v>
      </c>
      <c r="H3068" s="2"/>
      <c r="I3068" s="2"/>
      <c r="J3068" s="2"/>
      <c r="K3068" s="2"/>
      <c r="L3068" s="2"/>
      <c r="M3068" s="2"/>
      <c r="N3068" s="2"/>
      <c r="O3068" s="2"/>
      <c r="P3068" s="2"/>
      <c r="Q3068" s="2"/>
      <c r="R3068" s="2"/>
      <c r="S3068" s="2"/>
      <c r="T3068" s="2"/>
      <c r="U3068" s="2"/>
      <c r="V3068" s="2"/>
      <c r="W3068" s="2"/>
      <c r="X3068" s="2"/>
      <c r="Y3068" s="2"/>
    </row>
    <row r="3069" spans="1:25" x14ac:dyDescent="0.2">
      <c r="A3069">
        <v>5230</v>
      </c>
      <c r="B3069" t="s">
        <v>6534</v>
      </c>
      <c r="C3069" t="s">
        <v>18</v>
      </c>
      <c r="D3069" t="s">
        <v>6535</v>
      </c>
      <c r="E3069" t="s">
        <v>6536</v>
      </c>
      <c r="F3069" t="s">
        <v>270</v>
      </c>
      <c r="G3069" t="s">
        <v>134</v>
      </c>
      <c r="H3069" t="b">
        <v>1</v>
      </c>
      <c r="I3069" t="b">
        <v>1</v>
      </c>
      <c r="L3069" t="b">
        <v>1</v>
      </c>
      <c r="M3069" t="s">
        <v>6537</v>
      </c>
      <c r="N3069" t="s">
        <v>6538</v>
      </c>
    </row>
    <row r="3070" spans="1:25" x14ac:dyDescent="0.2">
      <c r="A3070">
        <v>5231</v>
      </c>
      <c r="B3070" t="s">
        <v>6534</v>
      </c>
      <c r="C3070" t="s">
        <v>18</v>
      </c>
      <c r="D3070" t="s">
        <v>6539</v>
      </c>
      <c r="E3070" t="s">
        <v>6540</v>
      </c>
      <c r="F3070" t="s">
        <v>78</v>
      </c>
      <c r="G3070" t="s">
        <v>134</v>
      </c>
      <c r="H3070" t="b">
        <v>0</v>
      </c>
      <c r="I3070" t="b">
        <v>0</v>
      </c>
      <c r="L3070" t="b">
        <v>0</v>
      </c>
      <c r="M3070" t="s">
        <v>6541</v>
      </c>
    </row>
    <row r="3071" spans="1:25" x14ac:dyDescent="0.2">
      <c r="A3071">
        <v>5232</v>
      </c>
      <c r="B3071" t="s">
        <v>6534</v>
      </c>
      <c r="C3071" t="s">
        <v>18</v>
      </c>
      <c r="D3071" t="s">
        <v>6542</v>
      </c>
      <c r="E3071" t="s">
        <v>6543</v>
      </c>
      <c r="F3071" t="s">
        <v>78</v>
      </c>
      <c r="G3071" t="s">
        <v>252</v>
      </c>
      <c r="H3071" t="b">
        <v>0</v>
      </c>
      <c r="I3071" t="b">
        <v>0</v>
      </c>
      <c r="L3071" t="b">
        <v>0</v>
      </c>
      <c r="M3071" t="s">
        <v>6544</v>
      </c>
      <c r="N3071" t="s">
        <v>745</v>
      </c>
      <c r="O3071" t="s">
        <v>745</v>
      </c>
      <c r="P3071" t="s">
        <v>745</v>
      </c>
    </row>
    <row r="3072" spans="1:25" x14ac:dyDescent="0.2">
      <c r="A3072">
        <v>5233</v>
      </c>
      <c r="B3072" t="s">
        <v>6534</v>
      </c>
      <c r="C3072" t="s">
        <v>18</v>
      </c>
      <c r="D3072" t="s">
        <v>6545</v>
      </c>
      <c r="E3072" t="s">
        <v>6546</v>
      </c>
      <c r="F3072" t="s">
        <v>78</v>
      </c>
      <c r="G3072" t="s">
        <v>134</v>
      </c>
      <c r="H3072" t="b">
        <v>0</v>
      </c>
      <c r="I3072" t="b">
        <v>0</v>
      </c>
      <c r="L3072" t="b">
        <v>0</v>
      </c>
      <c r="M3072" t="s">
        <v>6547</v>
      </c>
      <c r="N3072" t="s">
        <v>6548</v>
      </c>
    </row>
    <row r="3073" spans="1:25" x14ac:dyDescent="0.2">
      <c r="A3073">
        <v>5234</v>
      </c>
      <c r="B3073" t="s">
        <v>6534</v>
      </c>
      <c r="C3073" t="s">
        <v>18</v>
      </c>
      <c r="D3073" t="s">
        <v>6549</v>
      </c>
      <c r="E3073" t="s">
        <v>6550</v>
      </c>
      <c r="F3073" t="s">
        <v>270</v>
      </c>
      <c r="G3073" t="s">
        <v>265</v>
      </c>
      <c r="H3073" t="b">
        <v>0</v>
      </c>
      <c r="I3073" t="b">
        <v>0</v>
      </c>
      <c r="L3073" t="b">
        <v>0</v>
      </c>
    </row>
    <row r="3075" spans="1:25" x14ac:dyDescent="0.2">
      <c r="A3075" s="2">
        <v>5236</v>
      </c>
      <c r="B3075" s="2" t="s">
        <v>6551</v>
      </c>
      <c r="C3075" s="2" t="s">
        <v>13</v>
      </c>
      <c r="D3075" s="2" t="s">
        <v>6552</v>
      </c>
      <c r="E3075" s="2" t="s">
        <v>6553</v>
      </c>
      <c r="F3075" s="2" t="s">
        <v>151</v>
      </c>
      <c r="G3075" s="2" t="s">
        <v>24</v>
      </c>
      <c r="H3075" s="2"/>
      <c r="I3075" s="2"/>
      <c r="J3075" s="2"/>
      <c r="K3075" s="2"/>
      <c r="L3075" s="2"/>
      <c r="M3075" s="2"/>
      <c r="N3075" s="2"/>
      <c r="O3075" s="2"/>
      <c r="P3075" s="2"/>
      <c r="Q3075" s="2"/>
      <c r="R3075" s="2"/>
      <c r="S3075" s="2"/>
      <c r="T3075" s="2"/>
      <c r="U3075" s="2"/>
      <c r="V3075" s="2"/>
      <c r="W3075" s="2"/>
      <c r="X3075" s="2"/>
      <c r="Y3075" s="2"/>
    </row>
    <row r="3076" spans="1:25" x14ac:dyDescent="0.2">
      <c r="A3076">
        <v>5237</v>
      </c>
      <c r="B3076" t="s">
        <v>6551</v>
      </c>
      <c r="C3076" t="s">
        <v>18</v>
      </c>
      <c r="D3076" t="s">
        <v>6552</v>
      </c>
      <c r="E3076" t="s">
        <v>6553</v>
      </c>
      <c r="F3076" t="s">
        <v>151</v>
      </c>
      <c r="G3076" t="s">
        <v>24</v>
      </c>
      <c r="H3076" t="b">
        <v>1</v>
      </c>
      <c r="I3076" t="b">
        <v>1</v>
      </c>
      <c r="L3076" t="b">
        <v>1</v>
      </c>
      <c r="M3076" t="s">
        <v>6554</v>
      </c>
      <c r="N3076" t="s">
        <v>6555</v>
      </c>
    </row>
    <row r="3077" spans="1:25" x14ac:dyDescent="0.2">
      <c r="A3077">
        <v>5238</v>
      </c>
      <c r="B3077" t="s">
        <v>6551</v>
      </c>
      <c r="C3077" t="s">
        <v>18</v>
      </c>
      <c r="D3077" t="s">
        <v>2411</v>
      </c>
      <c r="E3077" t="s">
        <v>2412</v>
      </c>
      <c r="F3077" t="s">
        <v>31</v>
      </c>
      <c r="G3077" t="s">
        <v>17</v>
      </c>
      <c r="H3077" t="b">
        <v>0</v>
      </c>
      <c r="I3077" t="b">
        <v>0</v>
      </c>
      <c r="L3077" t="b">
        <v>0</v>
      </c>
      <c r="M3077" t="s">
        <v>2413</v>
      </c>
      <c r="N3077" t="s">
        <v>2414</v>
      </c>
    </row>
    <row r="3078" spans="1:25" x14ac:dyDescent="0.2">
      <c r="A3078">
        <v>5239</v>
      </c>
      <c r="B3078" t="s">
        <v>6551</v>
      </c>
      <c r="C3078" t="s">
        <v>18</v>
      </c>
      <c r="D3078" t="s">
        <v>4047</v>
      </c>
      <c r="E3078" t="s">
        <v>4048</v>
      </c>
      <c r="F3078" t="s">
        <v>151</v>
      </c>
      <c r="G3078" t="s">
        <v>24</v>
      </c>
      <c r="H3078" t="b">
        <v>0</v>
      </c>
      <c r="I3078" t="b">
        <v>0</v>
      </c>
      <c r="L3078" t="b">
        <v>0</v>
      </c>
      <c r="M3078" t="s">
        <v>4049</v>
      </c>
    </row>
    <row r="3079" spans="1:25" x14ac:dyDescent="0.2">
      <c r="A3079">
        <v>5240</v>
      </c>
      <c r="B3079" t="s">
        <v>6551</v>
      </c>
      <c r="C3079" t="s">
        <v>18</v>
      </c>
      <c r="D3079" t="s">
        <v>6556</v>
      </c>
      <c r="E3079" t="s">
        <v>195</v>
      </c>
      <c r="F3079" t="s">
        <v>151</v>
      </c>
      <c r="G3079" t="s">
        <v>24</v>
      </c>
      <c r="H3079" t="b">
        <v>0</v>
      </c>
      <c r="I3079" t="b">
        <v>0</v>
      </c>
      <c r="L3079" t="b">
        <v>0</v>
      </c>
      <c r="M3079" t="s">
        <v>6557</v>
      </c>
    </row>
    <row r="3080" spans="1:25" x14ac:dyDescent="0.2">
      <c r="A3080">
        <v>5241</v>
      </c>
      <c r="B3080" t="s">
        <v>6551</v>
      </c>
      <c r="C3080" t="s">
        <v>18</v>
      </c>
      <c r="D3080" t="s">
        <v>4038</v>
      </c>
      <c r="E3080" t="s">
        <v>4040</v>
      </c>
      <c r="F3080" t="s">
        <v>151</v>
      </c>
      <c r="G3080" t="s">
        <v>24</v>
      </c>
      <c r="H3080" t="b">
        <v>0</v>
      </c>
      <c r="I3080" t="b">
        <v>0</v>
      </c>
      <c r="L3080" t="b">
        <v>0</v>
      </c>
      <c r="M3080" t="s">
        <v>4041</v>
      </c>
      <c r="N3080" t="s">
        <v>4042</v>
      </c>
    </row>
    <row r="3082" spans="1:25" x14ac:dyDescent="0.2">
      <c r="A3082" s="2">
        <v>5250</v>
      </c>
      <c r="B3082" s="2" t="s">
        <v>6558</v>
      </c>
      <c r="C3082" s="2" t="s">
        <v>13</v>
      </c>
      <c r="D3082" s="2" t="s">
        <v>3662</v>
      </c>
      <c r="E3082" s="2" t="s">
        <v>3663</v>
      </c>
      <c r="F3082" s="2" t="s">
        <v>369</v>
      </c>
      <c r="G3082" s="2" t="s">
        <v>17</v>
      </c>
      <c r="H3082" s="2"/>
      <c r="I3082" s="2"/>
      <c r="J3082" s="2"/>
      <c r="K3082" s="2"/>
      <c r="L3082" s="2"/>
      <c r="M3082" s="2"/>
      <c r="N3082" s="2"/>
      <c r="O3082" s="2"/>
      <c r="P3082" s="2"/>
      <c r="Q3082" s="2"/>
      <c r="R3082" s="2"/>
      <c r="S3082" s="2"/>
      <c r="T3082" s="2"/>
      <c r="U3082" s="2"/>
      <c r="V3082" s="2"/>
      <c r="W3082" s="2"/>
      <c r="X3082" s="2"/>
      <c r="Y3082" s="2"/>
    </row>
    <row r="3083" spans="1:25" x14ac:dyDescent="0.2">
      <c r="A3083">
        <v>5251</v>
      </c>
      <c r="B3083" t="s">
        <v>6558</v>
      </c>
      <c r="C3083" t="s">
        <v>18</v>
      </c>
      <c r="D3083" t="s">
        <v>3662</v>
      </c>
      <c r="E3083" t="s">
        <v>3663</v>
      </c>
      <c r="F3083" t="s">
        <v>369</v>
      </c>
      <c r="G3083" t="s">
        <v>17</v>
      </c>
      <c r="H3083" t="b">
        <v>1</v>
      </c>
      <c r="K3083" t="b">
        <v>1</v>
      </c>
      <c r="L3083" t="b">
        <v>1</v>
      </c>
      <c r="M3083" t="s">
        <v>3664</v>
      </c>
      <c r="N3083" t="s">
        <v>3665</v>
      </c>
      <c r="O3083" t="s">
        <v>3666</v>
      </c>
      <c r="P3083" t="s">
        <v>3667</v>
      </c>
    </row>
    <row r="3084" spans="1:25" x14ac:dyDescent="0.2">
      <c r="A3084">
        <v>5252</v>
      </c>
      <c r="B3084" t="s">
        <v>6558</v>
      </c>
      <c r="C3084" t="s">
        <v>18</v>
      </c>
      <c r="D3084" t="s">
        <v>3654</v>
      </c>
      <c r="E3084" t="s">
        <v>3656</v>
      </c>
      <c r="F3084" t="s">
        <v>122</v>
      </c>
      <c r="G3084" t="s">
        <v>17</v>
      </c>
      <c r="H3084" t="b">
        <v>0</v>
      </c>
      <c r="K3084" t="b">
        <v>0</v>
      </c>
      <c r="L3084" t="b">
        <v>0</v>
      </c>
      <c r="M3084" t="s">
        <v>3657</v>
      </c>
      <c r="N3084" t="s">
        <v>3658</v>
      </c>
    </row>
    <row r="3085" spans="1:25" x14ac:dyDescent="0.2">
      <c r="A3085">
        <v>5253</v>
      </c>
      <c r="B3085" t="s">
        <v>6558</v>
      </c>
      <c r="C3085" t="s">
        <v>18</v>
      </c>
      <c r="D3085" t="s">
        <v>3659</v>
      </c>
      <c r="E3085" t="s">
        <v>2886</v>
      </c>
      <c r="F3085" t="s">
        <v>369</v>
      </c>
      <c r="G3085" t="s">
        <v>17</v>
      </c>
      <c r="H3085" t="b">
        <v>0</v>
      </c>
      <c r="K3085" t="b">
        <v>0</v>
      </c>
      <c r="L3085" t="b">
        <v>0</v>
      </c>
      <c r="M3085" t="s">
        <v>3660</v>
      </c>
      <c r="N3085" t="s">
        <v>3661</v>
      </c>
    </row>
    <row r="3086" spans="1:25" x14ac:dyDescent="0.2">
      <c r="A3086">
        <v>5254</v>
      </c>
      <c r="B3086" t="s">
        <v>6558</v>
      </c>
      <c r="C3086" t="s">
        <v>18</v>
      </c>
      <c r="D3086" t="s">
        <v>3668</v>
      </c>
      <c r="E3086" t="s">
        <v>3669</v>
      </c>
      <c r="F3086" t="s">
        <v>31</v>
      </c>
      <c r="G3086" t="s">
        <v>17</v>
      </c>
      <c r="H3086" t="b">
        <v>0</v>
      </c>
      <c r="K3086" t="b">
        <v>0</v>
      </c>
      <c r="L3086" t="b">
        <v>0</v>
      </c>
      <c r="M3086" t="s">
        <v>3670</v>
      </c>
    </row>
    <row r="3087" spans="1:25" x14ac:dyDescent="0.2">
      <c r="A3087">
        <v>5255</v>
      </c>
      <c r="B3087" t="s">
        <v>6558</v>
      </c>
      <c r="C3087" t="s">
        <v>18</v>
      </c>
      <c r="D3087" t="s">
        <v>6559</v>
      </c>
      <c r="E3087" t="s">
        <v>6560</v>
      </c>
      <c r="F3087" t="s">
        <v>82</v>
      </c>
      <c r="G3087" t="s">
        <v>17</v>
      </c>
      <c r="H3087" t="b">
        <v>0</v>
      </c>
      <c r="K3087" t="b">
        <v>0</v>
      </c>
      <c r="L3087" t="b">
        <v>0</v>
      </c>
    </row>
    <row r="3089" spans="1:25" x14ac:dyDescent="0.2">
      <c r="A3089" s="2">
        <v>5278</v>
      </c>
      <c r="B3089" s="2" t="s">
        <v>6561</v>
      </c>
      <c r="C3089" s="2" t="s">
        <v>13</v>
      </c>
      <c r="D3089" s="2" t="s">
        <v>243</v>
      </c>
      <c r="E3089" s="2" t="s">
        <v>6562</v>
      </c>
      <c r="F3089" s="2" t="s">
        <v>78</v>
      </c>
      <c r="G3089" s="2" t="s">
        <v>17</v>
      </c>
      <c r="H3089" s="2"/>
      <c r="I3089" s="2"/>
      <c r="J3089" s="2"/>
      <c r="K3089" s="2"/>
      <c r="L3089" s="2"/>
      <c r="M3089" s="2"/>
      <c r="N3089" s="2"/>
      <c r="O3089" s="2"/>
      <c r="P3089" s="2"/>
      <c r="Q3089" s="2"/>
      <c r="R3089" s="2"/>
      <c r="S3089" s="2"/>
      <c r="T3089" s="2"/>
      <c r="U3089" s="2"/>
      <c r="V3089" s="2"/>
      <c r="W3089" s="2"/>
      <c r="X3089" s="2"/>
      <c r="Y3089" s="2"/>
    </row>
    <row r="3090" spans="1:25" x14ac:dyDescent="0.2">
      <c r="A3090">
        <v>5279</v>
      </c>
      <c r="B3090" t="s">
        <v>6561</v>
      </c>
      <c r="C3090" t="s">
        <v>18</v>
      </c>
      <c r="D3090" t="s">
        <v>243</v>
      </c>
      <c r="E3090" t="s">
        <v>244</v>
      </c>
      <c r="F3090" t="s">
        <v>78</v>
      </c>
      <c r="G3090" t="s">
        <v>17</v>
      </c>
      <c r="H3090" t="b">
        <v>1</v>
      </c>
      <c r="K3090" t="b">
        <v>1</v>
      </c>
      <c r="L3090" t="b">
        <v>1</v>
      </c>
      <c r="M3090" t="s">
        <v>6563</v>
      </c>
    </row>
    <row r="3091" spans="1:25" x14ac:dyDescent="0.2">
      <c r="A3091">
        <v>5280</v>
      </c>
      <c r="B3091" t="s">
        <v>6561</v>
      </c>
      <c r="C3091" t="s">
        <v>18</v>
      </c>
      <c r="D3091" t="s">
        <v>6564</v>
      </c>
      <c r="E3091" t="s">
        <v>6565</v>
      </c>
      <c r="F3091" t="s">
        <v>78</v>
      </c>
      <c r="G3091" t="s">
        <v>17</v>
      </c>
      <c r="H3091" t="b">
        <v>1</v>
      </c>
      <c r="K3091" t="b">
        <v>1</v>
      </c>
      <c r="L3091" t="b">
        <v>1</v>
      </c>
      <c r="M3091" t="s">
        <v>6566</v>
      </c>
    </row>
    <row r="3092" spans="1:25" x14ac:dyDescent="0.2">
      <c r="A3092">
        <v>5281</v>
      </c>
      <c r="B3092" t="s">
        <v>6561</v>
      </c>
      <c r="C3092" t="s">
        <v>18</v>
      </c>
      <c r="D3092" t="s">
        <v>6567</v>
      </c>
      <c r="E3092" t="s">
        <v>6568</v>
      </c>
      <c r="F3092" t="s">
        <v>78</v>
      </c>
      <c r="G3092" t="s">
        <v>17</v>
      </c>
      <c r="H3092" t="b">
        <v>0</v>
      </c>
      <c r="K3092" t="b">
        <v>0</v>
      </c>
      <c r="L3092" t="b">
        <v>0</v>
      </c>
      <c r="M3092" t="s">
        <v>6569</v>
      </c>
      <c r="N3092" t="s">
        <v>6570</v>
      </c>
    </row>
    <row r="3093" spans="1:25" x14ac:dyDescent="0.2">
      <c r="A3093">
        <v>5282</v>
      </c>
      <c r="B3093" t="s">
        <v>6561</v>
      </c>
      <c r="C3093" t="s">
        <v>18</v>
      </c>
      <c r="D3093" t="s">
        <v>6571</v>
      </c>
      <c r="E3093" t="s">
        <v>6572</v>
      </c>
      <c r="F3093" t="s">
        <v>78</v>
      </c>
      <c r="G3093" t="s">
        <v>252</v>
      </c>
      <c r="H3093" t="b">
        <v>0</v>
      </c>
      <c r="K3093" t="b">
        <v>0</v>
      </c>
      <c r="L3093" t="b">
        <v>0</v>
      </c>
    </row>
    <row r="3094" spans="1:25" x14ac:dyDescent="0.2">
      <c r="A3094">
        <v>5283</v>
      </c>
      <c r="B3094" t="s">
        <v>6561</v>
      </c>
      <c r="C3094" t="s">
        <v>18</v>
      </c>
      <c r="D3094" t="s">
        <v>1306</v>
      </c>
      <c r="E3094" t="s">
        <v>1307</v>
      </c>
      <c r="F3094" t="s">
        <v>78</v>
      </c>
      <c r="G3094" t="s">
        <v>17</v>
      </c>
      <c r="H3094" t="b">
        <v>0</v>
      </c>
      <c r="K3094" t="b">
        <v>0</v>
      </c>
      <c r="L3094" t="b">
        <v>0</v>
      </c>
      <c r="M3094" t="s">
        <v>1308</v>
      </c>
      <c r="N3094" t="s">
        <v>1309</v>
      </c>
    </row>
    <row r="3096" spans="1:25" x14ac:dyDescent="0.2">
      <c r="A3096" s="2">
        <v>5292</v>
      </c>
      <c r="B3096" s="2" t="s">
        <v>6573</v>
      </c>
      <c r="C3096" s="2" t="s">
        <v>13</v>
      </c>
      <c r="D3096" s="2" t="s">
        <v>6574</v>
      </c>
      <c r="E3096" s="2" t="s">
        <v>6575</v>
      </c>
      <c r="F3096" s="2" t="s">
        <v>78</v>
      </c>
      <c r="G3096" s="2" t="s">
        <v>62</v>
      </c>
      <c r="H3096" s="2"/>
      <c r="I3096" s="2"/>
      <c r="J3096" s="2"/>
      <c r="K3096" s="2"/>
      <c r="L3096" s="2"/>
      <c r="M3096" s="2"/>
      <c r="N3096" s="2"/>
      <c r="O3096" s="2"/>
      <c r="P3096" s="2"/>
      <c r="Q3096" s="2"/>
      <c r="R3096" s="2"/>
      <c r="S3096" s="2"/>
      <c r="T3096" s="2"/>
      <c r="U3096" s="2"/>
      <c r="V3096" s="2"/>
      <c r="W3096" s="2"/>
      <c r="X3096" s="2"/>
      <c r="Y3096" s="2"/>
    </row>
    <row r="3097" spans="1:25" x14ac:dyDescent="0.2">
      <c r="A3097">
        <v>5293</v>
      </c>
      <c r="B3097" t="s">
        <v>6573</v>
      </c>
      <c r="C3097" t="s">
        <v>18</v>
      </c>
      <c r="D3097" t="s">
        <v>6574</v>
      </c>
      <c r="E3097" t="s">
        <v>6576</v>
      </c>
      <c r="F3097" t="s">
        <v>78</v>
      </c>
      <c r="G3097" t="s">
        <v>62</v>
      </c>
      <c r="H3097" t="b">
        <v>1</v>
      </c>
      <c r="K3097" t="b">
        <v>1</v>
      </c>
      <c r="L3097" t="b">
        <v>1</v>
      </c>
      <c r="M3097" t="s">
        <v>6577</v>
      </c>
    </row>
    <row r="3098" spans="1:25" x14ac:dyDescent="0.2">
      <c r="A3098">
        <v>5294</v>
      </c>
      <c r="B3098" t="s">
        <v>6573</v>
      </c>
      <c r="C3098" t="s">
        <v>18</v>
      </c>
      <c r="D3098" t="s">
        <v>6578</v>
      </c>
      <c r="E3098" t="s">
        <v>6579</v>
      </c>
      <c r="F3098" t="s">
        <v>78</v>
      </c>
      <c r="G3098" t="s">
        <v>62</v>
      </c>
      <c r="H3098" t="b">
        <v>1</v>
      </c>
      <c r="K3098" t="b">
        <v>1</v>
      </c>
      <c r="L3098" t="b">
        <v>1</v>
      </c>
    </row>
    <row r="3099" spans="1:25" x14ac:dyDescent="0.2">
      <c r="A3099">
        <v>5295</v>
      </c>
      <c r="B3099" t="s">
        <v>6573</v>
      </c>
      <c r="C3099" t="s">
        <v>18</v>
      </c>
      <c r="D3099" t="s">
        <v>6580</v>
      </c>
      <c r="E3099" t="s">
        <v>6581</v>
      </c>
      <c r="F3099" t="s">
        <v>78</v>
      </c>
      <c r="G3099" t="s">
        <v>62</v>
      </c>
      <c r="H3099" t="b">
        <v>0</v>
      </c>
      <c r="K3099" t="b">
        <v>0</v>
      </c>
      <c r="L3099" t="b">
        <v>0</v>
      </c>
      <c r="M3099" t="s">
        <v>6582</v>
      </c>
      <c r="N3099" t="s">
        <v>6583</v>
      </c>
    </row>
    <row r="3100" spans="1:25" x14ac:dyDescent="0.2">
      <c r="A3100">
        <v>5296</v>
      </c>
      <c r="B3100" t="s">
        <v>6573</v>
      </c>
      <c r="C3100" t="s">
        <v>18</v>
      </c>
      <c r="D3100" t="s">
        <v>6454</v>
      </c>
      <c r="E3100" t="s">
        <v>6455</v>
      </c>
      <c r="F3100" t="s">
        <v>78</v>
      </c>
      <c r="G3100" t="s">
        <v>62</v>
      </c>
      <c r="H3100" t="b">
        <v>0</v>
      </c>
      <c r="K3100" t="b">
        <v>0</v>
      </c>
      <c r="L3100" t="b">
        <v>0</v>
      </c>
    </row>
    <row r="3101" spans="1:25" x14ac:dyDescent="0.2">
      <c r="A3101">
        <v>5297</v>
      </c>
      <c r="B3101" t="s">
        <v>6573</v>
      </c>
      <c r="C3101" t="s">
        <v>18</v>
      </c>
      <c r="D3101" t="s">
        <v>6584</v>
      </c>
      <c r="E3101" t="s">
        <v>6585</v>
      </c>
      <c r="F3101" t="s">
        <v>78</v>
      </c>
      <c r="G3101" t="s">
        <v>88</v>
      </c>
      <c r="H3101" t="b">
        <v>0</v>
      </c>
      <c r="K3101" t="b">
        <v>0</v>
      </c>
      <c r="L3101" t="b">
        <v>0</v>
      </c>
      <c r="M3101" t="s">
        <v>6586</v>
      </c>
    </row>
    <row r="3103" spans="1:25" x14ac:dyDescent="0.2">
      <c r="A3103" s="2">
        <v>532</v>
      </c>
      <c r="B3103" s="2" t="s">
        <v>6587</v>
      </c>
      <c r="C3103" s="2" t="s">
        <v>13</v>
      </c>
      <c r="D3103" s="2" t="s">
        <v>6588</v>
      </c>
      <c r="E3103" s="2" t="s">
        <v>6589</v>
      </c>
      <c r="F3103" s="2" t="s">
        <v>270</v>
      </c>
      <c r="G3103" s="2" t="s">
        <v>279</v>
      </c>
      <c r="H3103" s="2"/>
      <c r="I3103" s="2"/>
      <c r="J3103" s="2"/>
      <c r="K3103" s="2"/>
      <c r="L3103" s="2"/>
      <c r="M3103" s="2"/>
      <c r="N3103" s="2"/>
      <c r="O3103" s="2"/>
      <c r="P3103" s="2"/>
      <c r="Q3103" s="2"/>
      <c r="R3103" s="2"/>
      <c r="S3103" s="2"/>
      <c r="T3103" s="2"/>
      <c r="U3103" s="2"/>
      <c r="V3103" s="2"/>
      <c r="W3103" s="2"/>
      <c r="X3103" s="2"/>
      <c r="Y3103" s="2"/>
    </row>
    <row r="3104" spans="1:25" x14ac:dyDescent="0.2">
      <c r="A3104">
        <v>533</v>
      </c>
      <c r="B3104" t="s">
        <v>6587</v>
      </c>
      <c r="C3104" t="s">
        <v>18</v>
      </c>
      <c r="D3104" t="s">
        <v>6588</v>
      </c>
      <c r="E3104" t="s">
        <v>6589</v>
      </c>
      <c r="F3104" t="s">
        <v>270</v>
      </c>
      <c r="G3104" t="s">
        <v>280</v>
      </c>
      <c r="H3104" t="b">
        <v>1</v>
      </c>
      <c r="I3104" t="b">
        <v>1</v>
      </c>
      <c r="L3104" t="b">
        <v>1</v>
      </c>
      <c r="M3104" t="s">
        <v>6590</v>
      </c>
      <c r="N3104" t="s">
        <v>6591</v>
      </c>
      <c r="O3104" t="s">
        <v>6592</v>
      </c>
    </row>
    <row r="3105" spans="1:25" x14ac:dyDescent="0.2">
      <c r="A3105">
        <v>534</v>
      </c>
      <c r="B3105" t="s">
        <v>6587</v>
      </c>
      <c r="C3105" t="s">
        <v>18</v>
      </c>
      <c r="D3105" t="s">
        <v>6593</v>
      </c>
      <c r="E3105" t="s">
        <v>6594</v>
      </c>
      <c r="F3105" t="s">
        <v>5215</v>
      </c>
      <c r="G3105" t="s">
        <v>280</v>
      </c>
      <c r="H3105" t="b">
        <v>0</v>
      </c>
      <c r="I3105" t="b">
        <v>0</v>
      </c>
      <c r="L3105" t="b">
        <v>0</v>
      </c>
      <c r="M3105" t="s">
        <v>6595</v>
      </c>
      <c r="N3105" t="s">
        <v>6596</v>
      </c>
    </row>
    <row r="3106" spans="1:25" x14ac:dyDescent="0.2">
      <c r="A3106">
        <v>535</v>
      </c>
      <c r="B3106" t="s">
        <v>6587</v>
      </c>
      <c r="C3106" t="s">
        <v>18</v>
      </c>
      <c r="D3106" t="s">
        <v>6597</v>
      </c>
      <c r="E3106" t="s">
        <v>6598</v>
      </c>
      <c r="F3106" t="s">
        <v>654</v>
      </c>
      <c r="G3106" t="s">
        <v>280</v>
      </c>
      <c r="H3106" t="b">
        <v>0</v>
      </c>
      <c r="I3106" t="b">
        <v>0</v>
      </c>
      <c r="L3106" t="b">
        <v>0</v>
      </c>
      <c r="M3106" t="s">
        <v>6599</v>
      </c>
    </row>
    <row r="3107" spans="1:25" x14ac:dyDescent="0.2">
      <c r="A3107">
        <v>536</v>
      </c>
      <c r="B3107" t="s">
        <v>6587</v>
      </c>
      <c r="C3107" t="s">
        <v>18</v>
      </c>
      <c r="D3107" t="s">
        <v>6600</v>
      </c>
      <c r="E3107" t="s">
        <v>6601</v>
      </c>
      <c r="F3107" t="s">
        <v>654</v>
      </c>
      <c r="G3107" t="s">
        <v>280</v>
      </c>
      <c r="H3107" t="b">
        <v>0</v>
      </c>
      <c r="I3107" t="b">
        <v>0</v>
      </c>
      <c r="L3107" t="b">
        <v>0</v>
      </c>
    </row>
    <row r="3108" spans="1:25" x14ac:dyDescent="0.2">
      <c r="A3108">
        <v>537</v>
      </c>
      <c r="B3108" t="s">
        <v>6587</v>
      </c>
      <c r="C3108" t="s">
        <v>18</v>
      </c>
      <c r="D3108" t="s">
        <v>6602</v>
      </c>
      <c r="E3108" t="s">
        <v>6603</v>
      </c>
      <c r="F3108" t="s">
        <v>420</v>
      </c>
      <c r="G3108" t="s">
        <v>1867</v>
      </c>
      <c r="H3108" t="b">
        <v>0</v>
      </c>
      <c r="I3108" t="b">
        <v>0</v>
      </c>
      <c r="L3108" t="b">
        <v>0</v>
      </c>
      <c r="M3108" t="s">
        <v>6604</v>
      </c>
    </row>
    <row r="3110" spans="1:25" x14ac:dyDescent="0.2">
      <c r="A3110" s="2">
        <v>5320</v>
      </c>
      <c r="B3110" s="2" t="s">
        <v>6605</v>
      </c>
      <c r="C3110" s="2" t="s">
        <v>13</v>
      </c>
      <c r="D3110" s="2" t="s">
        <v>6606</v>
      </c>
      <c r="E3110" s="2" t="s">
        <v>6607</v>
      </c>
      <c r="F3110" s="2" t="s">
        <v>78</v>
      </c>
      <c r="G3110" s="2" t="s">
        <v>88</v>
      </c>
      <c r="H3110" s="2"/>
      <c r="I3110" s="2"/>
      <c r="J3110" s="2"/>
      <c r="K3110" s="2"/>
      <c r="L3110" s="2"/>
      <c r="M3110" s="2"/>
      <c r="N3110" s="2"/>
      <c r="O3110" s="2"/>
      <c r="P3110" s="2"/>
      <c r="Q3110" s="2"/>
      <c r="R3110" s="2"/>
      <c r="S3110" s="2"/>
      <c r="T3110" s="2"/>
      <c r="U3110" s="2"/>
      <c r="V3110" s="2"/>
      <c r="W3110" s="2"/>
      <c r="X3110" s="2"/>
      <c r="Y3110" s="2"/>
    </row>
    <row r="3111" spans="1:25" x14ac:dyDescent="0.2">
      <c r="A3111">
        <v>5321</v>
      </c>
      <c r="B3111" t="s">
        <v>6605</v>
      </c>
      <c r="C3111" t="s">
        <v>18</v>
      </c>
      <c r="D3111" t="s">
        <v>6608</v>
      </c>
      <c r="E3111" t="s">
        <v>6609</v>
      </c>
      <c r="F3111" t="s">
        <v>78</v>
      </c>
      <c r="G3111" t="s">
        <v>88</v>
      </c>
      <c r="H3111" t="b">
        <v>0</v>
      </c>
      <c r="I3111" t="b">
        <v>1</v>
      </c>
      <c r="L3111" t="b">
        <v>1</v>
      </c>
      <c r="M3111" t="s">
        <v>6610</v>
      </c>
    </row>
    <row r="3112" spans="1:25" x14ac:dyDescent="0.2">
      <c r="A3112">
        <v>5322</v>
      </c>
      <c r="B3112" t="s">
        <v>6605</v>
      </c>
      <c r="C3112" t="s">
        <v>18</v>
      </c>
      <c r="D3112" t="s">
        <v>6611</v>
      </c>
      <c r="E3112" t="s">
        <v>5458</v>
      </c>
      <c r="F3112" t="s">
        <v>78</v>
      </c>
      <c r="G3112" t="s">
        <v>88</v>
      </c>
      <c r="H3112" t="b">
        <v>0</v>
      </c>
      <c r="I3112" t="b">
        <v>1</v>
      </c>
      <c r="L3112" t="b">
        <v>1</v>
      </c>
      <c r="M3112" t="s">
        <v>6612</v>
      </c>
    </row>
    <row r="3113" spans="1:25" x14ac:dyDescent="0.2">
      <c r="A3113">
        <v>5323</v>
      </c>
      <c r="B3113" t="s">
        <v>6605</v>
      </c>
      <c r="C3113" t="s">
        <v>18</v>
      </c>
      <c r="D3113" t="s">
        <v>6613</v>
      </c>
      <c r="E3113" t="s">
        <v>6614</v>
      </c>
      <c r="F3113" t="s">
        <v>78</v>
      </c>
      <c r="G3113" t="s">
        <v>88</v>
      </c>
      <c r="H3113" t="b">
        <v>0</v>
      </c>
      <c r="I3113" t="b">
        <v>0</v>
      </c>
      <c r="L3113" t="b">
        <v>0</v>
      </c>
    </row>
    <row r="3114" spans="1:25" x14ac:dyDescent="0.2">
      <c r="A3114">
        <v>5324</v>
      </c>
      <c r="B3114" t="s">
        <v>6605</v>
      </c>
      <c r="C3114" t="s">
        <v>18</v>
      </c>
      <c r="D3114" t="s">
        <v>6615</v>
      </c>
      <c r="E3114" t="s">
        <v>6616</v>
      </c>
      <c r="F3114" t="s">
        <v>78</v>
      </c>
      <c r="G3114" t="s">
        <v>88</v>
      </c>
      <c r="H3114" t="b">
        <v>0</v>
      </c>
      <c r="I3114" t="b">
        <v>0</v>
      </c>
      <c r="L3114" t="b">
        <v>0</v>
      </c>
      <c r="M3114" t="s">
        <v>6617</v>
      </c>
    </row>
    <row r="3115" spans="1:25" x14ac:dyDescent="0.2">
      <c r="A3115">
        <v>5325</v>
      </c>
      <c r="B3115" t="s">
        <v>6605</v>
      </c>
      <c r="C3115" t="s">
        <v>18</v>
      </c>
      <c r="D3115" t="s">
        <v>6618</v>
      </c>
      <c r="E3115" t="s">
        <v>6619</v>
      </c>
      <c r="F3115" t="s">
        <v>78</v>
      </c>
      <c r="G3115" t="s">
        <v>88</v>
      </c>
      <c r="H3115" t="b">
        <v>0</v>
      </c>
      <c r="I3115" t="b">
        <v>0</v>
      </c>
      <c r="L3115" t="b">
        <v>0</v>
      </c>
      <c r="M3115" t="s">
        <v>6620</v>
      </c>
    </row>
    <row r="3117" spans="1:25" x14ac:dyDescent="0.2">
      <c r="A3117" s="2">
        <v>5348</v>
      </c>
      <c r="B3117" s="2" t="s">
        <v>6621</v>
      </c>
      <c r="C3117" s="2" t="s">
        <v>13</v>
      </c>
      <c r="D3117" s="2" t="s">
        <v>6622</v>
      </c>
      <c r="E3117" s="2" t="s">
        <v>6623</v>
      </c>
      <c r="F3117" s="2" t="s">
        <v>369</v>
      </c>
      <c r="G3117" s="2" t="s">
        <v>638</v>
      </c>
      <c r="H3117" s="2"/>
      <c r="I3117" s="2"/>
      <c r="J3117" s="2"/>
      <c r="K3117" s="2"/>
      <c r="L3117" s="2"/>
      <c r="M3117" s="2"/>
      <c r="N3117" s="2"/>
      <c r="O3117" s="2"/>
      <c r="P3117" s="2"/>
      <c r="Q3117" s="2"/>
      <c r="R3117" s="2"/>
      <c r="S3117" s="2"/>
      <c r="T3117" s="2"/>
      <c r="U3117" s="2"/>
      <c r="V3117" s="2"/>
      <c r="W3117" s="2"/>
      <c r="X3117" s="2"/>
      <c r="Y3117" s="2"/>
    </row>
    <row r="3118" spans="1:25" x14ac:dyDescent="0.2">
      <c r="A3118">
        <v>5349</v>
      </c>
      <c r="B3118" t="s">
        <v>6621</v>
      </c>
      <c r="C3118" t="s">
        <v>18</v>
      </c>
      <c r="D3118" t="s">
        <v>6622</v>
      </c>
      <c r="E3118" t="s">
        <v>6624</v>
      </c>
      <c r="F3118" t="s">
        <v>369</v>
      </c>
      <c r="G3118" t="s">
        <v>638</v>
      </c>
      <c r="H3118" t="b">
        <v>1</v>
      </c>
      <c r="K3118" t="b">
        <v>1</v>
      </c>
      <c r="L3118" t="b">
        <v>1</v>
      </c>
      <c r="M3118" t="s">
        <v>6625</v>
      </c>
      <c r="N3118" t="s">
        <v>6626</v>
      </c>
    </row>
    <row r="3119" spans="1:25" x14ac:dyDescent="0.2">
      <c r="A3119">
        <v>5350</v>
      </c>
      <c r="B3119" t="s">
        <v>6621</v>
      </c>
      <c r="C3119" t="s">
        <v>18</v>
      </c>
      <c r="D3119" t="s">
        <v>6627</v>
      </c>
      <c r="E3119" t="s">
        <v>6628</v>
      </c>
      <c r="F3119" t="s">
        <v>369</v>
      </c>
      <c r="G3119" t="s">
        <v>638</v>
      </c>
      <c r="H3119" t="b">
        <v>0</v>
      </c>
      <c r="K3119" t="b">
        <v>0</v>
      </c>
      <c r="L3119" t="b">
        <v>0</v>
      </c>
      <c r="M3119" t="s">
        <v>6629</v>
      </c>
      <c r="N3119" t="s">
        <v>6630</v>
      </c>
    </row>
    <row r="3120" spans="1:25" x14ac:dyDescent="0.2">
      <c r="A3120">
        <v>5351</v>
      </c>
      <c r="B3120" t="s">
        <v>6621</v>
      </c>
      <c r="C3120" t="s">
        <v>18</v>
      </c>
      <c r="D3120" t="s">
        <v>6631</v>
      </c>
      <c r="E3120" t="s">
        <v>6632</v>
      </c>
      <c r="F3120" t="s">
        <v>151</v>
      </c>
      <c r="G3120" t="s">
        <v>32</v>
      </c>
      <c r="H3120" t="b">
        <v>0</v>
      </c>
      <c r="K3120" t="b">
        <v>0</v>
      </c>
      <c r="L3120" t="b">
        <v>0</v>
      </c>
    </row>
    <row r="3121" spans="1:25" x14ac:dyDescent="0.2">
      <c r="A3121">
        <v>5352</v>
      </c>
      <c r="B3121" t="s">
        <v>6621</v>
      </c>
      <c r="C3121" t="s">
        <v>18</v>
      </c>
      <c r="D3121" t="s">
        <v>5748</v>
      </c>
      <c r="E3121" t="s">
        <v>5749</v>
      </c>
      <c r="F3121" t="s">
        <v>78</v>
      </c>
      <c r="G3121" t="s">
        <v>502</v>
      </c>
      <c r="H3121" t="b">
        <v>0</v>
      </c>
      <c r="K3121" t="b">
        <v>0</v>
      </c>
      <c r="L3121" t="b">
        <v>0</v>
      </c>
      <c r="M3121" t="s">
        <v>5750</v>
      </c>
    </row>
    <row r="3122" spans="1:25" x14ac:dyDescent="0.2">
      <c r="A3122">
        <v>5353</v>
      </c>
      <c r="B3122" t="s">
        <v>6621</v>
      </c>
      <c r="C3122" t="s">
        <v>18</v>
      </c>
      <c r="D3122" t="s">
        <v>3819</v>
      </c>
      <c r="E3122" t="s">
        <v>3820</v>
      </c>
      <c r="F3122" t="s">
        <v>248</v>
      </c>
      <c r="G3122" t="s">
        <v>24</v>
      </c>
      <c r="H3122" t="b">
        <v>0</v>
      </c>
      <c r="K3122" t="b">
        <v>0</v>
      </c>
      <c r="L3122" t="b">
        <v>0</v>
      </c>
    </row>
    <row r="3124" spans="1:25" x14ac:dyDescent="0.2">
      <c r="A3124" s="2">
        <v>5355</v>
      </c>
      <c r="B3124" s="2" t="s">
        <v>6633</v>
      </c>
      <c r="C3124" s="2" t="s">
        <v>13</v>
      </c>
      <c r="D3124" s="2" t="s">
        <v>6634</v>
      </c>
      <c r="E3124" s="2" t="s">
        <v>6635</v>
      </c>
      <c r="F3124" s="2" t="s">
        <v>78</v>
      </c>
      <c r="G3124" s="2" t="s">
        <v>17</v>
      </c>
      <c r="H3124" s="2"/>
      <c r="I3124" s="2"/>
      <c r="J3124" s="2"/>
      <c r="K3124" s="2"/>
      <c r="L3124" s="2"/>
      <c r="M3124" s="2"/>
      <c r="N3124" s="2"/>
      <c r="O3124" s="2"/>
      <c r="P3124" s="2"/>
      <c r="Q3124" s="2"/>
      <c r="R3124" s="2"/>
      <c r="S3124" s="2"/>
      <c r="T3124" s="2"/>
      <c r="U3124" s="2"/>
      <c r="V3124" s="2"/>
      <c r="W3124" s="2"/>
      <c r="X3124" s="2"/>
      <c r="Y3124" s="2"/>
    </row>
    <row r="3125" spans="1:25" x14ac:dyDescent="0.2">
      <c r="A3125">
        <v>5356</v>
      </c>
      <c r="B3125" t="s">
        <v>6633</v>
      </c>
      <c r="C3125" t="s">
        <v>18</v>
      </c>
      <c r="D3125" t="s">
        <v>6634</v>
      </c>
      <c r="E3125" t="s">
        <v>6635</v>
      </c>
      <c r="F3125" t="s">
        <v>78</v>
      </c>
      <c r="G3125" t="s">
        <v>17</v>
      </c>
      <c r="H3125" t="b">
        <v>1</v>
      </c>
      <c r="K3125" t="b">
        <v>1</v>
      </c>
      <c r="L3125" t="b">
        <v>1</v>
      </c>
      <c r="M3125" t="s">
        <v>6636</v>
      </c>
      <c r="N3125" t="s">
        <v>6637</v>
      </c>
    </row>
    <row r="3126" spans="1:25" x14ac:dyDescent="0.2">
      <c r="A3126">
        <v>5357</v>
      </c>
      <c r="B3126" t="s">
        <v>6633</v>
      </c>
      <c r="C3126" t="s">
        <v>18</v>
      </c>
      <c r="D3126" t="s">
        <v>762</v>
      </c>
      <c r="E3126" t="s">
        <v>763</v>
      </c>
      <c r="F3126" t="s">
        <v>122</v>
      </c>
      <c r="G3126" t="s">
        <v>17</v>
      </c>
      <c r="H3126" t="b">
        <v>0</v>
      </c>
      <c r="K3126" t="b">
        <v>0</v>
      </c>
      <c r="L3126" t="b">
        <v>0</v>
      </c>
      <c r="M3126" t="s">
        <v>764</v>
      </c>
    </row>
    <row r="3127" spans="1:25" x14ac:dyDescent="0.2">
      <c r="A3127">
        <v>5358</v>
      </c>
      <c r="B3127" t="s">
        <v>6633</v>
      </c>
      <c r="C3127" t="s">
        <v>18</v>
      </c>
      <c r="D3127" t="s">
        <v>6638</v>
      </c>
      <c r="E3127" t="s">
        <v>6639</v>
      </c>
      <c r="F3127" t="s">
        <v>23</v>
      </c>
      <c r="G3127" t="s">
        <v>17</v>
      </c>
      <c r="H3127" t="b">
        <v>0</v>
      </c>
      <c r="K3127" t="b">
        <v>0</v>
      </c>
      <c r="L3127" t="b">
        <v>0</v>
      </c>
      <c r="M3127" t="s">
        <v>6640</v>
      </c>
      <c r="N3127" t="s">
        <v>6641</v>
      </c>
    </row>
    <row r="3128" spans="1:25" x14ac:dyDescent="0.2">
      <c r="A3128">
        <v>5359</v>
      </c>
      <c r="B3128" t="s">
        <v>6633</v>
      </c>
      <c r="C3128" t="s">
        <v>18</v>
      </c>
      <c r="D3128" t="s">
        <v>755</v>
      </c>
      <c r="E3128" t="s">
        <v>756</v>
      </c>
      <c r="F3128" t="s">
        <v>122</v>
      </c>
      <c r="G3128" t="s">
        <v>17</v>
      </c>
      <c r="H3128" t="b">
        <v>0</v>
      </c>
      <c r="K3128" t="b">
        <v>0</v>
      </c>
      <c r="L3128" t="b">
        <v>0</v>
      </c>
      <c r="M3128" t="s">
        <v>757</v>
      </c>
    </row>
    <row r="3129" spans="1:25" x14ac:dyDescent="0.2">
      <c r="A3129">
        <v>5360</v>
      </c>
      <c r="B3129" t="s">
        <v>6633</v>
      </c>
      <c r="C3129" t="s">
        <v>18</v>
      </c>
      <c r="D3129" t="s">
        <v>6642</v>
      </c>
      <c r="E3129" t="s">
        <v>6643</v>
      </c>
      <c r="F3129" t="s">
        <v>31</v>
      </c>
      <c r="G3129" t="s">
        <v>17</v>
      </c>
      <c r="H3129" t="b">
        <v>0</v>
      </c>
      <c r="K3129" t="b">
        <v>0</v>
      </c>
      <c r="L3129" t="b">
        <v>0</v>
      </c>
      <c r="M3129" t="s">
        <v>6644</v>
      </c>
      <c r="N3129" t="s">
        <v>6645</v>
      </c>
    </row>
    <row r="3131" spans="1:25" x14ac:dyDescent="0.2">
      <c r="A3131" s="2">
        <v>5362</v>
      </c>
      <c r="B3131" s="2" t="s">
        <v>6646</v>
      </c>
      <c r="C3131" s="2" t="s">
        <v>13</v>
      </c>
      <c r="D3131" s="2" t="s">
        <v>6647</v>
      </c>
      <c r="E3131" s="2" t="s">
        <v>6648</v>
      </c>
      <c r="F3131" s="2" t="s">
        <v>78</v>
      </c>
      <c r="G3131" s="2" t="s">
        <v>88</v>
      </c>
      <c r="H3131" s="2"/>
      <c r="I3131" s="2"/>
      <c r="J3131" s="2"/>
      <c r="K3131" s="2"/>
      <c r="L3131" s="2"/>
      <c r="M3131" s="2"/>
      <c r="N3131" s="2"/>
      <c r="O3131" s="2"/>
      <c r="P3131" s="2"/>
      <c r="Q3131" s="2"/>
      <c r="R3131" s="2"/>
      <c r="S3131" s="2"/>
      <c r="T3131" s="2"/>
      <c r="U3131" s="2"/>
      <c r="V3131" s="2"/>
      <c r="W3131" s="2"/>
      <c r="X3131" s="2"/>
      <c r="Y3131" s="2"/>
    </row>
    <row r="3132" spans="1:25" x14ac:dyDescent="0.2">
      <c r="A3132">
        <v>5363</v>
      </c>
      <c r="B3132" t="s">
        <v>6646</v>
      </c>
      <c r="C3132" t="s">
        <v>18</v>
      </c>
      <c r="D3132" t="s">
        <v>6647</v>
      </c>
      <c r="E3132" t="s">
        <v>6649</v>
      </c>
      <c r="F3132" t="s">
        <v>78</v>
      </c>
      <c r="G3132" t="s">
        <v>88</v>
      </c>
      <c r="H3132" t="b">
        <v>1</v>
      </c>
      <c r="I3132" t="b">
        <v>1</v>
      </c>
      <c r="L3132" t="b">
        <v>1</v>
      </c>
      <c r="M3132" t="s">
        <v>6650</v>
      </c>
      <c r="N3132" t="s">
        <v>6651</v>
      </c>
    </row>
    <row r="3133" spans="1:25" x14ac:dyDescent="0.2">
      <c r="A3133">
        <v>5364</v>
      </c>
      <c r="B3133" t="s">
        <v>6646</v>
      </c>
      <c r="C3133" t="s">
        <v>18</v>
      </c>
      <c r="D3133" t="s">
        <v>6652</v>
      </c>
      <c r="E3133" t="s">
        <v>6653</v>
      </c>
      <c r="F3133" t="s">
        <v>78</v>
      </c>
      <c r="G3133" t="s">
        <v>88</v>
      </c>
      <c r="H3133" t="b">
        <v>1</v>
      </c>
      <c r="I3133" t="b">
        <v>1</v>
      </c>
      <c r="L3133" t="b">
        <v>1</v>
      </c>
      <c r="M3133" t="s">
        <v>6654</v>
      </c>
      <c r="N3133" t="s">
        <v>6655</v>
      </c>
    </row>
    <row r="3134" spans="1:25" x14ac:dyDescent="0.2">
      <c r="A3134">
        <v>5365</v>
      </c>
      <c r="B3134" t="s">
        <v>6646</v>
      </c>
      <c r="C3134" t="s">
        <v>18</v>
      </c>
      <c r="D3134" t="s">
        <v>6656</v>
      </c>
      <c r="E3134" t="s">
        <v>2742</v>
      </c>
      <c r="F3134" t="s">
        <v>78</v>
      </c>
      <c r="G3134" t="s">
        <v>88</v>
      </c>
      <c r="H3134" t="b">
        <v>0</v>
      </c>
      <c r="I3134" t="b">
        <v>0</v>
      </c>
      <c r="L3134" t="b">
        <v>0</v>
      </c>
      <c r="M3134" t="s">
        <v>6657</v>
      </c>
    </row>
    <row r="3135" spans="1:25" x14ac:dyDescent="0.2">
      <c r="A3135">
        <v>5366</v>
      </c>
      <c r="B3135" t="s">
        <v>6646</v>
      </c>
      <c r="C3135" t="s">
        <v>18</v>
      </c>
      <c r="D3135" t="s">
        <v>6658</v>
      </c>
      <c r="E3135" t="s">
        <v>368</v>
      </c>
      <c r="F3135" t="s">
        <v>78</v>
      </c>
      <c r="G3135" t="s">
        <v>88</v>
      </c>
      <c r="H3135" t="b">
        <v>0</v>
      </c>
      <c r="I3135" t="b">
        <v>0</v>
      </c>
      <c r="L3135" t="b">
        <v>0</v>
      </c>
      <c r="M3135" t="s">
        <v>6659</v>
      </c>
      <c r="N3135" t="s">
        <v>6660</v>
      </c>
    </row>
    <row r="3136" spans="1:25" x14ac:dyDescent="0.2">
      <c r="A3136">
        <v>5367</v>
      </c>
      <c r="B3136" t="s">
        <v>6646</v>
      </c>
      <c r="C3136" t="s">
        <v>18</v>
      </c>
      <c r="D3136" t="s">
        <v>6661</v>
      </c>
      <c r="E3136" t="s">
        <v>6609</v>
      </c>
      <c r="F3136" t="s">
        <v>78</v>
      </c>
      <c r="G3136" t="s">
        <v>88</v>
      </c>
      <c r="H3136" t="b">
        <v>0</v>
      </c>
      <c r="I3136" t="b">
        <v>0</v>
      </c>
      <c r="L3136" t="b">
        <v>0</v>
      </c>
      <c r="M3136" t="s">
        <v>6662</v>
      </c>
      <c r="N3136" t="s">
        <v>6663</v>
      </c>
    </row>
    <row r="3138" spans="1:25" x14ac:dyDescent="0.2">
      <c r="A3138" s="2">
        <v>5369</v>
      </c>
      <c r="B3138" s="2" t="s">
        <v>6664</v>
      </c>
      <c r="C3138" s="2" t="s">
        <v>13</v>
      </c>
      <c r="D3138" s="2" t="s">
        <v>1062</v>
      </c>
      <c r="E3138" s="2" t="s">
        <v>6665</v>
      </c>
      <c r="F3138" s="2" t="s">
        <v>159</v>
      </c>
      <c r="G3138" s="2" t="s">
        <v>32</v>
      </c>
      <c r="H3138" s="2"/>
      <c r="I3138" s="2"/>
      <c r="J3138" s="2"/>
      <c r="K3138" s="2"/>
      <c r="L3138" s="2"/>
      <c r="M3138" s="2"/>
      <c r="N3138" s="2"/>
      <c r="O3138" s="2"/>
      <c r="P3138" s="2"/>
      <c r="Q3138" s="2"/>
      <c r="R3138" s="2"/>
      <c r="S3138" s="2"/>
      <c r="T3138" s="2"/>
      <c r="U3138" s="2"/>
      <c r="V3138" s="2"/>
      <c r="W3138" s="2"/>
      <c r="X3138" s="2"/>
      <c r="Y3138" s="2"/>
    </row>
    <row r="3139" spans="1:25" x14ac:dyDescent="0.2">
      <c r="A3139">
        <v>5370</v>
      </c>
      <c r="B3139" t="s">
        <v>6664</v>
      </c>
      <c r="C3139" t="s">
        <v>18</v>
      </c>
      <c r="D3139" t="s">
        <v>4186</v>
      </c>
      <c r="E3139" t="s">
        <v>1202</v>
      </c>
      <c r="F3139" t="s">
        <v>159</v>
      </c>
      <c r="G3139" t="s">
        <v>32</v>
      </c>
      <c r="H3139" t="b">
        <v>1</v>
      </c>
      <c r="K3139" t="b">
        <v>1</v>
      </c>
      <c r="L3139" t="b">
        <v>1</v>
      </c>
      <c r="M3139" t="s">
        <v>4187</v>
      </c>
      <c r="N3139" t="s">
        <v>4188</v>
      </c>
    </row>
    <row r="3140" spans="1:25" x14ac:dyDescent="0.2">
      <c r="A3140">
        <v>5371</v>
      </c>
      <c r="B3140" t="s">
        <v>6664</v>
      </c>
      <c r="C3140" t="s">
        <v>18</v>
      </c>
      <c r="D3140" t="s">
        <v>1062</v>
      </c>
      <c r="E3140" t="s">
        <v>1063</v>
      </c>
      <c r="F3140" t="s">
        <v>159</v>
      </c>
      <c r="G3140" t="s">
        <v>32</v>
      </c>
      <c r="H3140" t="b">
        <v>1</v>
      </c>
      <c r="K3140" t="b">
        <v>1</v>
      </c>
      <c r="L3140" t="b">
        <v>1</v>
      </c>
      <c r="M3140" t="s">
        <v>1064</v>
      </c>
    </row>
    <row r="3141" spans="1:25" x14ac:dyDescent="0.2">
      <c r="A3141">
        <v>5372</v>
      </c>
      <c r="B3141" t="s">
        <v>6664</v>
      </c>
      <c r="C3141" t="s">
        <v>18</v>
      </c>
      <c r="D3141" t="s">
        <v>6666</v>
      </c>
      <c r="E3141" t="s">
        <v>6486</v>
      </c>
      <c r="F3141" t="s">
        <v>159</v>
      </c>
      <c r="G3141" t="s">
        <v>88</v>
      </c>
      <c r="H3141" t="b">
        <v>1</v>
      </c>
      <c r="K3141" t="b">
        <v>1</v>
      </c>
      <c r="L3141" t="b">
        <v>1</v>
      </c>
      <c r="M3141" t="s">
        <v>6667</v>
      </c>
    </row>
    <row r="3142" spans="1:25" x14ac:dyDescent="0.2">
      <c r="A3142">
        <v>5373</v>
      </c>
      <c r="B3142" t="s">
        <v>6664</v>
      </c>
      <c r="C3142" t="s">
        <v>18</v>
      </c>
      <c r="D3142" t="s">
        <v>6668</v>
      </c>
      <c r="E3142" t="s">
        <v>6669</v>
      </c>
      <c r="F3142" t="s">
        <v>6670</v>
      </c>
      <c r="G3142" t="s">
        <v>32</v>
      </c>
      <c r="H3142" t="b">
        <v>0</v>
      </c>
      <c r="K3142" t="b">
        <v>0</v>
      </c>
      <c r="L3142" t="b">
        <v>0</v>
      </c>
      <c r="M3142" t="s">
        <v>6671</v>
      </c>
      <c r="N3142" t="s">
        <v>6672</v>
      </c>
    </row>
    <row r="3143" spans="1:25" x14ac:dyDescent="0.2">
      <c r="A3143">
        <v>5374</v>
      </c>
      <c r="B3143" t="s">
        <v>6664</v>
      </c>
      <c r="C3143" t="s">
        <v>18</v>
      </c>
      <c r="D3143" t="s">
        <v>6673</v>
      </c>
      <c r="E3143" t="s">
        <v>6674</v>
      </c>
      <c r="F3143" t="s">
        <v>270</v>
      </c>
      <c r="G3143" t="s">
        <v>32</v>
      </c>
      <c r="H3143" t="b">
        <v>0</v>
      </c>
      <c r="K3143" t="b">
        <v>0</v>
      </c>
      <c r="L3143" t="b">
        <v>0</v>
      </c>
      <c r="M3143" t="s">
        <v>6675</v>
      </c>
      <c r="N3143" t="s">
        <v>6676</v>
      </c>
      <c r="O3143" t="s">
        <v>6677</v>
      </c>
      <c r="P3143" t="s">
        <v>6678</v>
      </c>
    </row>
    <row r="3145" spans="1:25" x14ac:dyDescent="0.2">
      <c r="A3145" s="2">
        <v>5390</v>
      </c>
      <c r="B3145" s="2" t="s">
        <v>6679</v>
      </c>
      <c r="C3145" s="2" t="s">
        <v>13</v>
      </c>
      <c r="D3145" s="2" t="s">
        <v>6680</v>
      </c>
      <c r="E3145" s="2" t="s">
        <v>6681</v>
      </c>
      <c r="F3145" s="2" t="s">
        <v>248</v>
      </c>
      <c r="G3145" s="2" t="s">
        <v>88</v>
      </c>
      <c r="H3145" s="2"/>
      <c r="I3145" s="2"/>
      <c r="J3145" s="2"/>
      <c r="K3145" s="2"/>
      <c r="L3145" s="2"/>
      <c r="M3145" s="2"/>
      <c r="N3145" s="2"/>
      <c r="O3145" s="2"/>
      <c r="P3145" s="2"/>
      <c r="Q3145" s="2"/>
      <c r="R3145" s="2"/>
      <c r="S3145" s="2"/>
      <c r="T3145" s="2"/>
      <c r="U3145" s="2"/>
      <c r="V3145" s="2"/>
      <c r="W3145" s="2"/>
      <c r="X3145" s="2"/>
      <c r="Y3145" s="2"/>
    </row>
    <row r="3146" spans="1:25" x14ac:dyDescent="0.2">
      <c r="A3146">
        <v>5391</v>
      </c>
      <c r="B3146" t="s">
        <v>6679</v>
      </c>
      <c r="C3146" t="s">
        <v>18</v>
      </c>
      <c r="D3146" t="s">
        <v>6680</v>
      </c>
      <c r="E3146" t="s">
        <v>2447</v>
      </c>
      <c r="F3146" t="s">
        <v>248</v>
      </c>
      <c r="G3146" t="s">
        <v>638</v>
      </c>
      <c r="H3146" t="b">
        <v>1</v>
      </c>
      <c r="K3146" t="b">
        <v>1</v>
      </c>
      <c r="L3146" t="b">
        <v>1</v>
      </c>
      <c r="M3146" t="s">
        <v>6682</v>
      </c>
    </row>
    <row r="3147" spans="1:25" x14ac:dyDescent="0.2">
      <c r="A3147">
        <v>5392</v>
      </c>
      <c r="B3147" t="s">
        <v>6679</v>
      </c>
      <c r="C3147" t="s">
        <v>18</v>
      </c>
      <c r="D3147" t="s">
        <v>6683</v>
      </c>
      <c r="E3147" t="s">
        <v>6684</v>
      </c>
      <c r="F3147" t="s">
        <v>248</v>
      </c>
      <c r="G3147" t="s">
        <v>638</v>
      </c>
      <c r="H3147" t="b">
        <v>1</v>
      </c>
      <c r="K3147" t="b">
        <v>1</v>
      </c>
      <c r="L3147" t="b">
        <v>1</v>
      </c>
      <c r="M3147" t="s">
        <v>6685</v>
      </c>
    </row>
    <row r="3148" spans="1:25" x14ac:dyDescent="0.2">
      <c r="A3148">
        <v>5393</v>
      </c>
      <c r="B3148" t="s">
        <v>6679</v>
      </c>
      <c r="C3148" t="s">
        <v>18</v>
      </c>
      <c r="D3148" t="s">
        <v>6686</v>
      </c>
      <c r="E3148" t="s">
        <v>6687</v>
      </c>
      <c r="F3148" t="s">
        <v>420</v>
      </c>
      <c r="G3148" t="s">
        <v>88</v>
      </c>
      <c r="H3148" t="b">
        <v>0</v>
      </c>
      <c r="K3148" t="b">
        <v>0</v>
      </c>
      <c r="L3148" t="b">
        <v>0</v>
      </c>
    </row>
    <row r="3149" spans="1:25" x14ac:dyDescent="0.2">
      <c r="A3149">
        <v>5394</v>
      </c>
      <c r="B3149" t="s">
        <v>6679</v>
      </c>
      <c r="C3149" t="s">
        <v>18</v>
      </c>
      <c r="D3149" t="s">
        <v>6688</v>
      </c>
      <c r="E3149" t="s">
        <v>6689</v>
      </c>
      <c r="F3149" t="s">
        <v>78</v>
      </c>
      <c r="G3149" t="s">
        <v>88</v>
      </c>
      <c r="H3149" t="b">
        <v>0</v>
      </c>
      <c r="K3149" t="b">
        <v>0</v>
      </c>
      <c r="L3149" t="b">
        <v>0</v>
      </c>
      <c r="M3149" t="s">
        <v>6690</v>
      </c>
      <c r="N3149" t="s">
        <v>6691</v>
      </c>
    </row>
    <row r="3150" spans="1:25" x14ac:dyDescent="0.2">
      <c r="A3150">
        <v>5395</v>
      </c>
      <c r="B3150" t="s">
        <v>6679</v>
      </c>
      <c r="C3150" t="s">
        <v>18</v>
      </c>
      <c r="D3150" t="s">
        <v>6280</v>
      </c>
      <c r="E3150" t="s">
        <v>6281</v>
      </c>
      <c r="F3150" t="s">
        <v>78</v>
      </c>
      <c r="G3150" t="s">
        <v>88</v>
      </c>
      <c r="H3150" t="b">
        <v>0</v>
      </c>
      <c r="K3150" t="b">
        <v>0</v>
      </c>
      <c r="L3150" t="b">
        <v>0</v>
      </c>
      <c r="M3150" t="s">
        <v>6282</v>
      </c>
      <c r="N3150" t="s">
        <v>6283</v>
      </c>
    </row>
    <row r="3152" spans="1:25" x14ac:dyDescent="0.2">
      <c r="A3152" s="2">
        <v>5411</v>
      </c>
      <c r="B3152" s="2" t="s">
        <v>6692</v>
      </c>
      <c r="C3152" s="2" t="s">
        <v>13</v>
      </c>
      <c r="D3152" s="2" t="s">
        <v>6693</v>
      </c>
      <c r="E3152" s="2" t="s">
        <v>6694</v>
      </c>
      <c r="F3152" s="2" t="s">
        <v>420</v>
      </c>
      <c r="G3152" s="2" t="s">
        <v>88</v>
      </c>
      <c r="H3152" s="2"/>
      <c r="I3152" s="2"/>
      <c r="J3152" s="2"/>
      <c r="K3152" s="2"/>
      <c r="L3152" s="2"/>
      <c r="M3152" s="2"/>
      <c r="N3152" s="2"/>
      <c r="O3152" s="2"/>
      <c r="P3152" s="2"/>
      <c r="Q3152" s="2"/>
      <c r="R3152" s="2"/>
      <c r="S3152" s="2"/>
      <c r="T3152" s="2"/>
      <c r="U3152" s="2"/>
      <c r="V3152" s="2"/>
      <c r="W3152" s="2"/>
      <c r="X3152" s="2"/>
      <c r="Y3152" s="2"/>
    </row>
    <row r="3153" spans="1:25" x14ac:dyDescent="0.2">
      <c r="A3153">
        <v>5412</v>
      </c>
      <c r="B3153" t="s">
        <v>6692</v>
      </c>
      <c r="C3153" t="s">
        <v>18</v>
      </c>
      <c r="D3153" t="s">
        <v>2239</v>
      </c>
      <c r="E3153" t="s">
        <v>809</v>
      </c>
      <c r="F3153" t="s">
        <v>420</v>
      </c>
      <c r="G3153" t="s">
        <v>88</v>
      </c>
      <c r="H3153" t="b">
        <v>1</v>
      </c>
      <c r="I3153" t="b">
        <v>1</v>
      </c>
      <c r="L3153" t="b">
        <v>1</v>
      </c>
      <c r="M3153" t="s">
        <v>2240</v>
      </c>
      <c r="N3153" t="s">
        <v>2241</v>
      </c>
    </row>
    <row r="3154" spans="1:25" x14ac:dyDescent="0.2">
      <c r="A3154">
        <v>5413</v>
      </c>
      <c r="B3154" t="s">
        <v>6692</v>
      </c>
      <c r="C3154" t="s">
        <v>18</v>
      </c>
      <c r="D3154" t="s">
        <v>1119</v>
      </c>
      <c r="E3154" t="s">
        <v>1120</v>
      </c>
      <c r="F3154" t="s">
        <v>420</v>
      </c>
      <c r="G3154" t="s">
        <v>88</v>
      </c>
      <c r="H3154" t="b">
        <v>0</v>
      </c>
      <c r="I3154" t="b">
        <v>0</v>
      </c>
      <c r="L3154" t="b">
        <v>0</v>
      </c>
      <c r="M3154" t="s">
        <v>1121</v>
      </c>
      <c r="N3154" t="s">
        <v>1122</v>
      </c>
      <c r="O3154" t="s">
        <v>1123</v>
      </c>
      <c r="P3154" t="s">
        <v>1124</v>
      </c>
      <c r="Q3154" t="s">
        <v>1125</v>
      </c>
    </row>
    <row r="3155" spans="1:25" x14ac:dyDescent="0.2">
      <c r="A3155">
        <v>5414</v>
      </c>
      <c r="B3155" t="s">
        <v>6692</v>
      </c>
      <c r="C3155" t="s">
        <v>18</v>
      </c>
      <c r="D3155" t="s">
        <v>6695</v>
      </c>
      <c r="E3155" t="s">
        <v>6696</v>
      </c>
      <c r="F3155" t="s">
        <v>420</v>
      </c>
      <c r="G3155" t="s">
        <v>2278</v>
      </c>
      <c r="H3155" t="b">
        <v>0</v>
      </c>
      <c r="I3155" t="b">
        <v>0</v>
      </c>
      <c r="L3155" t="b">
        <v>0</v>
      </c>
    </row>
    <row r="3156" spans="1:25" x14ac:dyDescent="0.2">
      <c r="A3156">
        <v>5415</v>
      </c>
      <c r="B3156" t="s">
        <v>6692</v>
      </c>
      <c r="C3156" t="s">
        <v>18</v>
      </c>
      <c r="D3156" t="s">
        <v>6697</v>
      </c>
      <c r="E3156" t="s">
        <v>6698</v>
      </c>
      <c r="F3156" t="s">
        <v>420</v>
      </c>
      <c r="G3156" t="s">
        <v>2278</v>
      </c>
      <c r="H3156" t="b">
        <v>0</v>
      </c>
      <c r="I3156" t="b">
        <v>0</v>
      </c>
      <c r="L3156" t="b">
        <v>0</v>
      </c>
    </row>
    <row r="3157" spans="1:25" x14ac:dyDescent="0.2">
      <c r="A3157">
        <v>5416</v>
      </c>
      <c r="B3157" t="s">
        <v>6692</v>
      </c>
      <c r="C3157" t="s">
        <v>18</v>
      </c>
      <c r="D3157" t="s">
        <v>6699</v>
      </c>
      <c r="E3157" t="s">
        <v>6700</v>
      </c>
      <c r="F3157" t="s">
        <v>23</v>
      </c>
      <c r="G3157" t="s">
        <v>88</v>
      </c>
      <c r="H3157" t="b">
        <v>0</v>
      </c>
      <c r="I3157" t="b">
        <v>0</v>
      </c>
      <c r="L3157" t="b">
        <v>0</v>
      </c>
      <c r="M3157" t="s">
        <v>6701</v>
      </c>
      <c r="N3157" t="s">
        <v>6702</v>
      </c>
      <c r="O3157" t="s">
        <v>6703</v>
      </c>
      <c r="P3157" t="s">
        <v>6704</v>
      </c>
    </row>
    <row r="3159" spans="1:25" x14ac:dyDescent="0.2">
      <c r="A3159" s="2">
        <v>5418</v>
      </c>
      <c r="B3159" s="2" t="s">
        <v>6705</v>
      </c>
      <c r="C3159" s="2" t="s">
        <v>13</v>
      </c>
      <c r="D3159" s="2" t="s">
        <v>6706</v>
      </c>
      <c r="E3159" s="2" t="s">
        <v>6707</v>
      </c>
      <c r="F3159" s="2" t="s">
        <v>248</v>
      </c>
      <c r="G3159" s="2" t="s">
        <v>2050</v>
      </c>
      <c r="H3159" s="2"/>
      <c r="I3159" s="2"/>
      <c r="J3159" s="2"/>
      <c r="K3159" s="2"/>
      <c r="L3159" s="2"/>
      <c r="M3159" s="2"/>
      <c r="N3159" s="2"/>
      <c r="O3159" s="2"/>
      <c r="P3159" s="2"/>
      <c r="Q3159" s="2"/>
      <c r="R3159" s="2"/>
      <c r="S3159" s="2"/>
      <c r="T3159" s="2"/>
      <c r="U3159" s="2"/>
      <c r="V3159" s="2"/>
      <c r="W3159" s="2"/>
      <c r="X3159" s="2"/>
      <c r="Y3159" s="2"/>
    </row>
    <row r="3160" spans="1:25" x14ac:dyDescent="0.2">
      <c r="A3160">
        <v>5419</v>
      </c>
      <c r="B3160" t="s">
        <v>6705</v>
      </c>
      <c r="C3160" t="s">
        <v>18</v>
      </c>
      <c r="D3160" t="s">
        <v>6706</v>
      </c>
      <c r="E3160" t="s">
        <v>6707</v>
      </c>
      <c r="F3160" t="s">
        <v>248</v>
      </c>
      <c r="G3160" t="s">
        <v>2050</v>
      </c>
      <c r="H3160" t="b">
        <v>1</v>
      </c>
      <c r="I3160" t="b">
        <v>1</v>
      </c>
      <c r="L3160" t="b">
        <v>1</v>
      </c>
      <c r="M3160" t="s">
        <v>6708</v>
      </c>
      <c r="N3160" t="s">
        <v>6709</v>
      </c>
    </row>
    <row r="3161" spans="1:25" x14ac:dyDescent="0.2">
      <c r="A3161">
        <v>5420</v>
      </c>
      <c r="B3161" t="s">
        <v>6705</v>
      </c>
      <c r="C3161" t="s">
        <v>18</v>
      </c>
      <c r="D3161" t="s">
        <v>6710</v>
      </c>
      <c r="E3161" t="s">
        <v>6711</v>
      </c>
      <c r="F3161" t="s">
        <v>248</v>
      </c>
      <c r="G3161" t="s">
        <v>2050</v>
      </c>
      <c r="H3161" t="b">
        <v>0</v>
      </c>
      <c r="I3161" t="b">
        <v>0</v>
      </c>
      <c r="L3161" t="b">
        <v>0</v>
      </c>
      <c r="M3161" t="s">
        <v>6712</v>
      </c>
    </row>
    <row r="3162" spans="1:25" x14ac:dyDescent="0.2">
      <c r="A3162">
        <v>5421</v>
      </c>
      <c r="B3162" t="s">
        <v>6705</v>
      </c>
      <c r="C3162" t="s">
        <v>18</v>
      </c>
      <c r="D3162" t="s">
        <v>6713</v>
      </c>
      <c r="E3162" t="s">
        <v>6714</v>
      </c>
      <c r="F3162" t="s">
        <v>31</v>
      </c>
      <c r="G3162" t="s">
        <v>6715</v>
      </c>
      <c r="H3162" t="b">
        <v>0</v>
      </c>
      <c r="I3162" t="b">
        <v>0</v>
      </c>
      <c r="L3162" t="b">
        <v>0</v>
      </c>
    </row>
    <row r="3163" spans="1:25" x14ac:dyDescent="0.2">
      <c r="A3163">
        <v>5422</v>
      </c>
      <c r="B3163" t="s">
        <v>6705</v>
      </c>
      <c r="C3163" t="s">
        <v>18</v>
      </c>
      <c r="D3163" t="s">
        <v>6716</v>
      </c>
      <c r="E3163" t="s">
        <v>6717</v>
      </c>
      <c r="F3163" t="s">
        <v>205</v>
      </c>
      <c r="G3163" t="s">
        <v>2050</v>
      </c>
      <c r="H3163" t="b">
        <v>0</v>
      </c>
      <c r="I3163" t="b">
        <v>0</v>
      </c>
      <c r="L3163" t="b">
        <v>0</v>
      </c>
      <c r="M3163" t="s">
        <v>6718</v>
      </c>
    </row>
    <row r="3164" spans="1:25" x14ac:dyDescent="0.2">
      <c r="A3164">
        <v>5423</v>
      </c>
      <c r="B3164" t="s">
        <v>6705</v>
      </c>
      <c r="C3164" t="s">
        <v>18</v>
      </c>
      <c r="D3164" t="s">
        <v>6719</v>
      </c>
      <c r="E3164" t="s">
        <v>6720</v>
      </c>
      <c r="F3164" t="s">
        <v>248</v>
      </c>
      <c r="G3164" t="s">
        <v>17</v>
      </c>
      <c r="H3164" t="b">
        <v>0</v>
      </c>
      <c r="I3164" t="b">
        <v>0</v>
      </c>
      <c r="L3164" t="b">
        <v>0</v>
      </c>
    </row>
    <row r="3166" spans="1:25" x14ac:dyDescent="0.2">
      <c r="A3166" s="2">
        <v>5425</v>
      </c>
      <c r="B3166" s="2" t="s">
        <v>6721</v>
      </c>
      <c r="C3166" s="2" t="s">
        <v>13</v>
      </c>
      <c r="D3166" s="2" t="s">
        <v>6722</v>
      </c>
      <c r="E3166" s="2" t="s">
        <v>6723</v>
      </c>
      <c r="F3166" s="2" t="s">
        <v>456</v>
      </c>
      <c r="G3166" s="2" t="s">
        <v>88</v>
      </c>
      <c r="H3166" s="2"/>
      <c r="I3166" s="2"/>
      <c r="J3166" s="2"/>
      <c r="K3166" s="2"/>
      <c r="L3166" s="2"/>
      <c r="M3166" s="2"/>
      <c r="N3166" s="2"/>
      <c r="O3166" s="2"/>
      <c r="P3166" s="2"/>
      <c r="Q3166" s="2"/>
      <c r="R3166" s="2"/>
      <c r="S3166" s="2"/>
      <c r="T3166" s="2"/>
      <c r="U3166" s="2"/>
      <c r="V3166" s="2"/>
      <c r="W3166" s="2"/>
      <c r="X3166" s="2"/>
      <c r="Y3166" s="2"/>
    </row>
    <row r="3167" spans="1:25" x14ac:dyDescent="0.2">
      <c r="A3167">
        <v>5426</v>
      </c>
      <c r="B3167" t="s">
        <v>6721</v>
      </c>
      <c r="C3167" t="s">
        <v>18</v>
      </c>
      <c r="D3167" t="s">
        <v>6724</v>
      </c>
      <c r="E3167" t="s">
        <v>6725</v>
      </c>
      <c r="F3167" t="s">
        <v>456</v>
      </c>
      <c r="G3167" t="s">
        <v>88</v>
      </c>
      <c r="H3167" t="b">
        <v>0</v>
      </c>
      <c r="K3167" t="b">
        <v>0</v>
      </c>
      <c r="L3167" t="b">
        <v>0</v>
      </c>
    </row>
    <row r="3168" spans="1:25" x14ac:dyDescent="0.2">
      <c r="A3168">
        <v>5427</v>
      </c>
      <c r="B3168" t="s">
        <v>6721</v>
      </c>
      <c r="C3168" t="s">
        <v>18</v>
      </c>
      <c r="D3168" t="s">
        <v>6726</v>
      </c>
      <c r="E3168" t="s">
        <v>6727</v>
      </c>
      <c r="F3168" t="s">
        <v>456</v>
      </c>
      <c r="G3168" t="s">
        <v>88</v>
      </c>
      <c r="H3168" t="b">
        <v>0</v>
      </c>
      <c r="K3168" t="b">
        <v>0</v>
      </c>
      <c r="L3168" t="b">
        <v>0</v>
      </c>
      <c r="M3168" t="s">
        <v>6728</v>
      </c>
    </row>
    <row r="3169" spans="1:25" x14ac:dyDescent="0.2">
      <c r="A3169">
        <v>5428</v>
      </c>
      <c r="B3169" t="s">
        <v>6721</v>
      </c>
      <c r="C3169" t="s">
        <v>18</v>
      </c>
      <c r="D3169" t="s">
        <v>2018</v>
      </c>
      <c r="E3169" t="s">
        <v>2019</v>
      </c>
      <c r="F3169" t="s">
        <v>78</v>
      </c>
      <c r="G3169" t="s">
        <v>74</v>
      </c>
      <c r="H3169" t="b">
        <v>0</v>
      </c>
      <c r="K3169" t="b">
        <v>0</v>
      </c>
      <c r="L3169" t="b">
        <v>0</v>
      </c>
      <c r="M3169" t="s">
        <v>2020</v>
      </c>
      <c r="N3169" t="s">
        <v>2021</v>
      </c>
    </row>
    <row r="3170" spans="1:25" x14ac:dyDescent="0.2">
      <c r="A3170">
        <v>5429</v>
      </c>
      <c r="B3170" t="s">
        <v>6721</v>
      </c>
      <c r="C3170" t="s">
        <v>18</v>
      </c>
      <c r="D3170" t="s">
        <v>6729</v>
      </c>
      <c r="E3170" t="s">
        <v>6730</v>
      </c>
      <c r="F3170" t="s">
        <v>456</v>
      </c>
      <c r="G3170" t="s">
        <v>88</v>
      </c>
      <c r="H3170" t="b">
        <v>0</v>
      </c>
      <c r="K3170" t="b">
        <v>0</v>
      </c>
      <c r="L3170" t="b">
        <v>0</v>
      </c>
      <c r="M3170" t="s">
        <v>6731</v>
      </c>
    </row>
    <row r="3171" spans="1:25" x14ac:dyDescent="0.2">
      <c r="A3171">
        <v>5430</v>
      </c>
      <c r="B3171" t="s">
        <v>6721</v>
      </c>
      <c r="C3171" t="s">
        <v>18</v>
      </c>
      <c r="D3171" t="s">
        <v>6732</v>
      </c>
      <c r="E3171" t="s">
        <v>6733</v>
      </c>
      <c r="F3171" t="s">
        <v>456</v>
      </c>
      <c r="G3171" t="s">
        <v>88</v>
      </c>
      <c r="H3171" t="b">
        <v>0</v>
      </c>
      <c r="K3171" t="b">
        <v>0</v>
      </c>
      <c r="L3171" t="b">
        <v>0</v>
      </c>
    </row>
    <row r="3173" spans="1:25" x14ac:dyDescent="0.2">
      <c r="A3173" s="2">
        <v>5439</v>
      </c>
      <c r="B3173" s="2" t="s">
        <v>6734</v>
      </c>
      <c r="C3173" s="2" t="s">
        <v>13</v>
      </c>
      <c r="D3173" s="2" t="s">
        <v>6735</v>
      </c>
      <c r="E3173" s="2" t="s">
        <v>6736</v>
      </c>
      <c r="F3173" s="2" t="s">
        <v>87</v>
      </c>
      <c r="G3173" s="2" t="s">
        <v>417</v>
      </c>
      <c r="H3173" s="2"/>
      <c r="I3173" s="2"/>
      <c r="J3173" s="2"/>
      <c r="K3173" s="2"/>
      <c r="L3173" s="2"/>
      <c r="M3173" s="2"/>
      <c r="N3173" s="2"/>
      <c r="O3173" s="2"/>
      <c r="P3173" s="2"/>
      <c r="Q3173" s="2"/>
      <c r="R3173" s="2"/>
      <c r="S3173" s="2"/>
      <c r="T3173" s="2"/>
      <c r="U3173" s="2"/>
      <c r="V3173" s="2"/>
      <c r="W3173" s="2"/>
      <c r="X3173" s="2"/>
      <c r="Y3173" s="2"/>
    </row>
    <row r="3174" spans="1:25" x14ac:dyDescent="0.2">
      <c r="A3174">
        <v>5440</v>
      </c>
      <c r="B3174" t="s">
        <v>6734</v>
      </c>
      <c r="C3174" t="s">
        <v>18</v>
      </c>
      <c r="D3174" t="s">
        <v>6735</v>
      </c>
      <c r="E3174" t="s">
        <v>6736</v>
      </c>
      <c r="F3174" t="s">
        <v>87</v>
      </c>
      <c r="G3174" t="s">
        <v>417</v>
      </c>
      <c r="H3174" t="b">
        <v>1</v>
      </c>
      <c r="K3174" t="b">
        <v>1</v>
      </c>
      <c r="L3174" t="b">
        <v>1</v>
      </c>
      <c r="M3174" t="s">
        <v>6737</v>
      </c>
      <c r="N3174" t="s">
        <v>6738</v>
      </c>
      <c r="O3174" t="s">
        <v>6739</v>
      </c>
      <c r="P3174" t="s">
        <v>6740</v>
      </c>
    </row>
    <row r="3175" spans="1:25" x14ac:dyDescent="0.2">
      <c r="A3175">
        <v>5441</v>
      </c>
      <c r="B3175" t="s">
        <v>6734</v>
      </c>
      <c r="C3175" t="s">
        <v>18</v>
      </c>
      <c r="D3175" t="s">
        <v>6741</v>
      </c>
      <c r="E3175" t="s">
        <v>4071</v>
      </c>
      <c r="F3175" t="s">
        <v>87</v>
      </c>
      <c r="G3175" t="s">
        <v>252</v>
      </c>
      <c r="H3175" t="b">
        <v>1</v>
      </c>
      <c r="K3175" t="b">
        <v>0</v>
      </c>
      <c r="L3175" t="b">
        <v>0</v>
      </c>
      <c r="M3175" t="s">
        <v>6742</v>
      </c>
    </row>
    <row r="3176" spans="1:25" x14ac:dyDescent="0.2">
      <c r="A3176">
        <v>5442</v>
      </c>
      <c r="B3176" t="s">
        <v>6734</v>
      </c>
      <c r="C3176" t="s">
        <v>18</v>
      </c>
      <c r="D3176" t="s">
        <v>6743</v>
      </c>
      <c r="E3176" t="s">
        <v>6744</v>
      </c>
      <c r="F3176" t="s">
        <v>316</v>
      </c>
      <c r="G3176" t="s">
        <v>417</v>
      </c>
      <c r="H3176" t="b">
        <v>0</v>
      </c>
      <c r="K3176" t="b">
        <v>0</v>
      </c>
      <c r="L3176" t="b">
        <v>0</v>
      </c>
    </row>
    <row r="3177" spans="1:25" x14ac:dyDescent="0.2">
      <c r="A3177">
        <v>5443</v>
      </c>
      <c r="B3177" t="s">
        <v>6734</v>
      </c>
      <c r="C3177" t="s">
        <v>18</v>
      </c>
      <c r="D3177" t="s">
        <v>6745</v>
      </c>
      <c r="E3177" t="s">
        <v>3910</v>
      </c>
      <c r="F3177" t="s">
        <v>316</v>
      </c>
      <c r="G3177" t="s">
        <v>879</v>
      </c>
      <c r="H3177" t="b">
        <v>0</v>
      </c>
      <c r="K3177" t="b">
        <v>0</v>
      </c>
      <c r="L3177" t="b">
        <v>0</v>
      </c>
      <c r="M3177" t="s">
        <v>6746</v>
      </c>
      <c r="N3177" t="s">
        <v>6747</v>
      </c>
    </row>
    <row r="3178" spans="1:25" x14ac:dyDescent="0.2">
      <c r="A3178">
        <v>5444</v>
      </c>
      <c r="B3178" t="s">
        <v>6734</v>
      </c>
      <c r="C3178" t="s">
        <v>18</v>
      </c>
      <c r="D3178" t="s">
        <v>1156</v>
      </c>
      <c r="E3178" t="s">
        <v>1157</v>
      </c>
      <c r="F3178" t="s">
        <v>952</v>
      </c>
      <c r="G3178" t="s">
        <v>252</v>
      </c>
      <c r="H3178" t="b">
        <v>0</v>
      </c>
      <c r="K3178" t="b">
        <v>0</v>
      </c>
      <c r="L3178" t="b">
        <v>0</v>
      </c>
      <c r="M3178" t="s">
        <v>1158</v>
      </c>
      <c r="N3178" t="s">
        <v>1159</v>
      </c>
    </row>
    <row r="3180" spans="1:25" x14ac:dyDescent="0.2">
      <c r="A3180" s="2">
        <v>5453</v>
      </c>
      <c r="B3180" s="2" t="s">
        <v>6748</v>
      </c>
      <c r="C3180" s="2" t="s">
        <v>13</v>
      </c>
      <c r="D3180" s="2" t="s">
        <v>6749</v>
      </c>
      <c r="E3180" s="2" t="s">
        <v>6750</v>
      </c>
      <c r="F3180" s="2" t="s">
        <v>20</v>
      </c>
      <c r="G3180" s="2" t="s">
        <v>1867</v>
      </c>
      <c r="H3180" s="2"/>
      <c r="I3180" s="2"/>
      <c r="J3180" s="2"/>
      <c r="K3180" s="2"/>
      <c r="L3180" s="2"/>
      <c r="M3180" s="2"/>
      <c r="N3180" s="2"/>
      <c r="O3180" s="2"/>
      <c r="P3180" s="2"/>
      <c r="Q3180" s="2"/>
      <c r="R3180" s="2"/>
      <c r="S3180" s="2"/>
      <c r="T3180" s="2"/>
      <c r="U3180" s="2"/>
      <c r="V3180" s="2"/>
      <c r="W3180" s="2"/>
      <c r="X3180" s="2"/>
      <c r="Y3180" s="2"/>
    </row>
    <row r="3181" spans="1:25" x14ac:dyDescent="0.2">
      <c r="A3181">
        <v>5454</v>
      </c>
      <c r="B3181" t="s">
        <v>6748</v>
      </c>
      <c r="C3181" t="s">
        <v>18</v>
      </c>
      <c r="D3181" t="s">
        <v>6751</v>
      </c>
      <c r="E3181" t="s">
        <v>935</v>
      </c>
      <c r="F3181" t="s">
        <v>159</v>
      </c>
      <c r="G3181" t="s">
        <v>502</v>
      </c>
      <c r="H3181" t="b">
        <v>1</v>
      </c>
      <c r="I3181" t="b">
        <v>1</v>
      </c>
      <c r="L3181" t="b">
        <v>1</v>
      </c>
    </row>
    <row r="3182" spans="1:25" x14ac:dyDescent="0.2">
      <c r="A3182">
        <v>5455</v>
      </c>
      <c r="B3182" t="s">
        <v>6748</v>
      </c>
      <c r="C3182" t="s">
        <v>18</v>
      </c>
      <c r="D3182" t="s">
        <v>6752</v>
      </c>
      <c r="E3182" t="s">
        <v>6753</v>
      </c>
      <c r="F3182" t="s">
        <v>82</v>
      </c>
      <c r="G3182" t="s">
        <v>1867</v>
      </c>
      <c r="H3182" t="b">
        <v>1</v>
      </c>
      <c r="I3182" t="b">
        <v>1</v>
      </c>
      <c r="L3182" t="b">
        <v>1</v>
      </c>
      <c r="M3182" t="s">
        <v>6754</v>
      </c>
    </row>
    <row r="3183" spans="1:25" x14ac:dyDescent="0.2">
      <c r="A3183">
        <v>5456</v>
      </c>
      <c r="B3183" t="s">
        <v>6748</v>
      </c>
      <c r="C3183" t="s">
        <v>18</v>
      </c>
      <c r="D3183" t="s">
        <v>6755</v>
      </c>
      <c r="E3183" t="s">
        <v>701</v>
      </c>
      <c r="F3183" t="s">
        <v>20</v>
      </c>
      <c r="G3183" t="s">
        <v>24</v>
      </c>
      <c r="H3183" t="b">
        <v>0</v>
      </c>
      <c r="I3183" t="b">
        <v>0</v>
      </c>
      <c r="L3183" t="b">
        <v>0</v>
      </c>
      <c r="M3183" t="s">
        <v>6756</v>
      </c>
      <c r="N3183" t="s">
        <v>6757</v>
      </c>
    </row>
    <row r="3184" spans="1:25" x14ac:dyDescent="0.2">
      <c r="A3184">
        <v>5457</v>
      </c>
      <c r="B3184" t="s">
        <v>6748</v>
      </c>
      <c r="C3184" t="s">
        <v>18</v>
      </c>
      <c r="D3184" t="s">
        <v>6758</v>
      </c>
      <c r="E3184" t="s">
        <v>6759</v>
      </c>
      <c r="F3184" t="s">
        <v>20</v>
      </c>
      <c r="G3184" t="s">
        <v>1867</v>
      </c>
      <c r="H3184" t="b">
        <v>0</v>
      </c>
      <c r="I3184" t="b">
        <v>0</v>
      </c>
      <c r="L3184" t="b">
        <v>0</v>
      </c>
    </row>
    <row r="3185" spans="1:25" x14ac:dyDescent="0.2">
      <c r="A3185">
        <v>5458</v>
      </c>
      <c r="B3185" t="s">
        <v>6748</v>
      </c>
      <c r="C3185" t="s">
        <v>18</v>
      </c>
      <c r="D3185" t="s">
        <v>6760</v>
      </c>
      <c r="E3185" t="s">
        <v>6761</v>
      </c>
      <c r="F3185" t="s">
        <v>31</v>
      </c>
      <c r="G3185" t="s">
        <v>24</v>
      </c>
      <c r="H3185" t="b">
        <v>0</v>
      </c>
      <c r="I3185" t="b">
        <v>0</v>
      </c>
      <c r="L3185" t="b">
        <v>0</v>
      </c>
    </row>
    <row r="3187" spans="1:25" x14ac:dyDescent="0.2">
      <c r="A3187" s="2">
        <v>5467</v>
      </c>
      <c r="B3187" s="2" t="s">
        <v>6762</v>
      </c>
      <c r="C3187" s="2" t="s">
        <v>13</v>
      </c>
      <c r="D3187" s="2" t="s">
        <v>6763</v>
      </c>
      <c r="E3187" s="2" t="s">
        <v>6764</v>
      </c>
      <c r="F3187" s="2" t="s">
        <v>45</v>
      </c>
      <c r="G3187" s="2" t="s">
        <v>24</v>
      </c>
      <c r="H3187" s="2"/>
      <c r="I3187" s="2"/>
      <c r="J3187" s="2"/>
      <c r="K3187" s="2"/>
      <c r="L3187" s="2"/>
      <c r="M3187" s="2"/>
      <c r="N3187" s="2"/>
      <c r="O3187" s="2"/>
      <c r="P3187" s="2"/>
      <c r="Q3187" s="2"/>
      <c r="R3187" s="2"/>
      <c r="S3187" s="2"/>
      <c r="T3187" s="2"/>
      <c r="U3187" s="2"/>
      <c r="V3187" s="2"/>
      <c r="W3187" s="2"/>
      <c r="X3187" s="2"/>
      <c r="Y3187" s="2"/>
    </row>
    <row r="3188" spans="1:25" x14ac:dyDescent="0.2">
      <c r="A3188">
        <v>5468</v>
      </c>
      <c r="B3188" t="s">
        <v>6762</v>
      </c>
      <c r="C3188" t="s">
        <v>18</v>
      </c>
      <c r="D3188" t="s">
        <v>6763</v>
      </c>
      <c r="E3188" t="s">
        <v>4078</v>
      </c>
      <c r="F3188" t="s">
        <v>45</v>
      </c>
      <c r="G3188" t="s">
        <v>24</v>
      </c>
      <c r="H3188" t="b">
        <v>0</v>
      </c>
      <c r="I3188" t="b">
        <v>1</v>
      </c>
      <c r="L3188" t="b">
        <v>1</v>
      </c>
      <c r="M3188" t="s">
        <v>6765</v>
      </c>
    </row>
    <row r="3189" spans="1:25" x14ac:dyDescent="0.2">
      <c r="A3189">
        <v>5469</v>
      </c>
      <c r="B3189" t="s">
        <v>6762</v>
      </c>
      <c r="C3189" t="s">
        <v>18</v>
      </c>
      <c r="D3189" t="s">
        <v>6766</v>
      </c>
      <c r="E3189" t="s">
        <v>2742</v>
      </c>
      <c r="F3189" t="s">
        <v>45</v>
      </c>
      <c r="G3189" t="s">
        <v>24</v>
      </c>
      <c r="H3189" t="b">
        <v>0</v>
      </c>
      <c r="I3189" t="b">
        <v>1</v>
      </c>
      <c r="L3189" t="b">
        <v>1</v>
      </c>
      <c r="M3189" t="s">
        <v>6767</v>
      </c>
    </row>
    <row r="3190" spans="1:25" x14ac:dyDescent="0.2">
      <c r="A3190">
        <v>5470</v>
      </c>
      <c r="B3190" t="s">
        <v>6762</v>
      </c>
      <c r="C3190" t="s">
        <v>18</v>
      </c>
      <c r="D3190" t="s">
        <v>6768</v>
      </c>
      <c r="E3190" t="s">
        <v>381</v>
      </c>
      <c r="F3190" t="s">
        <v>16</v>
      </c>
      <c r="G3190" t="s">
        <v>24</v>
      </c>
      <c r="H3190" t="b">
        <v>0</v>
      </c>
      <c r="I3190" t="b">
        <v>0</v>
      </c>
      <c r="L3190" t="b">
        <v>0</v>
      </c>
      <c r="M3190" t="s">
        <v>6769</v>
      </c>
      <c r="N3190" t="s">
        <v>6770</v>
      </c>
    </row>
    <row r="3191" spans="1:25" x14ac:dyDescent="0.2">
      <c r="A3191">
        <v>5471</v>
      </c>
      <c r="B3191" t="s">
        <v>6762</v>
      </c>
      <c r="C3191" t="s">
        <v>18</v>
      </c>
      <c r="D3191" t="s">
        <v>6771</v>
      </c>
      <c r="E3191" t="s">
        <v>381</v>
      </c>
      <c r="F3191" t="s">
        <v>31</v>
      </c>
      <c r="G3191" t="s">
        <v>24</v>
      </c>
      <c r="H3191" t="b">
        <v>0</v>
      </c>
      <c r="I3191" t="b">
        <v>0</v>
      </c>
      <c r="L3191" t="b">
        <v>0</v>
      </c>
      <c r="M3191" t="s">
        <v>6772</v>
      </c>
      <c r="N3191" t="s">
        <v>6773</v>
      </c>
    </row>
    <row r="3192" spans="1:25" x14ac:dyDescent="0.2">
      <c r="A3192">
        <v>5472</v>
      </c>
      <c r="B3192" t="s">
        <v>6762</v>
      </c>
      <c r="C3192" t="s">
        <v>18</v>
      </c>
      <c r="D3192" t="s">
        <v>6774</v>
      </c>
      <c r="E3192" t="s">
        <v>1299</v>
      </c>
      <c r="F3192" t="s">
        <v>168</v>
      </c>
      <c r="G3192" t="s">
        <v>24</v>
      </c>
      <c r="H3192" t="b">
        <v>0</v>
      </c>
      <c r="I3192" t="b">
        <v>0</v>
      </c>
      <c r="L3192" t="b">
        <v>0</v>
      </c>
      <c r="M3192" t="s">
        <v>6775</v>
      </c>
    </row>
    <row r="3194" spans="1:25" x14ac:dyDescent="0.2">
      <c r="A3194" s="2">
        <v>5474</v>
      </c>
      <c r="B3194" s="2" t="s">
        <v>6776</v>
      </c>
      <c r="C3194" s="2" t="s">
        <v>13</v>
      </c>
      <c r="D3194" s="2" t="s">
        <v>6777</v>
      </c>
      <c r="E3194" s="2" t="s">
        <v>6778</v>
      </c>
      <c r="F3194" s="2" t="s">
        <v>670</v>
      </c>
      <c r="G3194" s="2" t="s">
        <v>17</v>
      </c>
      <c r="H3194" s="2"/>
      <c r="I3194" s="2"/>
      <c r="J3194" s="2"/>
      <c r="K3194" s="2"/>
      <c r="L3194" s="2"/>
      <c r="M3194" s="2"/>
      <c r="N3194" s="2"/>
      <c r="O3194" s="2"/>
      <c r="P3194" s="2"/>
      <c r="Q3194" s="2"/>
      <c r="R3194" s="2"/>
      <c r="S3194" s="2"/>
      <c r="T3194" s="2"/>
      <c r="U3194" s="2"/>
      <c r="V3194" s="2"/>
      <c r="W3194" s="2"/>
      <c r="X3194" s="2"/>
      <c r="Y3194" s="2"/>
    </row>
    <row r="3195" spans="1:25" x14ac:dyDescent="0.2">
      <c r="A3195">
        <v>5475</v>
      </c>
      <c r="B3195" t="s">
        <v>6776</v>
      </c>
      <c r="C3195" t="s">
        <v>18</v>
      </c>
      <c r="D3195" t="s">
        <v>2643</v>
      </c>
      <c r="E3195" t="s">
        <v>1701</v>
      </c>
      <c r="F3195" t="s">
        <v>670</v>
      </c>
      <c r="G3195" t="s">
        <v>17</v>
      </c>
      <c r="H3195" t="b">
        <v>1</v>
      </c>
      <c r="I3195" t="b">
        <v>1</v>
      </c>
      <c r="L3195" t="b">
        <v>1</v>
      </c>
      <c r="M3195" t="s">
        <v>2644</v>
      </c>
    </row>
    <row r="3196" spans="1:25" x14ac:dyDescent="0.2">
      <c r="A3196">
        <v>5476</v>
      </c>
      <c r="B3196" t="s">
        <v>6776</v>
      </c>
      <c r="C3196" t="s">
        <v>18</v>
      </c>
      <c r="D3196" t="s">
        <v>2641</v>
      </c>
      <c r="E3196" t="s">
        <v>2642</v>
      </c>
      <c r="F3196" t="s">
        <v>670</v>
      </c>
      <c r="G3196" t="s">
        <v>17</v>
      </c>
      <c r="H3196" t="b">
        <v>0</v>
      </c>
      <c r="I3196" t="b">
        <v>0</v>
      </c>
      <c r="L3196" t="b">
        <v>0</v>
      </c>
    </row>
    <row r="3197" spans="1:25" x14ac:dyDescent="0.2">
      <c r="A3197">
        <v>5477</v>
      </c>
      <c r="B3197" t="s">
        <v>6776</v>
      </c>
      <c r="C3197" t="s">
        <v>18</v>
      </c>
      <c r="D3197" t="s">
        <v>5235</v>
      </c>
      <c r="E3197" t="s">
        <v>5236</v>
      </c>
      <c r="F3197" t="s">
        <v>670</v>
      </c>
      <c r="G3197" t="s">
        <v>17</v>
      </c>
      <c r="H3197" t="b">
        <v>0</v>
      </c>
      <c r="I3197" t="b">
        <v>0</v>
      </c>
      <c r="L3197" t="b">
        <v>0</v>
      </c>
      <c r="M3197" t="s">
        <v>5237</v>
      </c>
      <c r="N3197" t="s">
        <v>5238</v>
      </c>
    </row>
    <row r="3198" spans="1:25" x14ac:dyDescent="0.2">
      <c r="A3198">
        <v>5478</v>
      </c>
      <c r="B3198" t="s">
        <v>6776</v>
      </c>
      <c r="C3198" t="s">
        <v>18</v>
      </c>
      <c r="D3198" t="s">
        <v>5239</v>
      </c>
      <c r="E3198" t="s">
        <v>643</v>
      </c>
      <c r="F3198" t="s">
        <v>670</v>
      </c>
      <c r="G3198" t="s">
        <v>17</v>
      </c>
      <c r="H3198" t="b">
        <v>0</v>
      </c>
      <c r="I3198" t="b">
        <v>0</v>
      </c>
      <c r="L3198" t="b">
        <v>0</v>
      </c>
      <c r="M3198" t="s">
        <v>5240</v>
      </c>
      <c r="N3198" t="s">
        <v>5241</v>
      </c>
    </row>
    <row r="3199" spans="1:25" x14ac:dyDescent="0.2">
      <c r="A3199">
        <v>5479</v>
      </c>
      <c r="B3199" t="s">
        <v>6776</v>
      </c>
      <c r="C3199" t="s">
        <v>18</v>
      </c>
      <c r="D3199" t="s">
        <v>5232</v>
      </c>
      <c r="E3199" t="s">
        <v>3860</v>
      </c>
      <c r="F3199" t="s">
        <v>16</v>
      </c>
      <c r="G3199" t="s">
        <v>17</v>
      </c>
      <c r="H3199" t="b">
        <v>0</v>
      </c>
      <c r="I3199" t="b">
        <v>0</v>
      </c>
      <c r="L3199" t="b">
        <v>0</v>
      </c>
      <c r="M3199" t="s">
        <v>5233</v>
      </c>
      <c r="N3199" t="s">
        <v>5234</v>
      </c>
    </row>
    <row r="3201" spans="1:25" x14ac:dyDescent="0.2">
      <c r="A3201" s="2">
        <v>5481</v>
      </c>
      <c r="B3201" s="2" t="s">
        <v>6779</v>
      </c>
      <c r="C3201" s="2" t="s">
        <v>13</v>
      </c>
      <c r="D3201" s="2" t="s">
        <v>6780</v>
      </c>
      <c r="E3201" s="2" t="s">
        <v>6781</v>
      </c>
      <c r="F3201" s="2" t="s">
        <v>316</v>
      </c>
      <c r="G3201" s="2" t="s">
        <v>1867</v>
      </c>
      <c r="H3201" s="2"/>
      <c r="I3201" s="2"/>
      <c r="J3201" s="2"/>
      <c r="K3201" s="2"/>
      <c r="L3201" s="2"/>
      <c r="M3201" s="2"/>
      <c r="N3201" s="2"/>
      <c r="O3201" s="2"/>
      <c r="P3201" s="2"/>
      <c r="Q3201" s="2"/>
      <c r="R3201" s="2"/>
      <c r="S3201" s="2"/>
      <c r="T3201" s="2"/>
      <c r="U3201" s="2"/>
      <c r="V3201" s="2"/>
      <c r="W3201" s="2"/>
      <c r="X3201" s="2"/>
      <c r="Y3201" s="2"/>
    </row>
    <row r="3202" spans="1:25" x14ac:dyDescent="0.2">
      <c r="A3202">
        <v>5482</v>
      </c>
      <c r="B3202" t="s">
        <v>6779</v>
      </c>
      <c r="C3202" t="s">
        <v>18</v>
      </c>
      <c r="D3202" t="s">
        <v>6782</v>
      </c>
      <c r="E3202" t="s">
        <v>6783</v>
      </c>
      <c r="F3202" t="s">
        <v>316</v>
      </c>
      <c r="G3202" t="s">
        <v>1867</v>
      </c>
      <c r="H3202" t="b">
        <v>1</v>
      </c>
      <c r="I3202" t="b">
        <v>1</v>
      </c>
      <c r="L3202" t="b">
        <v>1</v>
      </c>
      <c r="M3202" t="s">
        <v>6784</v>
      </c>
      <c r="N3202" t="s">
        <v>6785</v>
      </c>
    </row>
    <row r="3203" spans="1:25" x14ac:dyDescent="0.2">
      <c r="A3203">
        <v>5483</v>
      </c>
      <c r="B3203" t="s">
        <v>6779</v>
      </c>
      <c r="C3203" t="s">
        <v>18</v>
      </c>
      <c r="D3203" t="s">
        <v>3200</v>
      </c>
      <c r="E3203" t="s">
        <v>19</v>
      </c>
      <c r="F3203" t="s">
        <v>616</v>
      </c>
      <c r="G3203" t="s">
        <v>280</v>
      </c>
      <c r="H3203" t="b">
        <v>0</v>
      </c>
      <c r="I3203" t="b">
        <v>0</v>
      </c>
      <c r="L3203" t="b">
        <v>0</v>
      </c>
      <c r="M3203" t="s">
        <v>3201</v>
      </c>
      <c r="N3203" t="s">
        <v>3202</v>
      </c>
    </row>
    <row r="3204" spans="1:25" x14ac:dyDescent="0.2">
      <c r="A3204">
        <v>5484</v>
      </c>
      <c r="B3204" t="s">
        <v>6779</v>
      </c>
      <c r="C3204" t="s">
        <v>18</v>
      </c>
      <c r="D3204" t="s">
        <v>6786</v>
      </c>
      <c r="E3204" t="s">
        <v>6787</v>
      </c>
      <c r="F3204" t="s">
        <v>316</v>
      </c>
      <c r="G3204" t="s">
        <v>280</v>
      </c>
      <c r="H3204" t="b">
        <v>0</v>
      </c>
      <c r="I3204" t="b">
        <v>0</v>
      </c>
      <c r="L3204" t="b">
        <v>0</v>
      </c>
    </row>
    <row r="3205" spans="1:25" x14ac:dyDescent="0.2">
      <c r="A3205">
        <v>5485</v>
      </c>
      <c r="B3205" t="s">
        <v>6779</v>
      </c>
      <c r="C3205" t="s">
        <v>18</v>
      </c>
      <c r="D3205" t="s">
        <v>6788</v>
      </c>
      <c r="E3205" t="s">
        <v>4296</v>
      </c>
      <c r="F3205" t="s">
        <v>168</v>
      </c>
      <c r="G3205" t="s">
        <v>32</v>
      </c>
      <c r="H3205" t="b">
        <v>0</v>
      </c>
      <c r="I3205" t="b">
        <v>0</v>
      </c>
      <c r="L3205" t="b">
        <v>0</v>
      </c>
      <c r="M3205" t="s">
        <v>6789</v>
      </c>
      <c r="N3205" t="s">
        <v>6790</v>
      </c>
    </row>
    <row r="3206" spans="1:25" x14ac:dyDescent="0.2">
      <c r="A3206">
        <v>5486</v>
      </c>
      <c r="B3206" t="s">
        <v>6779</v>
      </c>
      <c r="C3206" t="s">
        <v>18</v>
      </c>
      <c r="D3206" t="s">
        <v>6791</v>
      </c>
      <c r="E3206" t="s">
        <v>6792</v>
      </c>
      <c r="F3206" t="s">
        <v>316</v>
      </c>
      <c r="G3206" t="s">
        <v>280</v>
      </c>
      <c r="H3206" t="b">
        <v>0</v>
      </c>
      <c r="I3206" t="b">
        <v>0</v>
      </c>
      <c r="L3206" t="b">
        <v>0</v>
      </c>
    </row>
    <row r="3208" spans="1:25" x14ac:dyDescent="0.2">
      <c r="A3208" s="2">
        <v>5495</v>
      </c>
      <c r="B3208" s="2" t="s">
        <v>6793</v>
      </c>
      <c r="C3208" s="2" t="s">
        <v>13</v>
      </c>
      <c r="D3208" s="2" t="s">
        <v>6794</v>
      </c>
      <c r="E3208" s="2" t="s">
        <v>6795</v>
      </c>
      <c r="F3208" s="2" t="s">
        <v>78</v>
      </c>
      <c r="G3208" s="2" t="s">
        <v>638</v>
      </c>
      <c r="H3208" s="2"/>
      <c r="I3208" s="2"/>
      <c r="J3208" s="2"/>
      <c r="K3208" s="2"/>
      <c r="L3208" s="2"/>
      <c r="M3208" s="2"/>
      <c r="N3208" s="2"/>
      <c r="O3208" s="2"/>
      <c r="P3208" s="2"/>
      <c r="Q3208" s="2"/>
      <c r="R3208" s="2"/>
      <c r="S3208" s="2"/>
      <c r="T3208" s="2"/>
      <c r="U3208" s="2"/>
      <c r="V3208" s="2"/>
      <c r="W3208" s="2"/>
      <c r="X3208" s="2"/>
      <c r="Y3208" s="2"/>
    </row>
    <row r="3209" spans="1:25" x14ac:dyDescent="0.2">
      <c r="A3209">
        <v>5496</v>
      </c>
      <c r="B3209" t="s">
        <v>6793</v>
      </c>
      <c r="C3209" t="s">
        <v>18</v>
      </c>
      <c r="D3209" t="s">
        <v>6794</v>
      </c>
      <c r="E3209" t="s">
        <v>2267</v>
      </c>
      <c r="F3209" t="s">
        <v>78</v>
      </c>
      <c r="G3209" t="s">
        <v>638</v>
      </c>
      <c r="H3209" t="b">
        <v>1</v>
      </c>
      <c r="I3209" t="b">
        <v>1</v>
      </c>
      <c r="L3209" t="b">
        <v>1</v>
      </c>
      <c r="M3209" t="s">
        <v>6796</v>
      </c>
    </row>
    <row r="3210" spans="1:25" x14ac:dyDescent="0.2">
      <c r="A3210">
        <v>5497</v>
      </c>
      <c r="B3210" t="s">
        <v>6793</v>
      </c>
      <c r="C3210" t="s">
        <v>18</v>
      </c>
      <c r="D3210" t="s">
        <v>6797</v>
      </c>
      <c r="E3210" t="s">
        <v>6798</v>
      </c>
      <c r="F3210" t="s">
        <v>78</v>
      </c>
      <c r="G3210" t="s">
        <v>638</v>
      </c>
      <c r="H3210" t="b">
        <v>1</v>
      </c>
      <c r="I3210" t="b">
        <v>1</v>
      </c>
      <c r="L3210" t="b">
        <v>1</v>
      </c>
      <c r="M3210" t="s">
        <v>6799</v>
      </c>
    </row>
    <row r="3211" spans="1:25" x14ac:dyDescent="0.2">
      <c r="A3211">
        <v>5498</v>
      </c>
      <c r="B3211" t="s">
        <v>6793</v>
      </c>
      <c r="C3211" t="s">
        <v>18</v>
      </c>
      <c r="D3211" t="s">
        <v>6800</v>
      </c>
      <c r="E3211" t="s">
        <v>435</v>
      </c>
      <c r="F3211" t="s">
        <v>87</v>
      </c>
      <c r="G3211" t="s">
        <v>638</v>
      </c>
      <c r="H3211" t="b">
        <v>0</v>
      </c>
      <c r="I3211" t="b">
        <v>0</v>
      </c>
      <c r="L3211" t="b">
        <v>0</v>
      </c>
      <c r="M3211" t="s">
        <v>6801</v>
      </c>
      <c r="N3211" t="s">
        <v>6802</v>
      </c>
    </row>
    <row r="3212" spans="1:25" x14ac:dyDescent="0.2">
      <c r="A3212">
        <v>5499</v>
      </c>
      <c r="B3212" t="s">
        <v>6793</v>
      </c>
      <c r="C3212" t="s">
        <v>18</v>
      </c>
      <c r="D3212" t="s">
        <v>6803</v>
      </c>
      <c r="E3212" t="s">
        <v>6804</v>
      </c>
      <c r="F3212" t="s">
        <v>670</v>
      </c>
      <c r="G3212" t="s">
        <v>638</v>
      </c>
      <c r="H3212" t="b">
        <v>0</v>
      </c>
      <c r="I3212" t="b">
        <v>0</v>
      </c>
      <c r="L3212" t="b">
        <v>0</v>
      </c>
    </row>
    <row r="3213" spans="1:25" x14ac:dyDescent="0.2">
      <c r="A3213">
        <v>5500</v>
      </c>
      <c r="B3213" t="s">
        <v>6793</v>
      </c>
      <c r="C3213" t="s">
        <v>18</v>
      </c>
      <c r="D3213" t="s">
        <v>6805</v>
      </c>
      <c r="E3213" t="s">
        <v>4256</v>
      </c>
      <c r="F3213" t="s">
        <v>78</v>
      </c>
      <c r="G3213" t="s">
        <v>638</v>
      </c>
      <c r="H3213" t="b">
        <v>0</v>
      </c>
      <c r="I3213" t="b">
        <v>0</v>
      </c>
      <c r="L3213" t="b">
        <v>0</v>
      </c>
      <c r="M3213" t="s">
        <v>6806</v>
      </c>
    </row>
    <row r="3215" spans="1:25" x14ac:dyDescent="0.2">
      <c r="A3215" s="2">
        <v>5509</v>
      </c>
      <c r="B3215" s="2" t="s">
        <v>6807</v>
      </c>
      <c r="C3215" s="2" t="s">
        <v>13</v>
      </c>
      <c r="D3215" s="2" t="s">
        <v>6808</v>
      </c>
      <c r="E3215" s="2" t="s">
        <v>6809</v>
      </c>
      <c r="F3215" s="2" t="s">
        <v>275</v>
      </c>
      <c r="G3215" s="2" t="s">
        <v>134</v>
      </c>
      <c r="H3215" s="2"/>
      <c r="I3215" s="2"/>
      <c r="J3215" s="2"/>
      <c r="K3215" s="2"/>
      <c r="L3215" s="2"/>
      <c r="M3215" s="2"/>
      <c r="N3215" s="2"/>
      <c r="O3215" s="2"/>
      <c r="P3215" s="2"/>
      <c r="Q3215" s="2"/>
      <c r="R3215" s="2"/>
      <c r="S3215" s="2"/>
      <c r="T3215" s="2"/>
      <c r="U3215" s="2"/>
      <c r="V3215" s="2"/>
      <c r="W3215" s="2"/>
      <c r="X3215" s="2"/>
      <c r="Y3215" s="2"/>
    </row>
    <row r="3216" spans="1:25" x14ac:dyDescent="0.2">
      <c r="A3216">
        <v>5510</v>
      </c>
      <c r="B3216" t="s">
        <v>6807</v>
      </c>
      <c r="C3216" t="s">
        <v>18</v>
      </c>
      <c r="D3216" t="s">
        <v>6808</v>
      </c>
      <c r="E3216" t="s">
        <v>6810</v>
      </c>
      <c r="F3216" t="s">
        <v>275</v>
      </c>
      <c r="G3216" t="s">
        <v>134</v>
      </c>
      <c r="H3216" t="b">
        <v>1</v>
      </c>
      <c r="K3216" t="b">
        <v>1</v>
      </c>
      <c r="L3216" t="b">
        <v>1</v>
      </c>
      <c r="M3216" t="s">
        <v>6811</v>
      </c>
      <c r="N3216" t="s">
        <v>6812</v>
      </c>
    </row>
    <row r="3217" spans="1:25" x14ac:dyDescent="0.2">
      <c r="A3217">
        <v>5511</v>
      </c>
      <c r="B3217" t="s">
        <v>6807</v>
      </c>
      <c r="C3217" t="s">
        <v>18</v>
      </c>
      <c r="D3217" t="s">
        <v>6813</v>
      </c>
      <c r="E3217" t="s">
        <v>6814</v>
      </c>
      <c r="F3217" t="s">
        <v>275</v>
      </c>
      <c r="G3217" t="s">
        <v>134</v>
      </c>
      <c r="H3217" t="b">
        <v>1</v>
      </c>
      <c r="K3217" t="b">
        <v>0</v>
      </c>
      <c r="L3217" t="b">
        <v>1</v>
      </c>
      <c r="M3217" t="s">
        <v>6815</v>
      </c>
      <c r="N3217" t="s">
        <v>6816</v>
      </c>
    </row>
    <row r="3218" spans="1:25" x14ac:dyDescent="0.2">
      <c r="A3218">
        <v>5512</v>
      </c>
      <c r="B3218" t="s">
        <v>6807</v>
      </c>
      <c r="C3218" t="s">
        <v>18</v>
      </c>
      <c r="D3218" t="s">
        <v>2308</v>
      </c>
      <c r="E3218" t="s">
        <v>2309</v>
      </c>
      <c r="F3218" t="s">
        <v>248</v>
      </c>
      <c r="G3218" t="s">
        <v>134</v>
      </c>
      <c r="H3218" t="b">
        <v>0</v>
      </c>
      <c r="K3218" t="b">
        <v>0</v>
      </c>
      <c r="L3218" t="b">
        <v>0</v>
      </c>
      <c r="M3218" t="s">
        <v>2310</v>
      </c>
      <c r="N3218" t="s">
        <v>2311</v>
      </c>
      <c r="O3218" t="s">
        <v>2312</v>
      </c>
    </row>
    <row r="3219" spans="1:25" x14ac:dyDescent="0.2">
      <c r="A3219">
        <v>5513</v>
      </c>
      <c r="B3219" t="s">
        <v>6807</v>
      </c>
      <c r="C3219" t="s">
        <v>18</v>
      </c>
      <c r="D3219" t="s">
        <v>3127</v>
      </c>
      <c r="E3219" t="s">
        <v>1167</v>
      </c>
      <c r="F3219" t="s">
        <v>168</v>
      </c>
      <c r="G3219" t="s">
        <v>134</v>
      </c>
      <c r="H3219" t="b">
        <v>0</v>
      </c>
      <c r="K3219" t="b">
        <v>0</v>
      </c>
      <c r="L3219" t="b">
        <v>0</v>
      </c>
      <c r="M3219" t="s">
        <v>3129</v>
      </c>
    </row>
    <row r="3220" spans="1:25" x14ac:dyDescent="0.2">
      <c r="A3220">
        <v>5514</v>
      </c>
      <c r="B3220" t="s">
        <v>6807</v>
      </c>
      <c r="C3220" t="s">
        <v>18</v>
      </c>
      <c r="D3220" t="s">
        <v>1720</v>
      </c>
      <c r="E3220" t="s">
        <v>1721</v>
      </c>
      <c r="F3220" t="s">
        <v>596</v>
      </c>
      <c r="G3220" t="s">
        <v>134</v>
      </c>
      <c r="H3220" t="b">
        <v>0</v>
      </c>
      <c r="K3220" t="b">
        <v>0</v>
      </c>
      <c r="L3220" t="b">
        <v>0</v>
      </c>
      <c r="M3220" t="s">
        <v>1722</v>
      </c>
      <c r="N3220" t="s">
        <v>1723</v>
      </c>
    </row>
    <row r="3222" spans="1:25" x14ac:dyDescent="0.2">
      <c r="A3222" s="2">
        <v>5523</v>
      </c>
      <c r="B3222" s="2" t="s">
        <v>6817</v>
      </c>
      <c r="C3222" s="2" t="s">
        <v>13</v>
      </c>
      <c r="D3222" s="2" t="s">
        <v>6818</v>
      </c>
      <c r="E3222" s="2" t="s">
        <v>6819</v>
      </c>
      <c r="F3222" s="2" t="s">
        <v>159</v>
      </c>
      <c r="G3222" s="2" t="s">
        <v>24</v>
      </c>
      <c r="H3222" s="2"/>
      <c r="I3222" s="2"/>
      <c r="J3222" s="2"/>
      <c r="K3222" s="2"/>
      <c r="L3222" s="2"/>
      <c r="M3222" s="2"/>
      <c r="N3222" s="2"/>
      <c r="O3222" s="2"/>
      <c r="P3222" s="2"/>
      <c r="Q3222" s="2"/>
      <c r="R3222" s="2"/>
      <c r="S3222" s="2"/>
      <c r="T3222" s="2"/>
      <c r="U3222" s="2"/>
      <c r="V3222" s="2"/>
      <c r="W3222" s="2"/>
      <c r="X3222" s="2"/>
      <c r="Y3222" s="2"/>
    </row>
    <row r="3223" spans="1:25" x14ac:dyDescent="0.2">
      <c r="A3223">
        <v>5524</v>
      </c>
      <c r="B3223" t="s">
        <v>6817</v>
      </c>
      <c r="C3223" t="s">
        <v>18</v>
      </c>
      <c r="D3223" t="s">
        <v>6818</v>
      </c>
      <c r="E3223" t="s">
        <v>6819</v>
      </c>
      <c r="F3223" t="s">
        <v>82</v>
      </c>
      <c r="G3223" t="s">
        <v>24</v>
      </c>
      <c r="H3223" t="b">
        <v>1</v>
      </c>
      <c r="I3223" t="b">
        <v>1</v>
      </c>
      <c r="L3223" t="b">
        <v>1</v>
      </c>
      <c r="M3223" t="s">
        <v>6820</v>
      </c>
      <c r="N3223" t="s">
        <v>6821</v>
      </c>
    </row>
    <row r="3224" spans="1:25" x14ac:dyDescent="0.2">
      <c r="A3224">
        <v>5525</v>
      </c>
      <c r="B3224" t="s">
        <v>6817</v>
      </c>
      <c r="C3224" t="s">
        <v>18</v>
      </c>
      <c r="D3224" t="s">
        <v>6822</v>
      </c>
      <c r="E3224" t="s">
        <v>6823</v>
      </c>
      <c r="F3224" t="s">
        <v>1837</v>
      </c>
      <c r="G3224" t="s">
        <v>24</v>
      </c>
      <c r="H3224" t="b">
        <v>0</v>
      </c>
      <c r="I3224" t="b">
        <v>0</v>
      </c>
      <c r="L3224" t="b">
        <v>0</v>
      </c>
      <c r="M3224" t="s">
        <v>6824</v>
      </c>
      <c r="N3224" t="s">
        <v>6825</v>
      </c>
    </row>
    <row r="3225" spans="1:25" x14ac:dyDescent="0.2">
      <c r="A3225">
        <v>5526</v>
      </c>
      <c r="B3225" t="s">
        <v>6817</v>
      </c>
      <c r="C3225" t="s">
        <v>18</v>
      </c>
      <c r="D3225" t="s">
        <v>6826</v>
      </c>
      <c r="E3225" t="s">
        <v>6827</v>
      </c>
      <c r="F3225" t="s">
        <v>82</v>
      </c>
      <c r="G3225" t="s">
        <v>24</v>
      </c>
      <c r="H3225" t="b">
        <v>0</v>
      </c>
      <c r="I3225" t="b">
        <v>0</v>
      </c>
      <c r="L3225" t="b">
        <v>0</v>
      </c>
      <c r="M3225" t="s">
        <v>6828</v>
      </c>
    </row>
    <row r="3226" spans="1:25" x14ac:dyDescent="0.2">
      <c r="A3226">
        <v>5527</v>
      </c>
      <c r="B3226" t="s">
        <v>6817</v>
      </c>
      <c r="C3226" t="s">
        <v>18</v>
      </c>
      <c r="D3226" t="s">
        <v>6829</v>
      </c>
      <c r="E3226" t="s">
        <v>6830</v>
      </c>
      <c r="F3226" t="s">
        <v>369</v>
      </c>
      <c r="G3226" t="s">
        <v>24</v>
      </c>
      <c r="H3226" t="b">
        <v>0</v>
      </c>
      <c r="I3226" t="b">
        <v>0</v>
      </c>
      <c r="L3226" t="b">
        <v>0</v>
      </c>
    </row>
    <row r="3227" spans="1:25" x14ac:dyDescent="0.2">
      <c r="A3227">
        <v>5528</v>
      </c>
      <c r="B3227" t="s">
        <v>6817</v>
      </c>
      <c r="C3227" t="s">
        <v>18</v>
      </c>
      <c r="D3227" t="s">
        <v>6831</v>
      </c>
      <c r="E3227" t="s">
        <v>6832</v>
      </c>
      <c r="F3227" t="s">
        <v>122</v>
      </c>
      <c r="G3227" t="s">
        <v>17</v>
      </c>
      <c r="H3227" t="b">
        <v>0</v>
      </c>
      <c r="I3227" t="b">
        <v>0</v>
      </c>
      <c r="L3227" t="b">
        <v>0</v>
      </c>
      <c r="M3227" t="s">
        <v>6833</v>
      </c>
    </row>
    <row r="3229" spans="1:25" x14ac:dyDescent="0.2">
      <c r="A3229" s="2">
        <v>553</v>
      </c>
      <c r="B3229" s="2" t="s">
        <v>6834</v>
      </c>
      <c r="C3229" s="2" t="s">
        <v>13</v>
      </c>
      <c r="D3229" s="2" t="s">
        <v>6835</v>
      </c>
      <c r="E3229" s="2" t="s">
        <v>6836</v>
      </c>
      <c r="F3229" s="2" t="s">
        <v>420</v>
      </c>
      <c r="G3229" s="2" t="s">
        <v>17</v>
      </c>
      <c r="H3229" s="2"/>
      <c r="I3229" s="2"/>
      <c r="J3229" s="2"/>
      <c r="K3229" s="2"/>
      <c r="L3229" s="2"/>
      <c r="M3229" s="2"/>
      <c r="N3229" s="2"/>
      <c r="O3229" s="2"/>
      <c r="P3229" s="2"/>
      <c r="Q3229" s="2"/>
      <c r="R3229" s="2"/>
      <c r="S3229" s="2"/>
      <c r="T3229" s="2"/>
      <c r="U3229" s="2"/>
      <c r="V3229" s="2"/>
      <c r="W3229" s="2"/>
      <c r="X3229" s="2"/>
      <c r="Y3229" s="2"/>
    </row>
    <row r="3230" spans="1:25" x14ac:dyDescent="0.2">
      <c r="A3230">
        <v>554</v>
      </c>
      <c r="B3230" t="s">
        <v>6834</v>
      </c>
      <c r="C3230" t="s">
        <v>18</v>
      </c>
      <c r="D3230" t="s">
        <v>6835</v>
      </c>
      <c r="E3230" t="s">
        <v>5206</v>
      </c>
      <c r="F3230" t="s">
        <v>420</v>
      </c>
      <c r="G3230" t="s">
        <v>17</v>
      </c>
      <c r="H3230" t="b">
        <v>1</v>
      </c>
      <c r="K3230" t="b">
        <v>1</v>
      </c>
      <c r="L3230" t="b">
        <v>1</v>
      </c>
      <c r="M3230" t="s">
        <v>6837</v>
      </c>
      <c r="N3230" t="s">
        <v>6838</v>
      </c>
    </row>
    <row r="3231" spans="1:25" x14ac:dyDescent="0.2">
      <c r="A3231">
        <v>555</v>
      </c>
      <c r="B3231" t="s">
        <v>6834</v>
      </c>
      <c r="C3231" t="s">
        <v>18</v>
      </c>
      <c r="D3231" t="s">
        <v>2796</v>
      </c>
      <c r="E3231" t="s">
        <v>2797</v>
      </c>
      <c r="F3231" t="s">
        <v>78</v>
      </c>
      <c r="G3231" t="s">
        <v>134</v>
      </c>
      <c r="H3231" t="b">
        <v>0</v>
      </c>
      <c r="K3231" t="b">
        <v>0</v>
      </c>
      <c r="L3231" t="b">
        <v>0</v>
      </c>
      <c r="M3231" t="s">
        <v>2798</v>
      </c>
      <c r="N3231" t="s">
        <v>2799</v>
      </c>
    </row>
    <row r="3232" spans="1:25" x14ac:dyDescent="0.2">
      <c r="A3232">
        <v>556</v>
      </c>
      <c r="B3232" t="s">
        <v>6834</v>
      </c>
      <c r="C3232" t="s">
        <v>18</v>
      </c>
      <c r="D3232" t="s">
        <v>1925</v>
      </c>
      <c r="E3232" t="s">
        <v>1926</v>
      </c>
      <c r="F3232" t="s">
        <v>248</v>
      </c>
      <c r="G3232" t="s">
        <v>252</v>
      </c>
      <c r="H3232" t="b">
        <v>0</v>
      </c>
      <c r="K3232" t="b">
        <v>0</v>
      </c>
      <c r="L3232" t="b">
        <v>0</v>
      </c>
    </row>
    <row r="3233" spans="1:25" x14ac:dyDescent="0.2">
      <c r="A3233">
        <v>557</v>
      </c>
      <c r="B3233" t="s">
        <v>6834</v>
      </c>
      <c r="C3233" t="s">
        <v>18</v>
      </c>
      <c r="D3233" t="s">
        <v>569</v>
      </c>
      <c r="E3233" t="s">
        <v>570</v>
      </c>
      <c r="F3233" t="s">
        <v>561</v>
      </c>
      <c r="G3233" t="s">
        <v>17</v>
      </c>
      <c r="H3233" t="b">
        <v>0</v>
      </c>
      <c r="K3233" t="b">
        <v>0</v>
      </c>
      <c r="L3233" t="b">
        <v>0</v>
      </c>
      <c r="M3233" t="s">
        <v>571</v>
      </c>
    </row>
    <row r="3234" spans="1:25" x14ac:dyDescent="0.2">
      <c r="A3234">
        <v>558</v>
      </c>
      <c r="B3234" t="s">
        <v>6834</v>
      </c>
      <c r="C3234" t="s">
        <v>18</v>
      </c>
      <c r="D3234" t="s">
        <v>6839</v>
      </c>
      <c r="E3234" t="s">
        <v>6840</v>
      </c>
      <c r="F3234" t="s">
        <v>168</v>
      </c>
      <c r="G3234" t="s">
        <v>17</v>
      </c>
      <c r="H3234" t="b">
        <v>0</v>
      </c>
      <c r="K3234" t="b">
        <v>0</v>
      </c>
      <c r="L3234" t="b">
        <v>0</v>
      </c>
    </row>
    <row r="3236" spans="1:25" x14ac:dyDescent="0.2">
      <c r="A3236" s="2">
        <v>5530</v>
      </c>
      <c r="B3236" s="2" t="s">
        <v>6841</v>
      </c>
      <c r="C3236" s="2" t="s">
        <v>13</v>
      </c>
      <c r="D3236" s="2" t="s">
        <v>6842</v>
      </c>
      <c r="E3236" s="2" t="s">
        <v>6843</v>
      </c>
      <c r="F3236" s="2" t="s">
        <v>82</v>
      </c>
      <c r="G3236" s="2" t="s">
        <v>265</v>
      </c>
      <c r="H3236" s="2"/>
      <c r="I3236" s="2"/>
      <c r="J3236" s="2"/>
      <c r="K3236" s="2"/>
      <c r="L3236" s="2"/>
      <c r="M3236" s="2"/>
      <c r="N3236" s="2"/>
      <c r="O3236" s="2"/>
      <c r="P3236" s="2"/>
      <c r="Q3236" s="2"/>
      <c r="R3236" s="2"/>
      <c r="S3236" s="2"/>
      <c r="T3236" s="2"/>
      <c r="U3236" s="2"/>
      <c r="V3236" s="2"/>
      <c r="W3236" s="2"/>
      <c r="X3236" s="2"/>
      <c r="Y3236" s="2"/>
    </row>
    <row r="3237" spans="1:25" x14ac:dyDescent="0.2">
      <c r="A3237">
        <v>5531</v>
      </c>
      <c r="B3237" t="s">
        <v>6841</v>
      </c>
      <c r="C3237" t="s">
        <v>18</v>
      </c>
      <c r="D3237" t="s">
        <v>6844</v>
      </c>
      <c r="E3237" t="s">
        <v>6843</v>
      </c>
      <c r="F3237" t="s">
        <v>23</v>
      </c>
      <c r="G3237" t="s">
        <v>265</v>
      </c>
      <c r="H3237" t="b">
        <v>1</v>
      </c>
      <c r="I3237" t="b">
        <v>1</v>
      </c>
      <c r="L3237" t="b">
        <v>1</v>
      </c>
      <c r="M3237" t="s">
        <v>6845</v>
      </c>
      <c r="N3237" t="s">
        <v>745</v>
      </c>
    </row>
    <row r="3238" spans="1:25" x14ac:dyDescent="0.2">
      <c r="A3238">
        <v>5532</v>
      </c>
      <c r="B3238" t="s">
        <v>6841</v>
      </c>
      <c r="C3238" t="s">
        <v>18</v>
      </c>
      <c r="D3238" t="s">
        <v>6846</v>
      </c>
      <c r="E3238" t="s">
        <v>6847</v>
      </c>
      <c r="F3238" t="s">
        <v>82</v>
      </c>
      <c r="G3238" t="s">
        <v>32</v>
      </c>
      <c r="H3238" t="b">
        <v>0</v>
      </c>
      <c r="I3238" t="b">
        <v>0</v>
      </c>
      <c r="L3238" t="b">
        <v>0</v>
      </c>
    </row>
    <row r="3239" spans="1:25" x14ac:dyDescent="0.2">
      <c r="A3239">
        <v>5533</v>
      </c>
      <c r="B3239" t="s">
        <v>6841</v>
      </c>
      <c r="C3239" t="s">
        <v>18</v>
      </c>
      <c r="D3239" t="s">
        <v>6848</v>
      </c>
      <c r="E3239" t="s">
        <v>6849</v>
      </c>
      <c r="F3239" t="s">
        <v>82</v>
      </c>
      <c r="G3239" t="s">
        <v>32</v>
      </c>
      <c r="H3239" t="b">
        <v>0</v>
      </c>
      <c r="I3239" t="b">
        <v>0</v>
      </c>
      <c r="L3239" t="b">
        <v>0</v>
      </c>
    </row>
    <row r="3240" spans="1:25" x14ac:dyDescent="0.2">
      <c r="A3240">
        <v>5534</v>
      </c>
      <c r="B3240" t="s">
        <v>6841</v>
      </c>
      <c r="C3240" t="s">
        <v>18</v>
      </c>
      <c r="D3240" t="s">
        <v>6850</v>
      </c>
      <c r="E3240" t="s">
        <v>6851</v>
      </c>
      <c r="F3240" t="s">
        <v>82</v>
      </c>
      <c r="G3240" t="s">
        <v>32</v>
      </c>
      <c r="H3240" t="b">
        <v>0</v>
      </c>
      <c r="I3240" t="b">
        <v>0</v>
      </c>
      <c r="L3240" t="b">
        <v>0</v>
      </c>
    </row>
    <row r="3241" spans="1:25" x14ac:dyDescent="0.2">
      <c r="A3241">
        <v>5535</v>
      </c>
      <c r="B3241" t="s">
        <v>6841</v>
      </c>
      <c r="C3241" t="s">
        <v>18</v>
      </c>
      <c r="D3241" t="s">
        <v>6852</v>
      </c>
      <c r="E3241" t="s">
        <v>6853</v>
      </c>
      <c r="F3241" t="s">
        <v>82</v>
      </c>
      <c r="G3241" t="s">
        <v>6854</v>
      </c>
      <c r="H3241" t="b">
        <v>0</v>
      </c>
      <c r="I3241" t="b">
        <v>0</v>
      </c>
      <c r="L3241" t="b">
        <v>0</v>
      </c>
      <c r="M3241" t="s">
        <v>6855</v>
      </c>
    </row>
    <row r="3243" spans="1:25" x14ac:dyDescent="0.2">
      <c r="A3243" s="2">
        <v>5537</v>
      </c>
      <c r="B3243" s="2" t="s">
        <v>6856</v>
      </c>
      <c r="C3243" s="2" t="s">
        <v>13</v>
      </c>
      <c r="D3243" s="2" t="s">
        <v>6857</v>
      </c>
      <c r="E3243" s="2" t="s">
        <v>6858</v>
      </c>
      <c r="F3243" s="2" t="s">
        <v>670</v>
      </c>
      <c r="G3243" s="2" t="s">
        <v>17</v>
      </c>
      <c r="H3243" s="2"/>
      <c r="I3243" s="2"/>
      <c r="J3243" s="2"/>
      <c r="K3243" s="2"/>
      <c r="L3243" s="2"/>
      <c r="M3243" s="2"/>
      <c r="N3243" s="2"/>
      <c r="O3243" s="2"/>
      <c r="P3243" s="2"/>
      <c r="Q3243" s="2"/>
      <c r="R3243" s="2"/>
      <c r="S3243" s="2"/>
      <c r="T3243" s="2"/>
      <c r="U3243" s="2"/>
      <c r="V3243" s="2"/>
      <c r="W3243" s="2"/>
      <c r="X3243" s="2"/>
      <c r="Y3243" s="2"/>
    </row>
    <row r="3244" spans="1:25" x14ac:dyDescent="0.2">
      <c r="A3244">
        <v>5538</v>
      </c>
      <c r="B3244" t="s">
        <v>6856</v>
      </c>
      <c r="C3244" t="s">
        <v>18</v>
      </c>
      <c r="D3244" t="s">
        <v>6857</v>
      </c>
      <c r="E3244" t="s">
        <v>6858</v>
      </c>
      <c r="F3244" t="s">
        <v>670</v>
      </c>
      <c r="G3244" t="s">
        <v>17</v>
      </c>
      <c r="H3244" t="b">
        <v>1</v>
      </c>
      <c r="K3244" t="b">
        <v>1</v>
      </c>
      <c r="L3244" t="b">
        <v>1</v>
      </c>
      <c r="M3244" t="s">
        <v>6859</v>
      </c>
      <c r="N3244" t="s">
        <v>6860</v>
      </c>
      <c r="O3244" t="s">
        <v>6861</v>
      </c>
    </row>
    <row r="3245" spans="1:25" x14ac:dyDescent="0.2">
      <c r="A3245">
        <v>5539</v>
      </c>
      <c r="B3245" t="s">
        <v>6856</v>
      </c>
      <c r="C3245" t="s">
        <v>18</v>
      </c>
      <c r="D3245" t="s">
        <v>6862</v>
      </c>
      <c r="E3245" t="s">
        <v>2267</v>
      </c>
      <c r="F3245" t="s">
        <v>670</v>
      </c>
      <c r="G3245" t="s">
        <v>17</v>
      </c>
      <c r="H3245" t="b">
        <v>0</v>
      </c>
      <c r="K3245" t="b">
        <v>0</v>
      </c>
      <c r="L3245" t="b">
        <v>0</v>
      </c>
      <c r="M3245" t="s">
        <v>6863</v>
      </c>
    </row>
    <row r="3246" spans="1:25" x14ac:dyDescent="0.2">
      <c r="A3246">
        <v>5540</v>
      </c>
      <c r="B3246" t="s">
        <v>6856</v>
      </c>
      <c r="C3246" t="s">
        <v>18</v>
      </c>
      <c r="D3246" t="s">
        <v>6864</v>
      </c>
      <c r="E3246" t="s">
        <v>6865</v>
      </c>
      <c r="F3246" t="s">
        <v>670</v>
      </c>
      <c r="G3246" t="s">
        <v>17</v>
      </c>
      <c r="H3246" t="b">
        <v>0</v>
      </c>
      <c r="K3246" t="b">
        <v>0</v>
      </c>
      <c r="L3246" t="b">
        <v>0</v>
      </c>
      <c r="M3246" t="s">
        <v>6866</v>
      </c>
    </row>
    <row r="3247" spans="1:25" x14ac:dyDescent="0.2">
      <c r="A3247">
        <v>5541</v>
      </c>
      <c r="B3247" t="s">
        <v>6856</v>
      </c>
      <c r="C3247" t="s">
        <v>18</v>
      </c>
      <c r="D3247" t="s">
        <v>6867</v>
      </c>
      <c r="E3247" t="s">
        <v>6868</v>
      </c>
      <c r="F3247" t="s">
        <v>670</v>
      </c>
      <c r="G3247" t="s">
        <v>17</v>
      </c>
      <c r="H3247" t="b">
        <v>0</v>
      </c>
      <c r="K3247" t="b">
        <v>0</v>
      </c>
      <c r="L3247" t="b">
        <v>0</v>
      </c>
    </row>
    <row r="3248" spans="1:25" x14ac:dyDescent="0.2">
      <c r="A3248">
        <v>5542</v>
      </c>
      <c r="B3248" t="s">
        <v>6856</v>
      </c>
      <c r="C3248" t="s">
        <v>18</v>
      </c>
      <c r="D3248" t="s">
        <v>4546</v>
      </c>
      <c r="E3248" t="s">
        <v>4547</v>
      </c>
      <c r="F3248" t="s">
        <v>670</v>
      </c>
      <c r="G3248" t="s">
        <v>17</v>
      </c>
      <c r="H3248" t="b">
        <v>0</v>
      </c>
      <c r="K3248" t="b">
        <v>0</v>
      </c>
      <c r="L3248" t="b">
        <v>0</v>
      </c>
      <c r="M3248" t="s">
        <v>4548</v>
      </c>
      <c r="N3248" t="s">
        <v>4549</v>
      </c>
    </row>
    <row r="3250" spans="1:25" x14ac:dyDescent="0.2">
      <c r="A3250" s="2">
        <v>5586</v>
      </c>
      <c r="B3250" s="2" t="s">
        <v>6869</v>
      </c>
      <c r="C3250" s="2" t="s">
        <v>13</v>
      </c>
      <c r="D3250" s="2" t="s">
        <v>6870</v>
      </c>
      <c r="E3250" s="2" t="s">
        <v>6871</v>
      </c>
      <c r="F3250" s="2" t="s">
        <v>420</v>
      </c>
      <c r="G3250" s="2" t="s">
        <v>252</v>
      </c>
      <c r="H3250" s="2"/>
      <c r="I3250" s="2"/>
      <c r="J3250" s="2"/>
      <c r="K3250" s="2"/>
      <c r="L3250" s="2"/>
      <c r="M3250" s="2"/>
      <c r="N3250" s="2"/>
      <c r="O3250" s="2"/>
      <c r="P3250" s="2"/>
      <c r="Q3250" s="2"/>
      <c r="R3250" s="2"/>
      <c r="S3250" s="2"/>
      <c r="T3250" s="2"/>
      <c r="U3250" s="2"/>
      <c r="V3250" s="2"/>
      <c r="W3250" s="2"/>
      <c r="X3250" s="2"/>
      <c r="Y3250" s="2"/>
    </row>
    <row r="3251" spans="1:25" x14ac:dyDescent="0.2">
      <c r="A3251">
        <v>5587</v>
      </c>
      <c r="B3251" t="s">
        <v>6869</v>
      </c>
      <c r="C3251" t="s">
        <v>18</v>
      </c>
      <c r="D3251" t="s">
        <v>6870</v>
      </c>
      <c r="E3251" t="s">
        <v>6871</v>
      </c>
      <c r="F3251" t="s">
        <v>420</v>
      </c>
      <c r="G3251" t="s">
        <v>252</v>
      </c>
      <c r="H3251" t="b">
        <v>1</v>
      </c>
      <c r="I3251" t="b">
        <v>1</v>
      </c>
      <c r="L3251" t="b">
        <v>1</v>
      </c>
      <c r="M3251" t="s">
        <v>6872</v>
      </c>
      <c r="N3251" t="s">
        <v>6873</v>
      </c>
    </row>
    <row r="3252" spans="1:25" x14ac:dyDescent="0.2">
      <c r="A3252">
        <v>5588</v>
      </c>
      <c r="B3252" t="s">
        <v>6869</v>
      </c>
      <c r="C3252" t="s">
        <v>18</v>
      </c>
      <c r="D3252" t="s">
        <v>6874</v>
      </c>
      <c r="E3252" t="s">
        <v>5951</v>
      </c>
      <c r="F3252" t="s">
        <v>420</v>
      </c>
      <c r="G3252" t="s">
        <v>252</v>
      </c>
      <c r="H3252" t="b">
        <v>0</v>
      </c>
      <c r="I3252" t="b">
        <v>0</v>
      </c>
      <c r="L3252" t="b">
        <v>0</v>
      </c>
      <c r="M3252" t="s">
        <v>6875</v>
      </c>
      <c r="N3252" t="s">
        <v>6876</v>
      </c>
    </row>
    <row r="3253" spans="1:25" x14ac:dyDescent="0.2">
      <c r="A3253">
        <v>5589</v>
      </c>
      <c r="B3253" t="s">
        <v>6869</v>
      </c>
      <c r="C3253" t="s">
        <v>18</v>
      </c>
      <c r="D3253" t="s">
        <v>4807</v>
      </c>
      <c r="E3253" t="s">
        <v>3035</v>
      </c>
      <c r="F3253" t="s">
        <v>420</v>
      </c>
      <c r="G3253" t="s">
        <v>252</v>
      </c>
      <c r="H3253" t="b">
        <v>0</v>
      </c>
      <c r="I3253" t="b">
        <v>0</v>
      </c>
      <c r="L3253" t="b">
        <v>0</v>
      </c>
      <c r="M3253" t="s">
        <v>4808</v>
      </c>
    </row>
    <row r="3254" spans="1:25" x14ac:dyDescent="0.2">
      <c r="A3254">
        <v>5590</v>
      </c>
      <c r="B3254" t="s">
        <v>6869</v>
      </c>
      <c r="C3254" t="s">
        <v>18</v>
      </c>
      <c r="D3254" t="s">
        <v>4307</v>
      </c>
      <c r="E3254" t="s">
        <v>4308</v>
      </c>
      <c r="F3254" t="s">
        <v>420</v>
      </c>
      <c r="G3254" t="s">
        <v>252</v>
      </c>
      <c r="H3254" t="b">
        <v>0</v>
      </c>
      <c r="I3254" t="b">
        <v>0</v>
      </c>
      <c r="L3254" t="b">
        <v>0</v>
      </c>
      <c r="M3254" t="s">
        <v>4309</v>
      </c>
      <c r="N3254" t="s">
        <v>4310</v>
      </c>
    </row>
    <row r="3255" spans="1:25" x14ac:dyDescent="0.2">
      <c r="A3255">
        <v>5591</v>
      </c>
      <c r="B3255" t="s">
        <v>6869</v>
      </c>
      <c r="C3255" t="s">
        <v>18</v>
      </c>
      <c r="D3255" t="s">
        <v>6877</v>
      </c>
      <c r="E3255" t="s">
        <v>6878</v>
      </c>
      <c r="F3255" t="s">
        <v>420</v>
      </c>
      <c r="G3255" t="s">
        <v>252</v>
      </c>
      <c r="H3255" t="b">
        <v>0</v>
      </c>
      <c r="I3255" t="b">
        <v>0</v>
      </c>
      <c r="L3255" t="b">
        <v>0</v>
      </c>
      <c r="M3255" t="s">
        <v>6879</v>
      </c>
      <c r="N3255" t="s">
        <v>6880</v>
      </c>
    </row>
    <row r="3257" spans="1:25" x14ac:dyDescent="0.2">
      <c r="A3257" s="2">
        <v>5593</v>
      </c>
      <c r="B3257" s="2" t="s">
        <v>6881</v>
      </c>
      <c r="C3257" s="2" t="s">
        <v>13</v>
      </c>
      <c r="D3257" s="2" t="s">
        <v>6882</v>
      </c>
      <c r="E3257" s="2" t="s">
        <v>6883</v>
      </c>
      <c r="F3257" s="2" t="s">
        <v>159</v>
      </c>
      <c r="G3257" s="2" t="s">
        <v>265</v>
      </c>
      <c r="H3257" s="2"/>
      <c r="I3257" s="2"/>
      <c r="J3257" s="2"/>
      <c r="K3257" s="2"/>
      <c r="L3257" s="2"/>
      <c r="M3257" s="2"/>
      <c r="N3257" s="2"/>
      <c r="O3257" s="2"/>
      <c r="P3257" s="2"/>
      <c r="Q3257" s="2"/>
      <c r="R3257" s="2"/>
      <c r="S3257" s="2"/>
      <c r="T3257" s="2"/>
      <c r="U3257" s="2"/>
      <c r="V3257" s="2"/>
      <c r="W3257" s="2"/>
      <c r="X3257" s="2"/>
      <c r="Y3257" s="2"/>
    </row>
    <row r="3258" spans="1:25" x14ac:dyDescent="0.2">
      <c r="A3258">
        <v>5594</v>
      </c>
      <c r="B3258" t="s">
        <v>6881</v>
      </c>
      <c r="C3258" t="s">
        <v>18</v>
      </c>
      <c r="D3258" t="s">
        <v>6882</v>
      </c>
      <c r="E3258" t="s">
        <v>6883</v>
      </c>
      <c r="F3258" t="s">
        <v>1837</v>
      </c>
      <c r="G3258" t="s">
        <v>265</v>
      </c>
      <c r="H3258" t="b">
        <v>1</v>
      </c>
      <c r="I3258" t="b">
        <v>1</v>
      </c>
      <c r="L3258" t="b">
        <v>1</v>
      </c>
      <c r="M3258" t="s">
        <v>6884</v>
      </c>
      <c r="N3258" t="s">
        <v>6885</v>
      </c>
    </row>
    <row r="3259" spans="1:25" x14ac:dyDescent="0.2">
      <c r="A3259">
        <v>5595</v>
      </c>
      <c r="B3259" t="s">
        <v>6881</v>
      </c>
      <c r="C3259" t="s">
        <v>18</v>
      </c>
      <c r="D3259" t="s">
        <v>6886</v>
      </c>
      <c r="E3259" t="s">
        <v>6887</v>
      </c>
      <c r="F3259" t="s">
        <v>205</v>
      </c>
      <c r="G3259" t="s">
        <v>265</v>
      </c>
      <c r="H3259" t="b">
        <v>0</v>
      </c>
      <c r="I3259" t="b">
        <v>0</v>
      </c>
      <c r="L3259" t="b">
        <v>0</v>
      </c>
    </row>
    <row r="3260" spans="1:25" x14ac:dyDescent="0.2">
      <c r="A3260">
        <v>5596</v>
      </c>
      <c r="B3260" t="s">
        <v>6881</v>
      </c>
      <c r="C3260" t="s">
        <v>18</v>
      </c>
      <c r="D3260" t="s">
        <v>704</v>
      </c>
      <c r="E3260" t="s">
        <v>705</v>
      </c>
      <c r="F3260" t="s">
        <v>159</v>
      </c>
      <c r="G3260" t="s">
        <v>265</v>
      </c>
      <c r="H3260" t="b">
        <v>0</v>
      </c>
      <c r="I3260" t="b">
        <v>0</v>
      </c>
      <c r="L3260" t="b">
        <v>0</v>
      </c>
      <c r="M3260" t="s">
        <v>706</v>
      </c>
      <c r="N3260" t="s">
        <v>707</v>
      </c>
    </row>
    <row r="3261" spans="1:25" x14ac:dyDescent="0.2">
      <c r="A3261">
        <v>5597</v>
      </c>
      <c r="B3261" t="s">
        <v>6881</v>
      </c>
      <c r="C3261" t="s">
        <v>18</v>
      </c>
      <c r="D3261" t="s">
        <v>6888</v>
      </c>
      <c r="E3261" t="s">
        <v>6889</v>
      </c>
      <c r="F3261" t="s">
        <v>420</v>
      </c>
      <c r="G3261" t="s">
        <v>265</v>
      </c>
      <c r="H3261" t="b">
        <v>0</v>
      </c>
      <c r="I3261" t="b">
        <v>0</v>
      </c>
      <c r="L3261" t="b">
        <v>0</v>
      </c>
      <c r="M3261" t="s">
        <v>6890</v>
      </c>
      <c r="N3261" t="s">
        <v>6891</v>
      </c>
    </row>
    <row r="3262" spans="1:25" x14ac:dyDescent="0.2">
      <c r="A3262">
        <v>5598</v>
      </c>
      <c r="B3262" t="s">
        <v>6881</v>
      </c>
      <c r="C3262" t="s">
        <v>18</v>
      </c>
      <c r="D3262" t="s">
        <v>6892</v>
      </c>
      <c r="E3262" t="s">
        <v>6893</v>
      </c>
      <c r="F3262" t="s">
        <v>420</v>
      </c>
      <c r="G3262" t="s">
        <v>265</v>
      </c>
      <c r="H3262" t="b">
        <v>0</v>
      </c>
      <c r="I3262" t="b">
        <v>0</v>
      </c>
      <c r="L3262" t="b">
        <v>0</v>
      </c>
    </row>
    <row r="3264" spans="1:25" x14ac:dyDescent="0.2">
      <c r="A3264" s="2">
        <v>56</v>
      </c>
      <c r="B3264" s="2" t="s">
        <v>6894</v>
      </c>
      <c r="C3264" s="2" t="s">
        <v>13</v>
      </c>
      <c r="D3264" s="2" t="s">
        <v>6895</v>
      </c>
      <c r="E3264" s="2" t="s">
        <v>6896</v>
      </c>
      <c r="F3264" s="2" t="s">
        <v>2122</v>
      </c>
      <c r="G3264" s="2" t="s">
        <v>345</v>
      </c>
      <c r="H3264" s="2"/>
      <c r="I3264" s="2"/>
      <c r="J3264" s="2"/>
      <c r="K3264" s="2"/>
      <c r="L3264" s="2"/>
      <c r="M3264" s="2"/>
      <c r="N3264" s="2"/>
      <c r="O3264" s="2"/>
      <c r="P3264" s="2"/>
      <c r="Q3264" s="2"/>
      <c r="R3264" s="2"/>
      <c r="S3264" s="2"/>
      <c r="T3264" s="2"/>
      <c r="U3264" s="2"/>
      <c r="V3264" s="2"/>
      <c r="W3264" s="2"/>
      <c r="X3264" s="2"/>
      <c r="Y3264" s="2"/>
    </row>
    <row r="3265" spans="1:25" x14ac:dyDescent="0.2">
      <c r="A3265">
        <v>57</v>
      </c>
      <c r="B3265" t="s">
        <v>6894</v>
      </c>
      <c r="C3265" t="s">
        <v>18</v>
      </c>
      <c r="D3265" t="s">
        <v>6895</v>
      </c>
      <c r="E3265" t="s">
        <v>6896</v>
      </c>
      <c r="F3265" t="s">
        <v>2122</v>
      </c>
      <c r="G3265" t="s">
        <v>345</v>
      </c>
      <c r="H3265" t="b">
        <v>1</v>
      </c>
      <c r="I3265" t="b">
        <v>1</v>
      </c>
      <c r="L3265" t="b">
        <v>1</v>
      </c>
      <c r="M3265" t="s">
        <v>6897</v>
      </c>
      <c r="N3265" t="s">
        <v>6898</v>
      </c>
      <c r="O3265" t="s">
        <v>6899</v>
      </c>
      <c r="P3265" t="s">
        <v>6900</v>
      </c>
      <c r="Q3265" t="s">
        <v>6901</v>
      </c>
    </row>
    <row r="3266" spans="1:25" x14ac:dyDescent="0.2">
      <c r="A3266">
        <v>58</v>
      </c>
      <c r="B3266" t="s">
        <v>6894</v>
      </c>
      <c r="C3266" t="s">
        <v>18</v>
      </c>
      <c r="D3266" t="s">
        <v>1056</v>
      </c>
      <c r="E3266" t="s">
        <v>1057</v>
      </c>
      <c r="F3266" t="s">
        <v>159</v>
      </c>
      <c r="G3266" t="s">
        <v>201</v>
      </c>
      <c r="H3266" t="b">
        <v>0</v>
      </c>
      <c r="I3266" t="b">
        <v>0</v>
      </c>
      <c r="L3266" t="b">
        <v>0</v>
      </c>
      <c r="M3266" t="s">
        <v>1058</v>
      </c>
    </row>
    <row r="3267" spans="1:25" x14ac:dyDescent="0.2">
      <c r="A3267">
        <v>59</v>
      </c>
      <c r="B3267" t="s">
        <v>6894</v>
      </c>
      <c r="C3267" t="s">
        <v>18</v>
      </c>
      <c r="D3267" t="s">
        <v>3164</v>
      </c>
      <c r="E3267" t="s">
        <v>3165</v>
      </c>
      <c r="F3267" t="s">
        <v>87</v>
      </c>
      <c r="G3267" t="s">
        <v>2278</v>
      </c>
      <c r="H3267" t="b">
        <v>0</v>
      </c>
      <c r="I3267" t="b">
        <v>0</v>
      </c>
      <c r="L3267" t="b">
        <v>0</v>
      </c>
    </row>
    <row r="3268" spans="1:25" x14ac:dyDescent="0.2">
      <c r="A3268">
        <v>60</v>
      </c>
      <c r="B3268" t="s">
        <v>6894</v>
      </c>
      <c r="C3268" t="s">
        <v>18</v>
      </c>
      <c r="D3268" t="s">
        <v>3158</v>
      </c>
      <c r="E3268" t="s">
        <v>3160</v>
      </c>
      <c r="F3268" t="s">
        <v>420</v>
      </c>
      <c r="G3268" t="s">
        <v>2278</v>
      </c>
      <c r="H3268" t="b">
        <v>0</v>
      </c>
      <c r="I3268" t="b">
        <v>0</v>
      </c>
      <c r="L3268" t="b">
        <v>0</v>
      </c>
      <c r="M3268" t="s">
        <v>3161</v>
      </c>
    </row>
    <row r="3269" spans="1:25" x14ac:dyDescent="0.2">
      <c r="A3269">
        <v>61</v>
      </c>
      <c r="B3269" t="s">
        <v>6894</v>
      </c>
      <c r="C3269" t="s">
        <v>18</v>
      </c>
      <c r="D3269" t="s">
        <v>3168</v>
      </c>
      <c r="E3269" t="s">
        <v>3169</v>
      </c>
      <c r="F3269" t="s">
        <v>420</v>
      </c>
      <c r="G3269" t="s">
        <v>2278</v>
      </c>
      <c r="H3269" t="b">
        <v>0</v>
      </c>
      <c r="I3269" t="b">
        <v>0</v>
      </c>
      <c r="L3269" t="b">
        <v>0</v>
      </c>
    </row>
    <row r="3271" spans="1:25" x14ac:dyDescent="0.2">
      <c r="A3271" s="2">
        <v>5600</v>
      </c>
      <c r="B3271" s="2" t="s">
        <v>6902</v>
      </c>
      <c r="C3271" s="2" t="s">
        <v>13</v>
      </c>
      <c r="D3271" s="2" t="s">
        <v>6903</v>
      </c>
      <c r="E3271" s="2" t="s">
        <v>6904</v>
      </c>
      <c r="F3271" s="2" t="s">
        <v>159</v>
      </c>
      <c r="G3271" s="2" t="s">
        <v>265</v>
      </c>
      <c r="H3271" s="2"/>
      <c r="I3271" s="2"/>
      <c r="J3271" s="2"/>
      <c r="K3271" s="2"/>
      <c r="L3271" s="2"/>
      <c r="M3271" s="2"/>
      <c r="N3271" s="2"/>
      <c r="O3271" s="2"/>
      <c r="P3271" s="2"/>
      <c r="Q3271" s="2"/>
      <c r="R3271" s="2"/>
      <c r="S3271" s="2"/>
      <c r="T3271" s="2"/>
      <c r="U3271" s="2"/>
      <c r="V3271" s="2"/>
      <c r="W3271" s="2"/>
      <c r="X3271" s="2"/>
      <c r="Y3271" s="2"/>
    </row>
    <row r="3272" spans="1:25" x14ac:dyDescent="0.2">
      <c r="A3272">
        <v>5601</v>
      </c>
      <c r="B3272" t="s">
        <v>6902</v>
      </c>
      <c r="C3272" t="s">
        <v>18</v>
      </c>
      <c r="D3272" t="s">
        <v>3096</v>
      </c>
      <c r="E3272" t="s">
        <v>3097</v>
      </c>
      <c r="F3272" t="s">
        <v>159</v>
      </c>
      <c r="G3272" t="s">
        <v>265</v>
      </c>
      <c r="H3272" t="b">
        <v>1</v>
      </c>
      <c r="I3272" t="b">
        <v>1</v>
      </c>
      <c r="L3272" t="b">
        <v>1</v>
      </c>
      <c r="M3272" t="s">
        <v>3098</v>
      </c>
      <c r="N3272" t="s">
        <v>3099</v>
      </c>
    </row>
    <row r="3273" spans="1:25" x14ac:dyDescent="0.2">
      <c r="A3273">
        <v>5602</v>
      </c>
      <c r="B3273" t="s">
        <v>6902</v>
      </c>
      <c r="C3273" t="s">
        <v>18</v>
      </c>
      <c r="D3273" t="s">
        <v>3105</v>
      </c>
      <c r="E3273" t="s">
        <v>3106</v>
      </c>
      <c r="F3273" t="s">
        <v>159</v>
      </c>
      <c r="G3273" t="s">
        <v>864</v>
      </c>
      <c r="H3273" t="b">
        <v>0</v>
      </c>
      <c r="I3273" t="b">
        <v>0</v>
      </c>
      <c r="L3273" t="b">
        <v>0</v>
      </c>
      <c r="M3273" t="s">
        <v>3107</v>
      </c>
      <c r="N3273" t="s">
        <v>3108</v>
      </c>
    </row>
    <row r="3274" spans="1:25" x14ac:dyDescent="0.2">
      <c r="A3274">
        <v>5603</v>
      </c>
      <c r="B3274" t="s">
        <v>6902</v>
      </c>
      <c r="C3274" t="s">
        <v>18</v>
      </c>
      <c r="D3274" t="s">
        <v>6905</v>
      </c>
      <c r="E3274" t="s">
        <v>3106</v>
      </c>
      <c r="F3274" t="s">
        <v>82</v>
      </c>
      <c r="G3274" t="s">
        <v>864</v>
      </c>
      <c r="H3274" t="b">
        <v>0</v>
      </c>
      <c r="I3274" t="b">
        <v>0</v>
      </c>
      <c r="L3274" t="b">
        <v>0</v>
      </c>
    </row>
    <row r="3275" spans="1:25" x14ac:dyDescent="0.2">
      <c r="A3275">
        <v>5604</v>
      </c>
      <c r="B3275" t="s">
        <v>6902</v>
      </c>
      <c r="C3275" t="s">
        <v>18</v>
      </c>
      <c r="D3275" t="s">
        <v>3100</v>
      </c>
      <c r="E3275" t="s">
        <v>3101</v>
      </c>
      <c r="F3275" t="s">
        <v>159</v>
      </c>
      <c r="G3275" t="s">
        <v>864</v>
      </c>
      <c r="H3275" t="b">
        <v>0</v>
      </c>
      <c r="I3275" t="b">
        <v>0</v>
      </c>
      <c r="L3275" t="b">
        <v>0</v>
      </c>
      <c r="M3275" t="s">
        <v>3102</v>
      </c>
    </row>
    <row r="3276" spans="1:25" x14ac:dyDescent="0.2">
      <c r="A3276">
        <v>5605</v>
      </c>
      <c r="B3276" t="s">
        <v>6902</v>
      </c>
      <c r="C3276" t="s">
        <v>18</v>
      </c>
      <c r="D3276" t="s">
        <v>3103</v>
      </c>
      <c r="E3276" t="s">
        <v>3104</v>
      </c>
      <c r="F3276" t="s">
        <v>82</v>
      </c>
      <c r="G3276" t="s">
        <v>265</v>
      </c>
      <c r="H3276" t="b">
        <v>0</v>
      </c>
      <c r="I3276" t="b">
        <v>0</v>
      </c>
      <c r="L3276" t="b">
        <v>0</v>
      </c>
    </row>
    <row r="3278" spans="1:25" x14ac:dyDescent="0.2">
      <c r="A3278" s="2">
        <v>5607</v>
      </c>
      <c r="B3278" s="2" t="s">
        <v>6906</v>
      </c>
      <c r="C3278" s="2" t="s">
        <v>13</v>
      </c>
      <c r="D3278" s="2" t="s">
        <v>3100</v>
      </c>
      <c r="E3278" s="2" t="s">
        <v>6907</v>
      </c>
      <c r="F3278" s="2" t="s">
        <v>159</v>
      </c>
      <c r="G3278" s="2" t="s">
        <v>864</v>
      </c>
      <c r="H3278" s="2"/>
      <c r="I3278" s="2"/>
      <c r="J3278" s="2"/>
      <c r="K3278" s="2"/>
      <c r="L3278" s="2"/>
      <c r="M3278" s="2"/>
      <c r="N3278" s="2"/>
      <c r="O3278" s="2"/>
      <c r="P3278" s="2"/>
      <c r="Q3278" s="2"/>
      <c r="R3278" s="2"/>
      <c r="S3278" s="2"/>
      <c r="T3278" s="2"/>
      <c r="U3278" s="2"/>
      <c r="V3278" s="2"/>
      <c r="W3278" s="2"/>
      <c r="X3278" s="2"/>
      <c r="Y3278" s="2"/>
    </row>
    <row r="3279" spans="1:25" x14ac:dyDescent="0.2">
      <c r="A3279">
        <v>5608</v>
      </c>
      <c r="B3279" t="s">
        <v>6906</v>
      </c>
      <c r="C3279" t="s">
        <v>18</v>
      </c>
      <c r="D3279" t="s">
        <v>3100</v>
      </c>
      <c r="E3279" t="s">
        <v>3101</v>
      </c>
      <c r="F3279" t="s">
        <v>159</v>
      </c>
      <c r="G3279" t="s">
        <v>864</v>
      </c>
      <c r="H3279" t="b">
        <v>1</v>
      </c>
      <c r="K3279" t="b">
        <v>1</v>
      </c>
      <c r="L3279" t="b">
        <v>1</v>
      </c>
      <c r="M3279" t="s">
        <v>3102</v>
      </c>
    </row>
    <row r="3280" spans="1:25" x14ac:dyDescent="0.2">
      <c r="A3280">
        <v>5609</v>
      </c>
      <c r="B3280" t="s">
        <v>6906</v>
      </c>
      <c r="C3280" t="s">
        <v>18</v>
      </c>
      <c r="D3280" t="s">
        <v>3103</v>
      </c>
      <c r="E3280" t="s">
        <v>3104</v>
      </c>
      <c r="F3280" t="s">
        <v>82</v>
      </c>
      <c r="G3280" t="s">
        <v>265</v>
      </c>
      <c r="H3280" t="b">
        <v>1</v>
      </c>
      <c r="K3280" t="b">
        <v>1</v>
      </c>
      <c r="L3280" t="b">
        <v>1</v>
      </c>
    </row>
    <row r="3281" spans="1:25" x14ac:dyDescent="0.2">
      <c r="A3281">
        <v>5610</v>
      </c>
      <c r="B3281" t="s">
        <v>6906</v>
      </c>
      <c r="C3281" t="s">
        <v>18</v>
      </c>
      <c r="D3281" t="s">
        <v>6905</v>
      </c>
      <c r="E3281" t="s">
        <v>3106</v>
      </c>
      <c r="F3281" t="s">
        <v>82</v>
      </c>
      <c r="G3281" t="s">
        <v>864</v>
      </c>
      <c r="H3281" t="b">
        <v>1</v>
      </c>
      <c r="K3281" t="b">
        <v>0</v>
      </c>
      <c r="L3281" t="b">
        <v>1</v>
      </c>
    </row>
    <row r="3282" spans="1:25" x14ac:dyDescent="0.2">
      <c r="A3282">
        <v>5611</v>
      </c>
      <c r="B3282" t="s">
        <v>6906</v>
      </c>
      <c r="C3282" t="s">
        <v>18</v>
      </c>
      <c r="D3282" t="s">
        <v>3105</v>
      </c>
      <c r="E3282" t="s">
        <v>3106</v>
      </c>
      <c r="F3282" t="s">
        <v>159</v>
      </c>
      <c r="G3282" t="s">
        <v>864</v>
      </c>
      <c r="H3282" t="b">
        <v>0</v>
      </c>
      <c r="K3282" t="b">
        <v>0</v>
      </c>
      <c r="L3282" t="b">
        <v>0</v>
      </c>
      <c r="M3282" t="s">
        <v>3107</v>
      </c>
      <c r="N3282" t="s">
        <v>3108</v>
      </c>
    </row>
    <row r="3283" spans="1:25" x14ac:dyDescent="0.2">
      <c r="A3283">
        <v>5612</v>
      </c>
      <c r="B3283" t="s">
        <v>6906</v>
      </c>
      <c r="C3283" t="s">
        <v>18</v>
      </c>
      <c r="D3283" t="s">
        <v>3096</v>
      </c>
      <c r="E3283" t="s">
        <v>3097</v>
      </c>
      <c r="F3283" t="s">
        <v>159</v>
      </c>
      <c r="G3283" t="s">
        <v>265</v>
      </c>
      <c r="H3283" t="b">
        <v>0</v>
      </c>
      <c r="K3283" t="b">
        <v>0</v>
      </c>
      <c r="L3283" t="b">
        <v>0</v>
      </c>
      <c r="M3283" t="s">
        <v>3098</v>
      </c>
      <c r="N3283" t="s">
        <v>3099</v>
      </c>
    </row>
    <row r="3285" spans="1:25" x14ac:dyDescent="0.2">
      <c r="A3285" s="2">
        <v>5614</v>
      </c>
      <c r="B3285" s="2" t="s">
        <v>6908</v>
      </c>
      <c r="C3285" s="2" t="s">
        <v>13</v>
      </c>
      <c r="D3285" s="2" t="s">
        <v>6909</v>
      </c>
      <c r="E3285" s="2" t="s">
        <v>6910</v>
      </c>
      <c r="F3285" s="2" t="s">
        <v>2924</v>
      </c>
      <c r="G3285" s="2" t="s">
        <v>134</v>
      </c>
      <c r="H3285" s="2"/>
      <c r="I3285" s="2"/>
      <c r="J3285" s="2"/>
      <c r="K3285" s="2"/>
      <c r="L3285" s="2"/>
      <c r="M3285" s="2"/>
      <c r="N3285" s="2"/>
      <c r="O3285" s="2"/>
      <c r="P3285" s="2"/>
      <c r="Q3285" s="2"/>
      <c r="R3285" s="2"/>
      <c r="S3285" s="2"/>
      <c r="T3285" s="2"/>
      <c r="U3285" s="2"/>
      <c r="V3285" s="2"/>
      <c r="W3285" s="2"/>
      <c r="X3285" s="2"/>
      <c r="Y3285" s="2"/>
    </row>
    <row r="3286" spans="1:25" x14ac:dyDescent="0.2">
      <c r="A3286">
        <v>5615</v>
      </c>
      <c r="B3286" t="s">
        <v>6908</v>
      </c>
      <c r="C3286" t="s">
        <v>18</v>
      </c>
      <c r="D3286" t="s">
        <v>5239</v>
      </c>
      <c r="E3286" t="s">
        <v>643</v>
      </c>
      <c r="F3286" t="s">
        <v>670</v>
      </c>
      <c r="G3286" t="s">
        <v>17</v>
      </c>
      <c r="H3286" t="b">
        <v>0</v>
      </c>
      <c r="K3286" t="b">
        <v>0</v>
      </c>
      <c r="L3286" t="b">
        <v>0</v>
      </c>
      <c r="M3286" t="s">
        <v>5240</v>
      </c>
      <c r="N3286" t="s">
        <v>5241</v>
      </c>
    </row>
    <row r="3287" spans="1:25" x14ac:dyDescent="0.2">
      <c r="A3287">
        <v>5616</v>
      </c>
      <c r="B3287" t="s">
        <v>6908</v>
      </c>
      <c r="C3287" t="s">
        <v>18</v>
      </c>
      <c r="D3287" t="s">
        <v>6911</v>
      </c>
      <c r="E3287" t="s">
        <v>2424</v>
      </c>
      <c r="F3287" t="s">
        <v>45</v>
      </c>
      <c r="G3287" t="s">
        <v>17</v>
      </c>
      <c r="H3287" t="b">
        <v>0</v>
      </c>
      <c r="K3287" t="b">
        <v>0</v>
      </c>
      <c r="L3287" t="b">
        <v>0</v>
      </c>
      <c r="M3287" t="s">
        <v>6912</v>
      </c>
    </row>
    <row r="3288" spans="1:25" x14ac:dyDescent="0.2">
      <c r="A3288">
        <v>5617</v>
      </c>
      <c r="B3288" t="s">
        <v>6908</v>
      </c>
      <c r="C3288" t="s">
        <v>18</v>
      </c>
      <c r="D3288" t="s">
        <v>6913</v>
      </c>
      <c r="E3288" t="s">
        <v>6914</v>
      </c>
      <c r="F3288" t="s">
        <v>82</v>
      </c>
      <c r="G3288" t="s">
        <v>17</v>
      </c>
      <c r="H3288" t="b">
        <v>0</v>
      </c>
      <c r="K3288" t="b">
        <v>0</v>
      </c>
      <c r="L3288" t="b">
        <v>0</v>
      </c>
      <c r="M3288" t="s">
        <v>6915</v>
      </c>
      <c r="N3288" t="s">
        <v>745</v>
      </c>
      <c r="O3288" t="s">
        <v>6916</v>
      </c>
    </row>
    <row r="3289" spans="1:25" x14ac:dyDescent="0.2">
      <c r="A3289">
        <v>5618</v>
      </c>
      <c r="B3289" t="s">
        <v>6908</v>
      </c>
      <c r="C3289" t="s">
        <v>18</v>
      </c>
      <c r="D3289" t="s">
        <v>6917</v>
      </c>
      <c r="E3289" t="s">
        <v>6918</v>
      </c>
      <c r="F3289" t="s">
        <v>45</v>
      </c>
      <c r="G3289" t="s">
        <v>17</v>
      </c>
      <c r="H3289" t="b">
        <v>0</v>
      </c>
      <c r="K3289" t="b">
        <v>0</v>
      </c>
      <c r="L3289" t="b">
        <v>0</v>
      </c>
      <c r="M3289" t="s">
        <v>6919</v>
      </c>
      <c r="N3289" t="s">
        <v>6920</v>
      </c>
      <c r="O3289" t="s">
        <v>6921</v>
      </c>
      <c r="P3289" t="s">
        <v>6922</v>
      </c>
    </row>
    <row r="3290" spans="1:25" x14ac:dyDescent="0.2">
      <c r="A3290">
        <v>5619</v>
      </c>
      <c r="B3290" t="s">
        <v>6908</v>
      </c>
      <c r="C3290" t="s">
        <v>18</v>
      </c>
      <c r="D3290" t="s">
        <v>3851</v>
      </c>
      <c r="E3290" t="s">
        <v>3852</v>
      </c>
      <c r="F3290" t="s">
        <v>670</v>
      </c>
      <c r="G3290" t="s">
        <v>17</v>
      </c>
      <c r="H3290" t="b">
        <v>0</v>
      </c>
      <c r="K3290" t="b">
        <v>0</v>
      </c>
      <c r="L3290" t="b">
        <v>0</v>
      </c>
      <c r="M3290" t="s">
        <v>3853</v>
      </c>
    </row>
    <row r="3292" spans="1:25" x14ac:dyDescent="0.2">
      <c r="A3292" s="2">
        <v>5621</v>
      </c>
      <c r="B3292" s="2" t="s">
        <v>6923</v>
      </c>
      <c r="C3292" s="2" t="s">
        <v>13</v>
      </c>
      <c r="D3292" s="2" t="s">
        <v>6505</v>
      </c>
      <c r="E3292" s="2" t="s">
        <v>6924</v>
      </c>
      <c r="F3292" s="2" t="s">
        <v>159</v>
      </c>
      <c r="G3292" s="2" t="s">
        <v>201</v>
      </c>
      <c r="H3292" s="2"/>
      <c r="I3292" s="2"/>
      <c r="J3292" s="2"/>
      <c r="K3292" s="2"/>
      <c r="L3292" s="2"/>
      <c r="M3292" s="2"/>
      <c r="N3292" s="2"/>
      <c r="O3292" s="2"/>
      <c r="P3292" s="2"/>
      <c r="Q3292" s="2"/>
      <c r="R3292" s="2"/>
      <c r="S3292" s="2"/>
      <c r="T3292" s="2"/>
      <c r="U3292" s="2"/>
      <c r="V3292" s="2"/>
      <c r="W3292" s="2"/>
      <c r="X3292" s="2"/>
      <c r="Y3292" s="2"/>
    </row>
    <row r="3293" spans="1:25" x14ac:dyDescent="0.2">
      <c r="A3293">
        <v>5622</v>
      </c>
      <c r="B3293" t="s">
        <v>6923</v>
      </c>
      <c r="C3293" t="s">
        <v>18</v>
      </c>
      <c r="D3293" t="s">
        <v>6505</v>
      </c>
      <c r="E3293" t="s">
        <v>6506</v>
      </c>
      <c r="F3293" t="s">
        <v>1837</v>
      </c>
      <c r="G3293" t="s">
        <v>201</v>
      </c>
      <c r="H3293" t="b">
        <v>1</v>
      </c>
      <c r="I3293" t="b">
        <v>1</v>
      </c>
      <c r="L3293" t="b">
        <v>1</v>
      </c>
      <c r="M3293" t="s">
        <v>6507</v>
      </c>
      <c r="N3293" t="s">
        <v>745</v>
      </c>
    </row>
    <row r="3294" spans="1:25" x14ac:dyDescent="0.2">
      <c r="A3294">
        <v>5623</v>
      </c>
      <c r="B3294" t="s">
        <v>6923</v>
      </c>
      <c r="C3294" t="s">
        <v>18</v>
      </c>
      <c r="D3294" t="s">
        <v>6925</v>
      </c>
      <c r="E3294" t="s">
        <v>5404</v>
      </c>
      <c r="F3294" t="s">
        <v>159</v>
      </c>
      <c r="G3294" t="s">
        <v>201</v>
      </c>
      <c r="H3294" t="b">
        <v>0</v>
      </c>
      <c r="I3294" t="b">
        <v>0</v>
      </c>
      <c r="L3294" t="b">
        <v>0</v>
      </c>
      <c r="M3294" t="s">
        <v>6926</v>
      </c>
    </row>
    <row r="3295" spans="1:25" x14ac:dyDescent="0.2">
      <c r="A3295">
        <v>5624</v>
      </c>
      <c r="B3295" t="s">
        <v>6923</v>
      </c>
      <c r="C3295" t="s">
        <v>18</v>
      </c>
      <c r="D3295" t="s">
        <v>6927</v>
      </c>
      <c r="E3295" t="s">
        <v>6928</v>
      </c>
      <c r="F3295" t="s">
        <v>82</v>
      </c>
      <c r="G3295" t="s">
        <v>1114</v>
      </c>
      <c r="H3295" t="b">
        <v>0</v>
      </c>
      <c r="I3295" t="b">
        <v>0</v>
      </c>
      <c r="L3295" t="b">
        <v>0</v>
      </c>
      <c r="M3295" t="s">
        <v>6929</v>
      </c>
      <c r="N3295" t="s">
        <v>6930</v>
      </c>
    </row>
    <row r="3296" spans="1:25" x14ac:dyDescent="0.2">
      <c r="A3296">
        <v>5625</v>
      </c>
      <c r="B3296" t="s">
        <v>6923</v>
      </c>
      <c r="C3296" t="s">
        <v>18</v>
      </c>
      <c r="D3296" t="s">
        <v>6473</v>
      </c>
      <c r="E3296" t="s">
        <v>2210</v>
      </c>
      <c r="F3296" t="s">
        <v>159</v>
      </c>
      <c r="G3296" t="s">
        <v>201</v>
      </c>
      <c r="H3296" t="b">
        <v>0</v>
      </c>
      <c r="I3296" t="b">
        <v>0</v>
      </c>
      <c r="L3296" t="b">
        <v>0</v>
      </c>
      <c r="M3296" t="s">
        <v>6474</v>
      </c>
      <c r="N3296" t="s">
        <v>6475</v>
      </c>
    </row>
    <row r="3297" spans="1:25" x14ac:dyDescent="0.2">
      <c r="A3297">
        <v>5626</v>
      </c>
      <c r="B3297" t="s">
        <v>6923</v>
      </c>
      <c r="C3297" t="s">
        <v>18</v>
      </c>
      <c r="D3297" t="s">
        <v>6931</v>
      </c>
      <c r="E3297" t="s">
        <v>6932</v>
      </c>
      <c r="F3297" t="s">
        <v>78</v>
      </c>
      <c r="G3297" t="s">
        <v>1114</v>
      </c>
      <c r="H3297" t="b">
        <v>0</v>
      </c>
      <c r="I3297" t="b">
        <v>0</v>
      </c>
      <c r="L3297" t="b">
        <v>0</v>
      </c>
    </row>
    <row r="3299" spans="1:25" x14ac:dyDescent="0.2">
      <c r="A3299" s="2">
        <v>5635</v>
      </c>
      <c r="B3299" s="2" t="s">
        <v>6933</v>
      </c>
      <c r="C3299" s="2" t="s">
        <v>13</v>
      </c>
      <c r="D3299" s="2" t="s">
        <v>6934</v>
      </c>
      <c r="E3299" s="2" t="s">
        <v>6935</v>
      </c>
      <c r="F3299" s="2" t="s">
        <v>159</v>
      </c>
      <c r="G3299" s="2" t="s">
        <v>265</v>
      </c>
      <c r="H3299" s="2"/>
      <c r="I3299" s="2"/>
      <c r="J3299" s="2"/>
      <c r="K3299" s="2"/>
      <c r="L3299" s="2"/>
      <c r="M3299" s="2"/>
      <c r="N3299" s="2"/>
      <c r="O3299" s="2"/>
      <c r="P3299" s="2"/>
      <c r="Q3299" s="2"/>
      <c r="R3299" s="2"/>
      <c r="S3299" s="2"/>
      <c r="T3299" s="2"/>
      <c r="U3299" s="2"/>
      <c r="V3299" s="2"/>
      <c r="W3299" s="2"/>
      <c r="X3299" s="2"/>
      <c r="Y3299" s="2"/>
    </row>
    <row r="3300" spans="1:25" x14ac:dyDescent="0.2">
      <c r="A3300">
        <v>5636</v>
      </c>
      <c r="B3300" t="s">
        <v>6933</v>
      </c>
      <c r="C3300" t="s">
        <v>18</v>
      </c>
      <c r="D3300" t="s">
        <v>6934</v>
      </c>
      <c r="E3300" t="s">
        <v>6935</v>
      </c>
      <c r="F3300" t="s">
        <v>1837</v>
      </c>
      <c r="G3300" t="s">
        <v>265</v>
      </c>
      <c r="H3300" t="b">
        <v>1</v>
      </c>
      <c r="K3300" t="b">
        <v>1</v>
      </c>
      <c r="L3300" t="b">
        <v>1</v>
      </c>
      <c r="M3300" t="s">
        <v>6936</v>
      </c>
      <c r="N3300" t="s">
        <v>6937</v>
      </c>
      <c r="O3300" t="s">
        <v>6938</v>
      </c>
    </row>
    <row r="3301" spans="1:25" x14ac:dyDescent="0.2">
      <c r="A3301">
        <v>5637</v>
      </c>
      <c r="B3301" t="s">
        <v>6933</v>
      </c>
      <c r="C3301" t="s">
        <v>18</v>
      </c>
      <c r="D3301" t="s">
        <v>6939</v>
      </c>
      <c r="E3301" t="s">
        <v>6940</v>
      </c>
      <c r="F3301" t="s">
        <v>82</v>
      </c>
      <c r="G3301" t="s">
        <v>24</v>
      </c>
      <c r="H3301" t="b">
        <v>0</v>
      </c>
      <c r="K3301" t="b">
        <v>0</v>
      </c>
      <c r="L3301" t="b">
        <v>0</v>
      </c>
      <c r="M3301" t="s">
        <v>6941</v>
      </c>
      <c r="N3301" t="s">
        <v>6942</v>
      </c>
    </row>
    <row r="3302" spans="1:25" x14ac:dyDescent="0.2">
      <c r="A3302">
        <v>5638</v>
      </c>
      <c r="B3302" t="s">
        <v>6933</v>
      </c>
      <c r="C3302" t="s">
        <v>18</v>
      </c>
      <c r="D3302" t="s">
        <v>6943</v>
      </c>
      <c r="E3302" t="s">
        <v>3106</v>
      </c>
      <c r="F3302" t="s">
        <v>200</v>
      </c>
      <c r="G3302" t="s">
        <v>88</v>
      </c>
      <c r="H3302" t="b">
        <v>0</v>
      </c>
      <c r="K3302" t="b">
        <v>0</v>
      </c>
      <c r="L3302" t="b">
        <v>0</v>
      </c>
      <c r="M3302" t="s">
        <v>6944</v>
      </c>
      <c r="N3302" t="s">
        <v>6945</v>
      </c>
    </row>
    <row r="3303" spans="1:25" x14ac:dyDescent="0.2">
      <c r="A3303">
        <v>5639</v>
      </c>
      <c r="B3303" t="s">
        <v>6933</v>
      </c>
      <c r="C3303" t="s">
        <v>18</v>
      </c>
      <c r="D3303" t="s">
        <v>6946</v>
      </c>
      <c r="E3303" t="s">
        <v>6947</v>
      </c>
      <c r="F3303" t="s">
        <v>6948</v>
      </c>
      <c r="G3303" t="s">
        <v>2326</v>
      </c>
      <c r="H3303" t="b">
        <v>0</v>
      </c>
      <c r="K3303" t="b">
        <v>0</v>
      </c>
      <c r="L3303" t="b">
        <v>0</v>
      </c>
      <c r="M3303" t="s">
        <v>6949</v>
      </c>
      <c r="N3303" t="s">
        <v>745</v>
      </c>
    </row>
    <row r="3304" spans="1:25" x14ac:dyDescent="0.2">
      <c r="A3304">
        <v>5640</v>
      </c>
      <c r="B3304" t="s">
        <v>6933</v>
      </c>
      <c r="C3304" t="s">
        <v>18</v>
      </c>
      <c r="D3304" t="s">
        <v>6950</v>
      </c>
      <c r="E3304" t="s">
        <v>6951</v>
      </c>
      <c r="F3304" t="s">
        <v>159</v>
      </c>
      <c r="G3304" t="s">
        <v>366</v>
      </c>
      <c r="H3304" t="b">
        <v>0</v>
      </c>
      <c r="K3304" t="b">
        <v>0</v>
      </c>
      <c r="L3304" t="b">
        <v>0</v>
      </c>
      <c r="M3304" t="s">
        <v>6952</v>
      </c>
      <c r="N3304" t="s">
        <v>6953</v>
      </c>
    </row>
    <row r="3306" spans="1:25" x14ac:dyDescent="0.2">
      <c r="A3306" s="2">
        <v>5642</v>
      </c>
      <c r="B3306" s="2" t="s">
        <v>6954</v>
      </c>
      <c r="C3306" s="2" t="s">
        <v>13</v>
      </c>
      <c r="D3306" s="2" t="s">
        <v>6955</v>
      </c>
      <c r="E3306" s="2" t="s">
        <v>6956</v>
      </c>
      <c r="F3306" s="2" t="s">
        <v>270</v>
      </c>
      <c r="G3306" s="2" t="s">
        <v>265</v>
      </c>
      <c r="H3306" s="2"/>
      <c r="I3306" s="2"/>
      <c r="J3306" s="2"/>
      <c r="K3306" s="2"/>
      <c r="L3306" s="2"/>
      <c r="M3306" s="2"/>
      <c r="N3306" s="2"/>
      <c r="O3306" s="2"/>
      <c r="P3306" s="2"/>
      <c r="Q3306" s="2"/>
      <c r="R3306" s="2"/>
      <c r="S3306" s="2"/>
      <c r="T3306" s="2"/>
      <c r="U3306" s="2"/>
      <c r="V3306" s="2"/>
      <c r="W3306" s="2"/>
      <c r="X3306" s="2"/>
      <c r="Y3306" s="2"/>
    </row>
    <row r="3307" spans="1:25" x14ac:dyDescent="0.2">
      <c r="A3307">
        <v>5643</v>
      </c>
      <c r="B3307" t="s">
        <v>6954</v>
      </c>
      <c r="C3307" t="s">
        <v>18</v>
      </c>
      <c r="D3307" t="s">
        <v>6955</v>
      </c>
      <c r="E3307" t="s">
        <v>734</v>
      </c>
      <c r="F3307" t="s">
        <v>270</v>
      </c>
      <c r="G3307" t="s">
        <v>265</v>
      </c>
      <c r="H3307" t="b">
        <v>1</v>
      </c>
      <c r="K3307" t="b">
        <v>1</v>
      </c>
      <c r="L3307" t="b">
        <v>1</v>
      </c>
      <c r="M3307" t="s">
        <v>6957</v>
      </c>
    </row>
    <row r="3308" spans="1:25" x14ac:dyDescent="0.2">
      <c r="A3308">
        <v>5644</v>
      </c>
      <c r="B3308" t="s">
        <v>6954</v>
      </c>
      <c r="C3308" t="s">
        <v>18</v>
      </c>
      <c r="D3308" t="s">
        <v>6958</v>
      </c>
      <c r="E3308" t="s">
        <v>3035</v>
      </c>
      <c r="F3308" t="s">
        <v>270</v>
      </c>
      <c r="G3308" t="s">
        <v>265</v>
      </c>
      <c r="H3308" t="b">
        <v>1</v>
      </c>
      <c r="K3308" t="b">
        <v>1</v>
      </c>
      <c r="L3308" t="b">
        <v>1</v>
      </c>
      <c r="M3308" t="s">
        <v>6959</v>
      </c>
    </row>
    <row r="3309" spans="1:25" x14ac:dyDescent="0.2">
      <c r="A3309">
        <v>5645</v>
      </c>
      <c r="B3309" t="s">
        <v>6954</v>
      </c>
      <c r="C3309" t="s">
        <v>18</v>
      </c>
      <c r="D3309" t="s">
        <v>6960</v>
      </c>
      <c r="E3309" t="s">
        <v>4242</v>
      </c>
      <c r="F3309" t="s">
        <v>159</v>
      </c>
      <c r="G3309" t="s">
        <v>88</v>
      </c>
      <c r="H3309" t="b">
        <v>0</v>
      </c>
      <c r="K3309" t="b">
        <v>0</v>
      </c>
      <c r="L3309" t="b">
        <v>0</v>
      </c>
      <c r="M3309" t="s">
        <v>6961</v>
      </c>
      <c r="N3309" t="s">
        <v>6962</v>
      </c>
    </row>
    <row r="3310" spans="1:25" x14ac:dyDescent="0.2">
      <c r="A3310">
        <v>5646</v>
      </c>
      <c r="B3310" t="s">
        <v>6954</v>
      </c>
      <c r="C3310" t="s">
        <v>18</v>
      </c>
      <c r="D3310" t="s">
        <v>6963</v>
      </c>
      <c r="E3310" t="s">
        <v>6964</v>
      </c>
      <c r="F3310" t="s">
        <v>248</v>
      </c>
      <c r="G3310" t="s">
        <v>265</v>
      </c>
      <c r="H3310" t="b">
        <v>0</v>
      </c>
      <c r="K3310" t="b">
        <v>0</v>
      </c>
      <c r="L3310" t="b">
        <v>0</v>
      </c>
      <c r="M3310" t="s">
        <v>6965</v>
      </c>
      <c r="N3310" t="s">
        <v>745</v>
      </c>
    </row>
    <row r="3311" spans="1:25" x14ac:dyDescent="0.2">
      <c r="A3311">
        <v>5647</v>
      </c>
      <c r="B3311" t="s">
        <v>6954</v>
      </c>
      <c r="C3311" t="s">
        <v>18</v>
      </c>
      <c r="D3311" t="s">
        <v>6966</v>
      </c>
      <c r="E3311" t="s">
        <v>6967</v>
      </c>
      <c r="F3311" t="s">
        <v>1837</v>
      </c>
      <c r="G3311" t="s">
        <v>265</v>
      </c>
      <c r="H3311" t="b">
        <v>0</v>
      </c>
      <c r="K3311" t="b">
        <v>0</v>
      </c>
      <c r="L3311" t="b">
        <v>0</v>
      </c>
      <c r="M3311" t="s">
        <v>6968</v>
      </c>
      <c r="N3311" t="s">
        <v>6969</v>
      </c>
    </row>
    <row r="3313" spans="1:25" x14ac:dyDescent="0.2">
      <c r="A3313" s="2">
        <v>5705</v>
      </c>
      <c r="B3313" s="2" t="s">
        <v>6970</v>
      </c>
      <c r="C3313" s="2" t="s">
        <v>13</v>
      </c>
      <c r="D3313" s="2" t="s">
        <v>6971</v>
      </c>
      <c r="E3313" s="2" t="s">
        <v>6972</v>
      </c>
      <c r="F3313" s="2" t="s">
        <v>159</v>
      </c>
      <c r="G3313" s="2" t="s">
        <v>6973</v>
      </c>
      <c r="H3313" s="2"/>
      <c r="I3313" s="2"/>
      <c r="J3313" s="2"/>
      <c r="K3313" s="2"/>
      <c r="L3313" s="2"/>
      <c r="M3313" s="2"/>
      <c r="N3313" s="2"/>
      <c r="O3313" s="2"/>
      <c r="P3313" s="2"/>
      <c r="Q3313" s="2"/>
      <c r="R3313" s="2"/>
      <c r="S3313" s="2"/>
      <c r="T3313" s="2"/>
      <c r="U3313" s="2"/>
      <c r="V3313" s="2"/>
      <c r="W3313" s="2"/>
      <c r="X3313" s="2"/>
      <c r="Y3313" s="2"/>
    </row>
    <row r="3314" spans="1:25" x14ac:dyDescent="0.2">
      <c r="A3314">
        <v>5706</v>
      </c>
      <c r="B3314" t="s">
        <v>6970</v>
      </c>
      <c r="C3314" t="s">
        <v>18</v>
      </c>
      <c r="D3314" t="s">
        <v>6950</v>
      </c>
      <c r="E3314" t="s">
        <v>6951</v>
      </c>
      <c r="F3314" t="s">
        <v>159</v>
      </c>
      <c r="G3314" t="s">
        <v>366</v>
      </c>
      <c r="H3314" t="b">
        <v>0</v>
      </c>
      <c r="I3314" t="b">
        <v>0</v>
      </c>
      <c r="L3314" t="b">
        <v>0</v>
      </c>
      <c r="M3314" t="s">
        <v>6952</v>
      </c>
      <c r="N3314" t="s">
        <v>6953</v>
      </c>
    </row>
    <row r="3315" spans="1:25" x14ac:dyDescent="0.2">
      <c r="A3315">
        <v>5707</v>
      </c>
      <c r="B3315" t="s">
        <v>6970</v>
      </c>
      <c r="C3315" t="s">
        <v>18</v>
      </c>
      <c r="D3315" t="s">
        <v>364</v>
      </c>
      <c r="E3315" t="s">
        <v>365</v>
      </c>
      <c r="F3315" t="s">
        <v>159</v>
      </c>
      <c r="G3315" t="s">
        <v>366</v>
      </c>
      <c r="H3315" t="b">
        <v>0</v>
      </c>
      <c r="I3315" t="b">
        <v>0</v>
      </c>
      <c r="L3315" t="b">
        <v>0</v>
      </c>
      <c r="M3315" t="s">
        <v>6974</v>
      </c>
      <c r="N3315" t="s">
        <v>6975</v>
      </c>
    </row>
    <row r="3316" spans="1:25" x14ac:dyDescent="0.2">
      <c r="A3316">
        <v>5708</v>
      </c>
      <c r="B3316" t="s">
        <v>6970</v>
      </c>
      <c r="C3316" t="s">
        <v>18</v>
      </c>
      <c r="D3316" t="s">
        <v>6976</v>
      </c>
      <c r="E3316" t="s">
        <v>6977</v>
      </c>
      <c r="F3316" t="s">
        <v>159</v>
      </c>
      <c r="G3316" t="s">
        <v>366</v>
      </c>
      <c r="H3316" t="b">
        <v>0</v>
      </c>
      <c r="I3316" t="b">
        <v>0</v>
      </c>
      <c r="L3316" t="b">
        <v>0</v>
      </c>
      <c r="M3316" t="s">
        <v>6978</v>
      </c>
      <c r="N3316" t="s">
        <v>6979</v>
      </c>
    </row>
    <row r="3317" spans="1:25" x14ac:dyDescent="0.2">
      <c r="A3317">
        <v>5709</v>
      </c>
      <c r="B3317" t="s">
        <v>6970</v>
      </c>
      <c r="C3317" t="s">
        <v>18</v>
      </c>
      <c r="D3317" t="s">
        <v>6980</v>
      </c>
      <c r="E3317" t="s">
        <v>6981</v>
      </c>
      <c r="F3317" t="s">
        <v>159</v>
      </c>
      <c r="G3317" t="s">
        <v>366</v>
      </c>
      <c r="H3317" t="b">
        <v>0</v>
      </c>
      <c r="I3317" t="b">
        <v>0</v>
      </c>
      <c r="L3317" t="b">
        <v>0</v>
      </c>
      <c r="M3317" t="s">
        <v>6982</v>
      </c>
    </row>
    <row r="3318" spans="1:25" x14ac:dyDescent="0.2">
      <c r="A3318">
        <v>5710</v>
      </c>
      <c r="B3318" t="s">
        <v>6970</v>
      </c>
      <c r="C3318" t="s">
        <v>18</v>
      </c>
      <c r="D3318" t="s">
        <v>6939</v>
      </c>
      <c r="E3318" t="s">
        <v>6940</v>
      </c>
      <c r="F3318" t="s">
        <v>82</v>
      </c>
      <c r="G3318" t="s">
        <v>24</v>
      </c>
      <c r="H3318" t="b">
        <v>0</v>
      </c>
      <c r="I3318" t="b">
        <v>0</v>
      </c>
      <c r="L3318" t="b">
        <v>0</v>
      </c>
      <c r="M3318" t="s">
        <v>6941</v>
      </c>
      <c r="N3318" t="s">
        <v>6942</v>
      </c>
    </row>
    <row r="3320" spans="1:25" x14ac:dyDescent="0.2">
      <c r="A3320" s="2">
        <v>5712</v>
      </c>
      <c r="B3320" s="2" t="s">
        <v>6983</v>
      </c>
      <c r="C3320" s="2" t="s">
        <v>13</v>
      </c>
      <c r="D3320" s="2" t="s">
        <v>6984</v>
      </c>
      <c r="E3320" s="2" t="s">
        <v>6985</v>
      </c>
      <c r="F3320" s="2" t="s">
        <v>159</v>
      </c>
      <c r="G3320" s="2" t="s">
        <v>6973</v>
      </c>
      <c r="H3320" s="2"/>
      <c r="I3320" s="2"/>
      <c r="J3320" s="2"/>
      <c r="K3320" s="2"/>
      <c r="L3320" s="2"/>
      <c r="M3320" s="2"/>
      <c r="N3320" s="2"/>
      <c r="O3320" s="2"/>
      <c r="P3320" s="2"/>
      <c r="Q3320" s="2"/>
      <c r="R3320" s="2"/>
      <c r="S3320" s="2"/>
      <c r="T3320" s="2"/>
      <c r="U3320" s="2"/>
      <c r="V3320" s="2"/>
      <c r="W3320" s="2"/>
      <c r="X3320" s="2"/>
      <c r="Y3320" s="2"/>
    </row>
    <row r="3321" spans="1:25" x14ac:dyDescent="0.2">
      <c r="A3321">
        <v>5713</v>
      </c>
      <c r="B3321" t="s">
        <v>6983</v>
      </c>
      <c r="C3321" t="s">
        <v>18</v>
      </c>
      <c r="D3321" t="s">
        <v>6950</v>
      </c>
      <c r="E3321" t="s">
        <v>6951</v>
      </c>
      <c r="F3321" t="s">
        <v>159</v>
      </c>
      <c r="G3321" t="s">
        <v>366</v>
      </c>
      <c r="H3321" t="b">
        <v>0</v>
      </c>
      <c r="I3321" t="b">
        <v>0</v>
      </c>
      <c r="L3321" t="b">
        <v>0</v>
      </c>
      <c r="M3321" t="s">
        <v>6952</v>
      </c>
      <c r="N3321" t="s">
        <v>6953</v>
      </c>
    </row>
    <row r="3322" spans="1:25" x14ac:dyDescent="0.2">
      <c r="A3322">
        <v>5714</v>
      </c>
      <c r="B3322" t="s">
        <v>6983</v>
      </c>
      <c r="C3322" t="s">
        <v>18</v>
      </c>
      <c r="D3322" t="s">
        <v>364</v>
      </c>
      <c r="E3322" t="s">
        <v>365</v>
      </c>
      <c r="F3322" t="s">
        <v>159</v>
      </c>
      <c r="G3322" t="s">
        <v>366</v>
      </c>
      <c r="H3322" t="b">
        <v>0</v>
      </c>
      <c r="I3322" t="b">
        <v>0</v>
      </c>
      <c r="L3322" t="b">
        <v>0</v>
      </c>
      <c r="M3322" t="s">
        <v>6974</v>
      </c>
      <c r="N3322" t="s">
        <v>6975</v>
      </c>
    </row>
    <row r="3323" spans="1:25" x14ac:dyDescent="0.2">
      <c r="A3323">
        <v>5715</v>
      </c>
      <c r="B3323" t="s">
        <v>6983</v>
      </c>
      <c r="C3323" t="s">
        <v>18</v>
      </c>
      <c r="D3323" t="s">
        <v>6976</v>
      </c>
      <c r="E3323" t="s">
        <v>6977</v>
      </c>
      <c r="F3323" t="s">
        <v>159</v>
      </c>
      <c r="G3323" t="s">
        <v>366</v>
      </c>
      <c r="H3323" t="b">
        <v>0</v>
      </c>
      <c r="I3323" t="b">
        <v>0</v>
      </c>
      <c r="L3323" t="b">
        <v>0</v>
      </c>
      <c r="M3323" t="s">
        <v>6978</v>
      </c>
      <c r="N3323" t="s">
        <v>6979</v>
      </c>
    </row>
    <row r="3324" spans="1:25" x14ac:dyDescent="0.2">
      <c r="A3324">
        <v>5716</v>
      </c>
      <c r="B3324" t="s">
        <v>6983</v>
      </c>
      <c r="C3324" t="s">
        <v>18</v>
      </c>
      <c r="D3324" t="s">
        <v>6980</v>
      </c>
      <c r="E3324" t="s">
        <v>6981</v>
      </c>
      <c r="F3324" t="s">
        <v>159</v>
      </c>
      <c r="G3324" t="s">
        <v>366</v>
      </c>
      <c r="H3324" t="b">
        <v>0</v>
      </c>
      <c r="I3324" t="b">
        <v>0</v>
      </c>
      <c r="L3324" t="b">
        <v>0</v>
      </c>
      <c r="M3324" t="s">
        <v>6982</v>
      </c>
    </row>
    <row r="3325" spans="1:25" x14ac:dyDescent="0.2">
      <c r="A3325">
        <v>5717</v>
      </c>
      <c r="B3325" t="s">
        <v>6983</v>
      </c>
      <c r="C3325" t="s">
        <v>18</v>
      </c>
      <c r="D3325" t="s">
        <v>6939</v>
      </c>
      <c r="E3325" t="s">
        <v>6940</v>
      </c>
      <c r="F3325" t="s">
        <v>82</v>
      </c>
      <c r="G3325" t="s">
        <v>24</v>
      </c>
      <c r="H3325" t="b">
        <v>0</v>
      </c>
      <c r="I3325" t="b">
        <v>0</v>
      </c>
      <c r="L3325" t="b">
        <v>0</v>
      </c>
      <c r="M3325" t="s">
        <v>6941</v>
      </c>
      <c r="N3325" t="s">
        <v>6942</v>
      </c>
    </row>
    <row r="3327" spans="1:25" x14ac:dyDescent="0.2">
      <c r="A3327" s="2">
        <v>5726</v>
      </c>
      <c r="B3327" s="2" t="s">
        <v>6986</v>
      </c>
      <c r="C3327" s="2" t="s">
        <v>13</v>
      </c>
      <c r="D3327" s="2" t="s">
        <v>6987</v>
      </c>
      <c r="E3327" s="2" t="s">
        <v>6988</v>
      </c>
      <c r="F3327" s="2" t="s">
        <v>159</v>
      </c>
      <c r="G3327" s="2" t="s">
        <v>6973</v>
      </c>
      <c r="H3327" s="2"/>
      <c r="I3327" s="2"/>
      <c r="J3327" s="2"/>
      <c r="K3327" s="2"/>
      <c r="L3327" s="2"/>
      <c r="M3327" s="2"/>
      <c r="N3327" s="2"/>
      <c r="O3327" s="2"/>
      <c r="P3327" s="2"/>
      <c r="Q3327" s="2"/>
      <c r="R3327" s="2"/>
      <c r="S3327" s="2"/>
      <c r="T3327" s="2"/>
      <c r="U3327" s="2"/>
      <c r="V3327" s="2"/>
      <c r="W3327" s="2"/>
      <c r="X3327" s="2"/>
      <c r="Y3327" s="2"/>
    </row>
    <row r="3328" spans="1:25" x14ac:dyDescent="0.2">
      <c r="A3328">
        <v>5727</v>
      </c>
      <c r="B3328" t="s">
        <v>6986</v>
      </c>
      <c r="C3328" t="s">
        <v>18</v>
      </c>
      <c r="D3328" t="s">
        <v>6950</v>
      </c>
      <c r="E3328" t="s">
        <v>6951</v>
      </c>
      <c r="F3328" t="s">
        <v>159</v>
      </c>
      <c r="G3328" t="s">
        <v>366</v>
      </c>
      <c r="H3328" t="b">
        <v>0</v>
      </c>
      <c r="I3328" t="b">
        <v>0</v>
      </c>
      <c r="L3328" t="b">
        <v>0</v>
      </c>
      <c r="M3328" t="s">
        <v>6952</v>
      </c>
      <c r="N3328" t="s">
        <v>6953</v>
      </c>
    </row>
    <row r="3329" spans="1:25" x14ac:dyDescent="0.2">
      <c r="A3329">
        <v>5728</v>
      </c>
      <c r="B3329" t="s">
        <v>6986</v>
      </c>
      <c r="C3329" t="s">
        <v>18</v>
      </c>
      <c r="D3329" t="s">
        <v>364</v>
      </c>
      <c r="E3329" t="s">
        <v>365</v>
      </c>
      <c r="F3329" t="s">
        <v>159</v>
      </c>
      <c r="G3329" t="s">
        <v>366</v>
      </c>
      <c r="H3329" t="b">
        <v>0</v>
      </c>
      <c r="I3329" t="b">
        <v>0</v>
      </c>
      <c r="L3329" t="b">
        <v>0</v>
      </c>
      <c r="M3329" t="s">
        <v>6974</v>
      </c>
      <c r="N3329" t="s">
        <v>6975</v>
      </c>
    </row>
    <row r="3330" spans="1:25" x14ac:dyDescent="0.2">
      <c r="A3330">
        <v>5729</v>
      </c>
      <c r="B3330" t="s">
        <v>6986</v>
      </c>
      <c r="C3330" t="s">
        <v>18</v>
      </c>
      <c r="D3330" t="s">
        <v>6976</v>
      </c>
      <c r="E3330" t="s">
        <v>6977</v>
      </c>
      <c r="F3330" t="s">
        <v>159</v>
      </c>
      <c r="G3330" t="s">
        <v>366</v>
      </c>
      <c r="H3330" t="b">
        <v>0</v>
      </c>
      <c r="I3330" t="b">
        <v>0</v>
      </c>
      <c r="L3330" t="b">
        <v>0</v>
      </c>
      <c r="M3330" t="s">
        <v>6978</v>
      </c>
      <c r="N3330" t="s">
        <v>6979</v>
      </c>
    </row>
    <row r="3331" spans="1:25" x14ac:dyDescent="0.2">
      <c r="A3331">
        <v>5730</v>
      </c>
      <c r="B3331" t="s">
        <v>6986</v>
      </c>
      <c r="C3331" t="s">
        <v>18</v>
      </c>
      <c r="D3331" t="s">
        <v>6980</v>
      </c>
      <c r="E3331" t="s">
        <v>6981</v>
      </c>
      <c r="F3331" t="s">
        <v>159</v>
      </c>
      <c r="G3331" t="s">
        <v>366</v>
      </c>
      <c r="H3331" t="b">
        <v>0</v>
      </c>
      <c r="I3331" t="b">
        <v>0</v>
      </c>
      <c r="L3331" t="b">
        <v>0</v>
      </c>
      <c r="M3331" t="s">
        <v>6982</v>
      </c>
    </row>
    <row r="3332" spans="1:25" x14ac:dyDescent="0.2">
      <c r="A3332">
        <v>5731</v>
      </c>
      <c r="B3332" t="s">
        <v>6986</v>
      </c>
      <c r="C3332" t="s">
        <v>18</v>
      </c>
      <c r="D3332" t="s">
        <v>6939</v>
      </c>
      <c r="E3332" t="s">
        <v>6940</v>
      </c>
      <c r="F3332" t="s">
        <v>82</v>
      </c>
      <c r="G3332" t="s">
        <v>24</v>
      </c>
      <c r="H3332" t="b">
        <v>0</v>
      </c>
      <c r="I3332" t="b">
        <v>0</v>
      </c>
      <c r="L3332" t="b">
        <v>0</v>
      </c>
      <c r="M3332" t="s">
        <v>6941</v>
      </c>
      <c r="N3332" t="s">
        <v>6942</v>
      </c>
    </row>
    <row r="3334" spans="1:25" x14ac:dyDescent="0.2">
      <c r="A3334" s="2">
        <v>574</v>
      </c>
      <c r="B3334" s="2" t="s">
        <v>6989</v>
      </c>
      <c r="C3334" s="2" t="s">
        <v>13</v>
      </c>
      <c r="D3334" s="2" t="s">
        <v>6990</v>
      </c>
      <c r="E3334" s="2" t="s">
        <v>6991</v>
      </c>
      <c r="F3334" s="2" t="s">
        <v>369</v>
      </c>
      <c r="G3334" s="2" t="s">
        <v>17</v>
      </c>
      <c r="H3334" s="2"/>
      <c r="I3334" s="2"/>
      <c r="J3334" s="2"/>
      <c r="K3334" s="2"/>
      <c r="L3334" s="2"/>
      <c r="M3334" s="2"/>
      <c r="N3334" s="2"/>
      <c r="O3334" s="2"/>
      <c r="P3334" s="2"/>
      <c r="Q3334" s="2"/>
      <c r="R3334" s="2"/>
      <c r="S3334" s="2"/>
      <c r="T3334" s="2"/>
      <c r="U3334" s="2"/>
      <c r="V3334" s="2"/>
      <c r="W3334" s="2"/>
      <c r="X3334" s="2"/>
      <c r="Y3334" s="2"/>
    </row>
    <row r="3335" spans="1:25" x14ac:dyDescent="0.2">
      <c r="A3335">
        <v>575</v>
      </c>
      <c r="B3335" t="s">
        <v>6989</v>
      </c>
      <c r="C3335" t="s">
        <v>18</v>
      </c>
      <c r="D3335" t="s">
        <v>6990</v>
      </c>
      <c r="E3335" t="s">
        <v>3465</v>
      </c>
      <c r="F3335" t="s">
        <v>369</v>
      </c>
      <c r="G3335" t="s">
        <v>17</v>
      </c>
      <c r="H3335" t="b">
        <v>1</v>
      </c>
      <c r="I3335" t="b">
        <v>1</v>
      </c>
      <c r="L3335" t="b">
        <v>1</v>
      </c>
      <c r="M3335" t="s">
        <v>6992</v>
      </c>
    </row>
    <row r="3336" spans="1:25" x14ac:dyDescent="0.2">
      <c r="A3336">
        <v>576</v>
      </c>
      <c r="B3336" t="s">
        <v>6989</v>
      </c>
      <c r="C3336" t="s">
        <v>18</v>
      </c>
      <c r="D3336" t="s">
        <v>6993</v>
      </c>
      <c r="E3336" t="s">
        <v>6214</v>
      </c>
      <c r="F3336" t="s">
        <v>168</v>
      </c>
      <c r="G3336" t="s">
        <v>17</v>
      </c>
      <c r="H3336" t="b">
        <v>0</v>
      </c>
      <c r="I3336" t="b">
        <v>0</v>
      </c>
      <c r="L3336" t="b">
        <v>0</v>
      </c>
      <c r="M3336" t="s">
        <v>6994</v>
      </c>
      <c r="N3336" t="s">
        <v>6995</v>
      </c>
    </row>
    <row r="3337" spans="1:25" x14ac:dyDescent="0.2">
      <c r="A3337">
        <v>577</v>
      </c>
      <c r="B3337" t="s">
        <v>6989</v>
      </c>
      <c r="C3337" t="s">
        <v>18</v>
      </c>
      <c r="D3337" t="s">
        <v>6996</v>
      </c>
      <c r="E3337" t="s">
        <v>6997</v>
      </c>
      <c r="F3337" t="s">
        <v>168</v>
      </c>
      <c r="G3337" t="s">
        <v>17</v>
      </c>
      <c r="H3337" t="b">
        <v>0</v>
      </c>
      <c r="I3337" t="b">
        <v>0</v>
      </c>
      <c r="L3337" t="b">
        <v>0</v>
      </c>
      <c r="M3337" t="s">
        <v>6998</v>
      </c>
      <c r="N3337" t="s">
        <v>6999</v>
      </c>
    </row>
    <row r="3338" spans="1:25" x14ac:dyDescent="0.2">
      <c r="A3338">
        <v>578</v>
      </c>
      <c r="B3338" t="s">
        <v>6989</v>
      </c>
      <c r="C3338" t="s">
        <v>18</v>
      </c>
      <c r="D3338" t="s">
        <v>7000</v>
      </c>
      <c r="E3338" t="s">
        <v>7001</v>
      </c>
      <c r="F3338" t="s">
        <v>369</v>
      </c>
      <c r="G3338" t="s">
        <v>17</v>
      </c>
      <c r="H3338" t="b">
        <v>0</v>
      </c>
      <c r="I3338" t="b">
        <v>0</v>
      </c>
      <c r="L3338" t="b">
        <v>0</v>
      </c>
      <c r="M3338" t="s">
        <v>7002</v>
      </c>
      <c r="N3338" t="s">
        <v>7003</v>
      </c>
    </row>
    <row r="3339" spans="1:25" x14ac:dyDescent="0.2">
      <c r="A3339">
        <v>579</v>
      </c>
      <c r="B3339" t="s">
        <v>6989</v>
      </c>
      <c r="C3339" t="s">
        <v>18</v>
      </c>
      <c r="D3339" t="s">
        <v>4172</v>
      </c>
      <c r="E3339" t="s">
        <v>4173</v>
      </c>
      <c r="F3339" t="s">
        <v>248</v>
      </c>
      <c r="G3339" t="s">
        <v>24</v>
      </c>
      <c r="H3339" t="b">
        <v>0</v>
      </c>
      <c r="I3339" t="b">
        <v>0</v>
      </c>
      <c r="L3339" t="b">
        <v>0</v>
      </c>
    </row>
    <row r="3341" spans="1:25" x14ac:dyDescent="0.2">
      <c r="A3341" s="2">
        <v>5754</v>
      </c>
      <c r="B3341" s="2" t="s">
        <v>7004</v>
      </c>
      <c r="C3341" s="2" t="s">
        <v>13</v>
      </c>
      <c r="D3341" s="2" t="s">
        <v>7005</v>
      </c>
      <c r="E3341" s="2" t="s">
        <v>7006</v>
      </c>
      <c r="F3341" s="2" t="s">
        <v>82</v>
      </c>
      <c r="G3341" s="2" t="s">
        <v>265</v>
      </c>
      <c r="H3341" s="2"/>
      <c r="I3341" s="2"/>
      <c r="J3341" s="2"/>
      <c r="K3341" s="2"/>
      <c r="L3341" s="2"/>
      <c r="M3341" s="2"/>
      <c r="N3341" s="2"/>
      <c r="O3341" s="2"/>
      <c r="P3341" s="2"/>
      <c r="Q3341" s="2"/>
      <c r="R3341" s="2"/>
      <c r="S3341" s="2"/>
      <c r="T3341" s="2"/>
      <c r="U3341" s="2"/>
      <c r="V3341" s="2"/>
      <c r="W3341" s="2"/>
      <c r="X3341" s="2"/>
      <c r="Y3341" s="2"/>
    </row>
    <row r="3342" spans="1:25" x14ac:dyDescent="0.2">
      <c r="A3342">
        <v>5755</v>
      </c>
      <c r="B3342" t="s">
        <v>7004</v>
      </c>
      <c r="C3342" t="s">
        <v>18</v>
      </c>
      <c r="D3342" t="s">
        <v>7007</v>
      </c>
      <c r="E3342" t="s">
        <v>3197</v>
      </c>
      <c r="F3342" t="s">
        <v>159</v>
      </c>
      <c r="G3342" t="s">
        <v>265</v>
      </c>
      <c r="H3342" t="b">
        <v>1</v>
      </c>
      <c r="I3342" t="b">
        <v>1</v>
      </c>
      <c r="L3342" t="b">
        <v>1</v>
      </c>
      <c r="M3342" t="s">
        <v>7008</v>
      </c>
      <c r="N3342" t="s">
        <v>7009</v>
      </c>
    </row>
    <row r="3343" spans="1:25" x14ac:dyDescent="0.2">
      <c r="A3343">
        <v>5756</v>
      </c>
      <c r="B3343" t="s">
        <v>7004</v>
      </c>
      <c r="C3343" t="s">
        <v>18</v>
      </c>
      <c r="D3343" t="s">
        <v>7010</v>
      </c>
      <c r="E3343" t="s">
        <v>7011</v>
      </c>
      <c r="F3343" t="s">
        <v>82</v>
      </c>
      <c r="G3343" t="s">
        <v>265</v>
      </c>
      <c r="H3343" t="b">
        <v>1</v>
      </c>
      <c r="I3343" t="b">
        <v>1</v>
      </c>
      <c r="L3343" t="b">
        <v>1</v>
      </c>
      <c r="M3343" t="s">
        <v>7012</v>
      </c>
    </row>
    <row r="3344" spans="1:25" x14ac:dyDescent="0.2">
      <c r="A3344">
        <v>5757</v>
      </c>
      <c r="B3344" t="s">
        <v>7004</v>
      </c>
      <c r="C3344" t="s">
        <v>18</v>
      </c>
      <c r="D3344" t="s">
        <v>3296</v>
      </c>
      <c r="E3344" t="s">
        <v>3297</v>
      </c>
      <c r="F3344" t="s">
        <v>82</v>
      </c>
      <c r="G3344" t="s">
        <v>265</v>
      </c>
      <c r="H3344" t="b">
        <v>0</v>
      </c>
      <c r="I3344" t="b">
        <v>0</v>
      </c>
      <c r="L3344" t="b">
        <v>0</v>
      </c>
      <c r="M3344" t="s">
        <v>3298</v>
      </c>
      <c r="N3344" t="s">
        <v>745</v>
      </c>
    </row>
    <row r="3345" spans="1:25" x14ac:dyDescent="0.2">
      <c r="A3345">
        <v>5758</v>
      </c>
      <c r="B3345" t="s">
        <v>7004</v>
      </c>
      <c r="C3345" t="s">
        <v>18</v>
      </c>
      <c r="D3345" t="s">
        <v>7013</v>
      </c>
      <c r="E3345" t="s">
        <v>7014</v>
      </c>
      <c r="F3345" t="s">
        <v>248</v>
      </c>
      <c r="G3345" t="s">
        <v>265</v>
      </c>
      <c r="H3345" t="b">
        <v>0</v>
      </c>
      <c r="I3345" t="b">
        <v>0</v>
      </c>
      <c r="L3345" t="b">
        <v>0</v>
      </c>
      <c r="M3345" t="s">
        <v>7015</v>
      </c>
      <c r="N3345" t="s">
        <v>7016</v>
      </c>
    </row>
    <row r="3346" spans="1:25" x14ac:dyDescent="0.2">
      <c r="A3346">
        <v>5759</v>
      </c>
      <c r="B3346" t="s">
        <v>7004</v>
      </c>
      <c r="C3346" t="s">
        <v>18</v>
      </c>
      <c r="D3346" t="s">
        <v>7017</v>
      </c>
      <c r="E3346" t="s">
        <v>7018</v>
      </c>
      <c r="F3346" t="s">
        <v>159</v>
      </c>
      <c r="G3346" t="s">
        <v>265</v>
      </c>
      <c r="H3346" t="b">
        <v>0</v>
      </c>
      <c r="I3346" t="b">
        <v>0</v>
      </c>
      <c r="L3346" t="b">
        <v>0</v>
      </c>
      <c r="M3346" t="s">
        <v>7019</v>
      </c>
    </row>
    <row r="3348" spans="1:25" x14ac:dyDescent="0.2">
      <c r="A3348" s="2">
        <v>5761</v>
      </c>
      <c r="B3348" s="2" t="s">
        <v>7020</v>
      </c>
      <c r="C3348" s="2" t="s">
        <v>13</v>
      </c>
      <c r="D3348" s="2" t="s">
        <v>7021</v>
      </c>
      <c r="E3348" s="2" t="s">
        <v>6477</v>
      </c>
      <c r="F3348" s="2" t="s">
        <v>82</v>
      </c>
      <c r="G3348" s="2" t="s">
        <v>201</v>
      </c>
      <c r="H3348" s="2"/>
      <c r="I3348" s="2"/>
      <c r="J3348" s="2"/>
      <c r="K3348" s="2"/>
      <c r="L3348" s="2"/>
      <c r="M3348" s="2"/>
      <c r="N3348" s="2"/>
      <c r="O3348" s="2"/>
      <c r="P3348" s="2"/>
      <c r="Q3348" s="2"/>
      <c r="R3348" s="2"/>
      <c r="S3348" s="2"/>
      <c r="T3348" s="2"/>
      <c r="U3348" s="2"/>
      <c r="V3348" s="2"/>
      <c r="W3348" s="2"/>
      <c r="X3348" s="2"/>
      <c r="Y3348" s="2"/>
    </row>
    <row r="3349" spans="1:25" x14ac:dyDescent="0.2">
      <c r="A3349">
        <v>5762</v>
      </c>
      <c r="B3349" t="s">
        <v>7020</v>
      </c>
      <c r="C3349" t="s">
        <v>18</v>
      </c>
      <c r="D3349" t="s">
        <v>6476</v>
      </c>
      <c r="E3349" t="s">
        <v>6477</v>
      </c>
      <c r="F3349" t="s">
        <v>82</v>
      </c>
      <c r="G3349" t="s">
        <v>4395</v>
      </c>
      <c r="H3349" t="b">
        <v>1</v>
      </c>
      <c r="I3349" t="b">
        <v>1</v>
      </c>
      <c r="L3349" t="b">
        <v>1</v>
      </c>
      <c r="M3349" t="s">
        <v>6478</v>
      </c>
      <c r="N3349" t="s">
        <v>6479</v>
      </c>
      <c r="O3349" t="s">
        <v>6480</v>
      </c>
    </row>
    <row r="3350" spans="1:25" x14ac:dyDescent="0.2">
      <c r="A3350">
        <v>5763</v>
      </c>
      <c r="B3350" t="s">
        <v>7020</v>
      </c>
      <c r="C3350" t="s">
        <v>18</v>
      </c>
      <c r="D3350" t="s">
        <v>6473</v>
      </c>
      <c r="E3350" t="s">
        <v>2210</v>
      </c>
      <c r="F3350" t="s">
        <v>159</v>
      </c>
      <c r="G3350" t="s">
        <v>201</v>
      </c>
      <c r="H3350" t="b">
        <v>0</v>
      </c>
      <c r="I3350" t="b">
        <v>0</v>
      </c>
      <c r="L3350" t="b">
        <v>0</v>
      </c>
      <c r="M3350" t="s">
        <v>6474</v>
      </c>
      <c r="N3350" t="s">
        <v>6475</v>
      </c>
    </row>
    <row r="3351" spans="1:25" x14ac:dyDescent="0.2">
      <c r="A3351">
        <v>5764</v>
      </c>
      <c r="B3351" t="s">
        <v>7020</v>
      </c>
      <c r="C3351" t="s">
        <v>18</v>
      </c>
      <c r="D3351" t="s">
        <v>2845</v>
      </c>
      <c r="E3351" t="s">
        <v>2846</v>
      </c>
      <c r="F3351" t="s">
        <v>248</v>
      </c>
      <c r="G3351" t="s">
        <v>1114</v>
      </c>
      <c r="H3351" t="b">
        <v>0</v>
      </c>
      <c r="I3351" t="b">
        <v>0</v>
      </c>
      <c r="L3351" t="b">
        <v>0</v>
      </c>
    </row>
    <row r="3352" spans="1:25" x14ac:dyDescent="0.2">
      <c r="A3352">
        <v>5765</v>
      </c>
      <c r="B3352" t="s">
        <v>7020</v>
      </c>
      <c r="C3352" t="s">
        <v>18</v>
      </c>
      <c r="D3352" t="s">
        <v>210</v>
      </c>
      <c r="E3352" t="s">
        <v>211</v>
      </c>
      <c r="F3352" t="s">
        <v>159</v>
      </c>
      <c r="G3352" t="s">
        <v>201</v>
      </c>
      <c r="H3352" t="b">
        <v>0</v>
      </c>
      <c r="I3352" t="b">
        <v>0</v>
      </c>
      <c r="L3352" t="b">
        <v>0</v>
      </c>
      <c r="M3352" t="s">
        <v>4381</v>
      </c>
      <c r="N3352" t="s">
        <v>4382</v>
      </c>
    </row>
    <row r="3353" spans="1:25" x14ac:dyDescent="0.2">
      <c r="A3353">
        <v>5766</v>
      </c>
      <c r="B3353" t="s">
        <v>7020</v>
      </c>
      <c r="C3353" t="s">
        <v>18</v>
      </c>
      <c r="D3353" t="s">
        <v>7022</v>
      </c>
      <c r="E3353" t="s">
        <v>7023</v>
      </c>
      <c r="F3353" t="s">
        <v>82</v>
      </c>
      <c r="G3353" t="s">
        <v>1114</v>
      </c>
      <c r="H3353" t="b">
        <v>0</v>
      </c>
      <c r="I3353" t="b">
        <v>0</v>
      </c>
      <c r="L3353" t="b">
        <v>0</v>
      </c>
      <c r="M3353" t="s">
        <v>7024</v>
      </c>
      <c r="N3353" t="s">
        <v>7025</v>
      </c>
    </row>
    <row r="3355" spans="1:25" x14ac:dyDescent="0.2">
      <c r="A3355" s="2">
        <v>5768</v>
      </c>
      <c r="B3355" s="2" t="s">
        <v>7026</v>
      </c>
      <c r="C3355" s="2" t="s">
        <v>13</v>
      </c>
      <c r="D3355" s="2" t="s">
        <v>7027</v>
      </c>
      <c r="E3355" s="2" t="s">
        <v>7028</v>
      </c>
      <c r="F3355" s="2" t="s">
        <v>174</v>
      </c>
      <c r="G3355" s="2" t="s">
        <v>265</v>
      </c>
      <c r="H3355" s="2"/>
      <c r="I3355" s="2"/>
      <c r="J3355" s="2"/>
      <c r="K3355" s="2"/>
      <c r="L3355" s="2"/>
      <c r="M3355" s="2"/>
      <c r="N3355" s="2"/>
      <c r="O3355" s="2"/>
      <c r="P3355" s="2"/>
      <c r="Q3355" s="2"/>
      <c r="R3355" s="2"/>
      <c r="S3355" s="2"/>
      <c r="T3355" s="2"/>
      <c r="U3355" s="2"/>
      <c r="V3355" s="2"/>
      <c r="W3355" s="2"/>
      <c r="X3355" s="2"/>
      <c r="Y3355" s="2"/>
    </row>
    <row r="3356" spans="1:25" x14ac:dyDescent="0.2">
      <c r="A3356">
        <v>5769</v>
      </c>
      <c r="B3356" t="s">
        <v>7026</v>
      </c>
      <c r="C3356" t="s">
        <v>18</v>
      </c>
      <c r="D3356" t="s">
        <v>7029</v>
      </c>
      <c r="E3356" t="s">
        <v>7030</v>
      </c>
      <c r="F3356" t="s">
        <v>174</v>
      </c>
      <c r="G3356" t="s">
        <v>265</v>
      </c>
      <c r="H3356" t="b">
        <v>1</v>
      </c>
      <c r="I3356" t="b">
        <v>1</v>
      </c>
      <c r="L3356" t="b">
        <v>1</v>
      </c>
      <c r="M3356" t="s">
        <v>7031</v>
      </c>
      <c r="N3356" t="s">
        <v>7032</v>
      </c>
    </row>
    <row r="3357" spans="1:25" x14ac:dyDescent="0.2">
      <c r="A3357">
        <v>5770</v>
      </c>
      <c r="B3357" t="s">
        <v>7026</v>
      </c>
      <c r="C3357" t="s">
        <v>18</v>
      </c>
      <c r="D3357" t="s">
        <v>7033</v>
      </c>
      <c r="E3357" t="s">
        <v>7034</v>
      </c>
      <c r="F3357" t="s">
        <v>174</v>
      </c>
      <c r="G3357" t="s">
        <v>417</v>
      </c>
      <c r="H3357" t="b">
        <v>0</v>
      </c>
      <c r="I3357" t="b">
        <v>0</v>
      </c>
      <c r="L3357" t="b">
        <v>0</v>
      </c>
      <c r="M3357" t="s">
        <v>7035</v>
      </c>
    </row>
    <row r="3358" spans="1:25" x14ac:dyDescent="0.2">
      <c r="A3358">
        <v>5771</v>
      </c>
      <c r="B3358" t="s">
        <v>7026</v>
      </c>
      <c r="C3358" t="s">
        <v>18</v>
      </c>
      <c r="D3358" t="s">
        <v>6870</v>
      </c>
      <c r="E3358" t="s">
        <v>6871</v>
      </c>
      <c r="F3358" t="s">
        <v>420</v>
      </c>
      <c r="G3358" t="s">
        <v>252</v>
      </c>
      <c r="H3358" t="b">
        <v>0</v>
      </c>
      <c r="I3358" t="b">
        <v>0</v>
      </c>
      <c r="L3358" t="b">
        <v>0</v>
      </c>
      <c r="M3358" t="s">
        <v>6872</v>
      </c>
      <c r="N3358" t="s">
        <v>6873</v>
      </c>
    </row>
    <row r="3359" spans="1:25" x14ac:dyDescent="0.2">
      <c r="A3359">
        <v>5772</v>
      </c>
      <c r="B3359" t="s">
        <v>7026</v>
      </c>
      <c r="C3359" t="s">
        <v>18</v>
      </c>
      <c r="D3359" t="s">
        <v>7036</v>
      </c>
      <c r="E3359" t="s">
        <v>7037</v>
      </c>
      <c r="F3359" t="s">
        <v>174</v>
      </c>
      <c r="G3359" t="s">
        <v>265</v>
      </c>
      <c r="H3359" t="b">
        <v>0</v>
      </c>
      <c r="I3359" t="b">
        <v>0</v>
      </c>
      <c r="L3359" t="b">
        <v>0</v>
      </c>
      <c r="M3359" t="s">
        <v>7038</v>
      </c>
      <c r="N3359" t="s">
        <v>7039</v>
      </c>
    </row>
    <row r="3360" spans="1:25" x14ac:dyDescent="0.2">
      <c r="A3360">
        <v>5773</v>
      </c>
      <c r="B3360" t="s">
        <v>7026</v>
      </c>
      <c r="C3360" t="s">
        <v>18</v>
      </c>
      <c r="D3360" t="s">
        <v>1119</v>
      </c>
      <c r="E3360" t="s">
        <v>1120</v>
      </c>
      <c r="F3360" t="s">
        <v>420</v>
      </c>
      <c r="G3360" t="s">
        <v>88</v>
      </c>
      <c r="H3360" t="b">
        <v>0</v>
      </c>
      <c r="I3360" t="b">
        <v>0</v>
      </c>
      <c r="L3360" t="b">
        <v>0</v>
      </c>
      <c r="M3360" t="s">
        <v>1121</v>
      </c>
      <c r="N3360" t="s">
        <v>1122</v>
      </c>
      <c r="O3360" t="s">
        <v>1123</v>
      </c>
      <c r="P3360" t="s">
        <v>1124</v>
      </c>
      <c r="Q3360" t="s">
        <v>1125</v>
      </c>
    </row>
    <row r="3362" spans="1:25" x14ac:dyDescent="0.2">
      <c r="A3362" s="2">
        <v>5775</v>
      </c>
      <c r="B3362" s="2" t="s">
        <v>7040</v>
      </c>
      <c r="C3362" s="2" t="s">
        <v>13</v>
      </c>
      <c r="D3362" s="2" t="s">
        <v>7041</v>
      </c>
      <c r="E3362" s="2" t="s">
        <v>7042</v>
      </c>
      <c r="F3362" s="2" t="s">
        <v>71</v>
      </c>
      <c r="G3362" s="2" t="s">
        <v>265</v>
      </c>
      <c r="H3362" s="2"/>
      <c r="I3362" s="2"/>
      <c r="J3362" s="2"/>
      <c r="K3362" s="2"/>
      <c r="L3362" s="2"/>
      <c r="M3362" s="2"/>
      <c r="N3362" s="2"/>
      <c r="O3362" s="2"/>
      <c r="P3362" s="2"/>
      <c r="Q3362" s="2"/>
      <c r="R3362" s="2"/>
      <c r="S3362" s="2"/>
      <c r="T3362" s="2"/>
      <c r="U3362" s="2"/>
      <c r="V3362" s="2"/>
      <c r="W3362" s="2"/>
      <c r="X3362" s="2"/>
      <c r="Y3362" s="2"/>
    </row>
    <row r="3363" spans="1:25" x14ac:dyDescent="0.2">
      <c r="A3363">
        <v>5776</v>
      </c>
      <c r="B3363" t="s">
        <v>7040</v>
      </c>
      <c r="C3363" t="s">
        <v>18</v>
      </c>
      <c r="D3363" t="s">
        <v>7041</v>
      </c>
      <c r="E3363" t="s">
        <v>4498</v>
      </c>
      <c r="F3363" t="s">
        <v>71</v>
      </c>
      <c r="G3363" t="s">
        <v>265</v>
      </c>
      <c r="H3363" t="b">
        <v>1</v>
      </c>
      <c r="K3363" t="b">
        <v>1</v>
      </c>
      <c r="L3363" t="b">
        <v>1</v>
      </c>
      <c r="M3363" t="s">
        <v>7043</v>
      </c>
      <c r="N3363" t="s">
        <v>7044</v>
      </c>
    </row>
    <row r="3364" spans="1:25" x14ac:dyDescent="0.2">
      <c r="A3364">
        <v>5777</v>
      </c>
      <c r="B3364" t="s">
        <v>7040</v>
      </c>
      <c r="C3364" t="s">
        <v>18</v>
      </c>
      <c r="D3364" t="s">
        <v>7045</v>
      </c>
      <c r="E3364" t="s">
        <v>7046</v>
      </c>
      <c r="F3364" t="s">
        <v>23</v>
      </c>
      <c r="G3364" t="s">
        <v>265</v>
      </c>
      <c r="H3364" t="b">
        <v>0</v>
      </c>
      <c r="K3364" t="b">
        <v>0</v>
      </c>
      <c r="L3364" t="b">
        <v>0</v>
      </c>
      <c r="M3364" t="s">
        <v>7047</v>
      </c>
    </row>
    <row r="3365" spans="1:25" x14ac:dyDescent="0.2">
      <c r="A3365">
        <v>5778</v>
      </c>
      <c r="B3365" t="s">
        <v>7040</v>
      </c>
      <c r="C3365" t="s">
        <v>18</v>
      </c>
      <c r="D3365" t="s">
        <v>3105</v>
      </c>
      <c r="E3365" t="s">
        <v>3106</v>
      </c>
      <c r="F3365" t="s">
        <v>159</v>
      </c>
      <c r="G3365" t="s">
        <v>864</v>
      </c>
      <c r="H3365" t="b">
        <v>0</v>
      </c>
      <c r="K3365" t="b">
        <v>0</v>
      </c>
      <c r="L3365" t="b">
        <v>0</v>
      </c>
      <c r="M3365" t="s">
        <v>3107</v>
      </c>
      <c r="N3365" t="s">
        <v>3108</v>
      </c>
    </row>
    <row r="3366" spans="1:25" x14ac:dyDescent="0.2">
      <c r="A3366">
        <v>5779</v>
      </c>
      <c r="B3366" t="s">
        <v>7040</v>
      </c>
      <c r="C3366" t="s">
        <v>18</v>
      </c>
      <c r="D3366" t="s">
        <v>3096</v>
      </c>
      <c r="E3366" t="s">
        <v>3097</v>
      </c>
      <c r="F3366" t="s">
        <v>159</v>
      </c>
      <c r="G3366" t="s">
        <v>265</v>
      </c>
      <c r="H3366" t="b">
        <v>0</v>
      </c>
      <c r="K3366" t="b">
        <v>0</v>
      </c>
      <c r="L3366" t="b">
        <v>0</v>
      </c>
      <c r="M3366" t="s">
        <v>3098</v>
      </c>
      <c r="N3366" t="s">
        <v>3099</v>
      </c>
    </row>
    <row r="3367" spans="1:25" x14ac:dyDescent="0.2">
      <c r="A3367">
        <v>5780</v>
      </c>
      <c r="B3367" t="s">
        <v>7040</v>
      </c>
      <c r="C3367" t="s">
        <v>18</v>
      </c>
      <c r="D3367" t="s">
        <v>6905</v>
      </c>
      <c r="E3367" t="s">
        <v>3106</v>
      </c>
      <c r="F3367" t="s">
        <v>82</v>
      </c>
      <c r="G3367" t="s">
        <v>864</v>
      </c>
      <c r="H3367" t="b">
        <v>0</v>
      </c>
      <c r="K3367" t="b">
        <v>0</v>
      </c>
      <c r="L3367" t="b">
        <v>0</v>
      </c>
    </row>
    <row r="3369" spans="1:25" x14ac:dyDescent="0.2">
      <c r="A3369" s="2">
        <v>5789</v>
      </c>
      <c r="B3369" s="2" t="s">
        <v>7048</v>
      </c>
      <c r="C3369" s="2" t="s">
        <v>13</v>
      </c>
      <c r="D3369" s="2" t="s">
        <v>7049</v>
      </c>
      <c r="E3369" s="2" t="s">
        <v>7050</v>
      </c>
      <c r="F3369" s="2" t="s">
        <v>369</v>
      </c>
      <c r="G3369" s="2" t="s">
        <v>32</v>
      </c>
      <c r="H3369" s="2"/>
      <c r="I3369" s="2"/>
      <c r="J3369" s="2"/>
      <c r="K3369" s="2"/>
      <c r="L3369" s="2"/>
      <c r="M3369" s="2"/>
      <c r="N3369" s="2"/>
      <c r="O3369" s="2"/>
      <c r="P3369" s="2"/>
      <c r="Q3369" s="2"/>
      <c r="R3369" s="2"/>
      <c r="S3369" s="2"/>
      <c r="T3369" s="2"/>
      <c r="U3369" s="2"/>
      <c r="V3369" s="2"/>
      <c r="W3369" s="2"/>
      <c r="X3369" s="2"/>
      <c r="Y3369" s="2"/>
    </row>
    <row r="3370" spans="1:25" x14ac:dyDescent="0.2">
      <c r="A3370">
        <v>5790</v>
      </c>
      <c r="B3370" t="s">
        <v>7048</v>
      </c>
      <c r="C3370" t="s">
        <v>18</v>
      </c>
      <c r="D3370" t="s">
        <v>7049</v>
      </c>
      <c r="E3370" t="s">
        <v>407</v>
      </c>
      <c r="F3370" t="s">
        <v>369</v>
      </c>
      <c r="G3370" t="s">
        <v>32</v>
      </c>
      <c r="H3370" t="b">
        <v>1</v>
      </c>
      <c r="I3370" t="b">
        <v>1</v>
      </c>
      <c r="L3370" t="b">
        <v>1</v>
      </c>
      <c r="M3370" t="s">
        <v>7051</v>
      </c>
      <c r="N3370" t="s">
        <v>7052</v>
      </c>
    </row>
    <row r="3371" spans="1:25" x14ac:dyDescent="0.2">
      <c r="A3371">
        <v>5791</v>
      </c>
      <c r="B3371" t="s">
        <v>7048</v>
      </c>
      <c r="C3371" t="s">
        <v>18</v>
      </c>
      <c r="D3371" t="s">
        <v>7053</v>
      </c>
      <c r="E3371" t="s">
        <v>1725</v>
      </c>
      <c r="F3371" t="s">
        <v>369</v>
      </c>
      <c r="G3371" t="s">
        <v>32</v>
      </c>
      <c r="H3371" t="b">
        <v>1</v>
      </c>
      <c r="I3371" t="b">
        <v>1</v>
      </c>
      <c r="L3371" t="b">
        <v>1</v>
      </c>
      <c r="M3371" t="s">
        <v>7054</v>
      </c>
      <c r="N3371" t="s">
        <v>7055</v>
      </c>
    </row>
    <row r="3372" spans="1:25" x14ac:dyDescent="0.2">
      <c r="A3372">
        <v>5792</v>
      </c>
      <c r="B3372" t="s">
        <v>7048</v>
      </c>
      <c r="C3372" t="s">
        <v>18</v>
      </c>
      <c r="D3372" t="s">
        <v>6852</v>
      </c>
      <c r="E3372" t="s">
        <v>6853</v>
      </c>
      <c r="F3372" t="s">
        <v>82</v>
      </c>
      <c r="G3372" t="s">
        <v>6854</v>
      </c>
      <c r="H3372" t="b">
        <v>0</v>
      </c>
      <c r="I3372" t="b">
        <v>0</v>
      </c>
      <c r="L3372" t="b">
        <v>0</v>
      </c>
      <c r="M3372" t="s">
        <v>6855</v>
      </c>
    </row>
    <row r="3373" spans="1:25" x14ac:dyDescent="0.2">
      <c r="A3373">
        <v>5793</v>
      </c>
      <c r="B3373" t="s">
        <v>7048</v>
      </c>
      <c r="C3373" t="s">
        <v>18</v>
      </c>
      <c r="D3373" t="s">
        <v>7056</v>
      </c>
      <c r="E3373" t="s">
        <v>2408</v>
      </c>
      <c r="F3373" t="s">
        <v>16</v>
      </c>
      <c r="G3373" t="s">
        <v>24</v>
      </c>
      <c r="H3373" t="b">
        <v>0</v>
      </c>
      <c r="I3373" t="b">
        <v>0</v>
      </c>
      <c r="L3373" t="b">
        <v>0</v>
      </c>
      <c r="M3373" t="s">
        <v>7057</v>
      </c>
      <c r="N3373" t="s">
        <v>7058</v>
      </c>
    </row>
    <row r="3374" spans="1:25" x14ac:dyDescent="0.2">
      <c r="A3374">
        <v>5794</v>
      </c>
      <c r="B3374" t="s">
        <v>7048</v>
      </c>
      <c r="C3374" t="s">
        <v>18</v>
      </c>
      <c r="D3374" t="s">
        <v>6473</v>
      </c>
      <c r="E3374" t="s">
        <v>2210</v>
      </c>
      <c r="F3374" t="s">
        <v>159</v>
      </c>
      <c r="G3374" t="s">
        <v>201</v>
      </c>
      <c r="H3374" t="b">
        <v>0</v>
      </c>
      <c r="I3374" t="b">
        <v>0</v>
      </c>
      <c r="L3374" t="b">
        <v>0</v>
      </c>
      <c r="M3374" t="s">
        <v>6474</v>
      </c>
      <c r="N3374" t="s">
        <v>6475</v>
      </c>
    </row>
    <row r="3376" spans="1:25" x14ac:dyDescent="0.2">
      <c r="A3376" s="2">
        <v>5796</v>
      </c>
      <c r="B3376" s="2" t="s">
        <v>7059</v>
      </c>
      <c r="C3376" s="2" t="s">
        <v>13</v>
      </c>
      <c r="D3376" s="2" t="s">
        <v>7060</v>
      </c>
      <c r="E3376" s="2" t="s">
        <v>7061</v>
      </c>
      <c r="F3376" s="2" t="s">
        <v>159</v>
      </c>
      <c r="G3376" s="2" t="s">
        <v>638</v>
      </c>
      <c r="H3376" s="2"/>
      <c r="I3376" s="2"/>
      <c r="J3376" s="2"/>
      <c r="K3376" s="2"/>
      <c r="L3376" s="2"/>
      <c r="M3376" s="2"/>
      <c r="N3376" s="2"/>
      <c r="O3376" s="2"/>
      <c r="P3376" s="2"/>
      <c r="Q3376" s="2"/>
      <c r="R3376" s="2"/>
      <c r="S3376" s="2"/>
      <c r="T3376" s="2"/>
      <c r="U3376" s="2"/>
      <c r="V3376" s="2"/>
      <c r="W3376" s="2"/>
      <c r="X3376" s="2"/>
      <c r="Y3376" s="2"/>
    </row>
    <row r="3377" spans="1:25" x14ac:dyDescent="0.2">
      <c r="A3377">
        <v>5797</v>
      </c>
      <c r="B3377" t="s">
        <v>7059</v>
      </c>
      <c r="C3377" t="s">
        <v>18</v>
      </c>
      <c r="D3377" t="s">
        <v>7060</v>
      </c>
      <c r="E3377" t="s">
        <v>7062</v>
      </c>
      <c r="F3377" t="s">
        <v>159</v>
      </c>
      <c r="G3377" t="s">
        <v>638</v>
      </c>
      <c r="H3377" t="b">
        <v>1</v>
      </c>
      <c r="I3377" t="b">
        <v>1</v>
      </c>
      <c r="L3377" t="b">
        <v>1</v>
      </c>
      <c r="M3377" t="s">
        <v>7063</v>
      </c>
      <c r="N3377" t="s">
        <v>7064</v>
      </c>
    </row>
    <row r="3378" spans="1:25" x14ac:dyDescent="0.2">
      <c r="A3378">
        <v>5798</v>
      </c>
      <c r="B3378" t="s">
        <v>7059</v>
      </c>
      <c r="C3378" t="s">
        <v>18</v>
      </c>
      <c r="D3378" t="s">
        <v>5863</v>
      </c>
      <c r="E3378" t="s">
        <v>2408</v>
      </c>
      <c r="F3378" t="s">
        <v>561</v>
      </c>
      <c r="G3378" t="s">
        <v>638</v>
      </c>
      <c r="H3378" t="b">
        <v>1</v>
      </c>
      <c r="I3378" t="b">
        <v>1</v>
      </c>
      <c r="L3378" t="b">
        <v>1</v>
      </c>
      <c r="M3378" t="s">
        <v>5864</v>
      </c>
      <c r="N3378" t="s">
        <v>5865</v>
      </c>
    </row>
    <row r="3379" spans="1:25" x14ac:dyDescent="0.2">
      <c r="A3379">
        <v>5799</v>
      </c>
      <c r="B3379" t="s">
        <v>7059</v>
      </c>
      <c r="C3379" t="s">
        <v>18</v>
      </c>
      <c r="D3379" t="s">
        <v>7065</v>
      </c>
      <c r="E3379" t="s">
        <v>7066</v>
      </c>
      <c r="F3379" t="s">
        <v>451</v>
      </c>
      <c r="G3379" t="s">
        <v>638</v>
      </c>
      <c r="H3379" t="b">
        <v>0</v>
      </c>
      <c r="I3379" t="b">
        <v>0</v>
      </c>
      <c r="L3379" t="b">
        <v>0</v>
      </c>
      <c r="M3379" t="s">
        <v>7067</v>
      </c>
      <c r="N3379" t="s">
        <v>7068</v>
      </c>
    </row>
    <row r="3380" spans="1:25" x14ac:dyDescent="0.2">
      <c r="A3380">
        <v>5800</v>
      </c>
      <c r="B3380" t="s">
        <v>7059</v>
      </c>
      <c r="C3380" t="s">
        <v>18</v>
      </c>
      <c r="D3380" t="s">
        <v>3754</v>
      </c>
      <c r="E3380" t="s">
        <v>3755</v>
      </c>
      <c r="F3380" t="s">
        <v>87</v>
      </c>
      <c r="G3380" t="s">
        <v>638</v>
      </c>
      <c r="H3380" t="b">
        <v>0</v>
      </c>
      <c r="I3380" t="b">
        <v>0</v>
      </c>
      <c r="L3380" t="b">
        <v>0</v>
      </c>
      <c r="M3380" t="s">
        <v>3756</v>
      </c>
      <c r="N3380" t="s">
        <v>3757</v>
      </c>
    </row>
    <row r="3381" spans="1:25" x14ac:dyDescent="0.2">
      <c r="A3381">
        <v>5801</v>
      </c>
      <c r="B3381" t="s">
        <v>7059</v>
      </c>
      <c r="C3381" t="s">
        <v>18</v>
      </c>
      <c r="D3381" t="s">
        <v>7069</v>
      </c>
      <c r="E3381" t="s">
        <v>7070</v>
      </c>
      <c r="F3381" t="s">
        <v>270</v>
      </c>
      <c r="G3381" t="s">
        <v>638</v>
      </c>
      <c r="H3381" t="b">
        <v>0</v>
      </c>
      <c r="I3381" t="b">
        <v>0</v>
      </c>
      <c r="L3381" t="b">
        <v>0</v>
      </c>
      <c r="M3381" t="s">
        <v>7071</v>
      </c>
      <c r="N3381" t="s">
        <v>7072</v>
      </c>
    </row>
    <row r="3383" spans="1:25" x14ac:dyDescent="0.2">
      <c r="A3383" s="2">
        <v>5810</v>
      </c>
      <c r="B3383" s="2" t="s">
        <v>7073</v>
      </c>
      <c r="C3383" s="2" t="s">
        <v>13</v>
      </c>
      <c r="D3383" s="2" t="s">
        <v>7074</v>
      </c>
      <c r="E3383" s="2" t="s">
        <v>7075</v>
      </c>
      <c r="F3383" s="2" t="s">
        <v>670</v>
      </c>
      <c r="G3383" s="2" t="s">
        <v>638</v>
      </c>
      <c r="H3383" s="2"/>
      <c r="I3383" s="2"/>
      <c r="J3383" s="2"/>
      <c r="K3383" s="2"/>
      <c r="L3383" s="2"/>
      <c r="M3383" s="2"/>
      <c r="N3383" s="2"/>
      <c r="O3383" s="2"/>
      <c r="P3383" s="2"/>
      <c r="Q3383" s="2"/>
      <c r="R3383" s="2"/>
      <c r="S3383" s="2"/>
      <c r="T3383" s="2"/>
      <c r="U3383" s="2"/>
      <c r="V3383" s="2"/>
      <c r="W3383" s="2"/>
      <c r="X3383" s="2"/>
      <c r="Y3383" s="2"/>
    </row>
    <row r="3384" spans="1:25" x14ac:dyDescent="0.2">
      <c r="A3384">
        <v>5811</v>
      </c>
      <c r="B3384" t="s">
        <v>7073</v>
      </c>
      <c r="C3384" t="s">
        <v>18</v>
      </c>
      <c r="D3384" t="s">
        <v>7074</v>
      </c>
      <c r="E3384" t="s">
        <v>935</v>
      </c>
      <c r="F3384" t="s">
        <v>670</v>
      </c>
      <c r="G3384" t="s">
        <v>638</v>
      </c>
      <c r="H3384" t="b">
        <v>1</v>
      </c>
      <c r="K3384" t="b">
        <v>1</v>
      </c>
      <c r="L3384" t="b">
        <v>1</v>
      </c>
      <c r="M3384" t="s">
        <v>7076</v>
      </c>
      <c r="N3384" t="s">
        <v>7077</v>
      </c>
    </row>
    <row r="3385" spans="1:25" x14ac:dyDescent="0.2">
      <c r="A3385">
        <v>5812</v>
      </c>
      <c r="B3385" t="s">
        <v>7073</v>
      </c>
      <c r="C3385" t="s">
        <v>18</v>
      </c>
      <c r="D3385" t="s">
        <v>7078</v>
      </c>
      <c r="E3385" t="s">
        <v>7079</v>
      </c>
      <c r="F3385" t="s">
        <v>670</v>
      </c>
      <c r="G3385" t="s">
        <v>638</v>
      </c>
      <c r="H3385" t="b">
        <v>0</v>
      </c>
      <c r="K3385" t="b">
        <v>0</v>
      </c>
      <c r="L3385" t="b">
        <v>0</v>
      </c>
    </row>
    <row r="3386" spans="1:25" x14ac:dyDescent="0.2">
      <c r="A3386">
        <v>5813</v>
      </c>
      <c r="B3386" t="s">
        <v>7073</v>
      </c>
      <c r="C3386" t="s">
        <v>18</v>
      </c>
      <c r="D3386" t="s">
        <v>7080</v>
      </c>
      <c r="E3386" t="s">
        <v>7081</v>
      </c>
      <c r="F3386" t="s">
        <v>122</v>
      </c>
      <c r="G3386" t="s">
        <v>638</v>
      </c>
      <c r="H3386" t="b">
        <v>0</v>
      </c>
      <c r="K3386" t="b">
        <v>0</v>
      </c>
      <c r="L3386" t="b">
        <v>0</v>
      </c>
    </row>
    <row r="3387" spans="1:25" x14ac:dyDescent="0.2">
      <c r="A3387">
        <v>5814</v>
      </c>
      <c r="B3387" t="s">
        <v>7073</v>
      </c>
      <c r="C3387" t="s">
        <v>18</v>
      </c>
      <c r="D3387" t="s">
        <v>7082</v>
      </c>
      <c r="E3387" t="s">
        <v>7083</v>
      </c>
      <c r="F3387" t="s">
        <v>122</v>
      </c>
      <c r="G3387" t="s">
        <v>638</v>
      </c>
      <c r="H3387" t="b">
        <v>0</v>
      </c>
      <c r="K3387" t="b">
        <v>0</v>
      </c>
      <c r="L3387" t="b">
        <v>0</v>
      </c>
      <c r="M3387" t="s">
        <v>7084</v>
      </c>
    </row>
    <row r="3388" spans="1:25" x14ac:dyDescent="0.2">
      <c r="A3388">
        <v>5815</v>
      </c>
      <c r="B3388" t="s">
        <v>7073</v>
      </c>
      <c r="C3388" t="s">
        <v>18</v>
      </c>
      <c r="D3388" t="s">
        <v>7085</v>
      </c>
      <c r="E3388" t="s">
        <v>7086</v>
      </c>
      <c r="F3388" t="s">
        <v>785</v>
      </c>
      <c r="G3388" t="s">
        <v>638</v>
      </c>
      <c r="H3388" t="b">
        <v>0</v>
      </c>
      <c r="K3388" t="b">
        <v>0</v>
      </c>
      <c r="L3388" t="b">
        <v>0</v>
      </c>
    </row>
    <row r="3390" spans="1:25" x14ac:dyDescent="0.2">
      <c r="A3390" s="2">
        <v>5845</v>
      </c>
      <c r="B3390" s="2" t="s">
        <v>7087</v>
      </c>
      <c r="C3390" s="2" t="s">
        <v>13</v>
      </c>
      <c r="D3390" s="2" t="s">
        <v>7088</v>
      </c>
      <c r="E3390" s="2" t="s">
        <v>7089</v>
      </c>
      <c r="F3390" s="2" t="s">
        <v>122</v>
      </c>
      <c r="G3390" s="2" t="s">
        <v>24</v>
      </c>
      <c r="H3390" s="2"/>
      <c r="I3390" s="2"/>
      <c r="J3390" s="2"/>
      <c r="K3390" s="2"/>
      <c r="L3390" s="2"/>
      <c r="M3390" s="2"/>
      <c r="N3390" s="2"/>
      <c r="O3390" s="2"/>
      <c r="P3390" s="2"/>
      <c r="Q3390" s="2"/>
      <c r="R3390" s="2"/>
      <c r="S3390" s="2"/>
      <c r="T3390" s="2"/>
      <c r="U3390" s="2"/>
      <c r="V3390" s="2"/>
      <c r="W3390" s="2"/>
      <c r="X3390" s="2"/>
      <c r="Y3390" s="2"/>
    </row>
    <row r="3391" spans="1:25" x14ac:dyDescent="0.2">
      <c r="A3391">
        <v>5846</v>
      </c>
      <c r="B3391" t="s">
        <v>7087</v>
      </c>
      <c r="C3391" t="s">
        <v>18</v>
      </c>
      <c r="D3391" t="s">
        <v>7088</v>
      </c>
      <c r="E3391" t="s">
        <v>4498</v>
      </c>
      <c r="F3391" t="s">
        <v>122</v>
      </c>
      <c r="G3391" t="s">
        <v>24</v>
      </c>
      <c r="H3391" t="b">
        <v>1</v>
      </c>
      <c r="I3391" t="b">
        <v>1</v>
      </c>
      <c r="L3391" t="b">
        <v>1</v>
      </c>
      <c r="M3391" t="s">
        <v>7090</v>
      </c>
      <c r="N3391" t="s">
        <v>7091</v>
      </c>
    </row>
    <row r="3392" spans="1:25" x14ac:dyDescent="0.2">
      <c r="A3392">
        <v>5847</v>
      </c>
      <c r="B3392" t="s">
        <v>7087</v>
      </c>
      <c r="C3392" t="s">
        <v>18</v>
      </c>
      <c r="D3392" t="s">
        <v>7092</v>
      </c>
      <c r="E3392" t="s">
        <v>7093</v>
      </c>
      <c r="F3392" t="s">
        <v>122</v>
      </c>
      <c r="G3392" t="s">
        <v>24</v>
      </c>
      <c r="H3392" t="b">
        <v>1</v>
      </c>
      <c r="I3392" t="b">
        <v>1</v>
      </c>
      <c r="L3392" t="b">
        <v>1</v>
      </c>
      <c r="M3392" t="s">
        <v>7094</v>
      </c>
      <c r="N3392" t="s">
        <v>7095</v>
      </c>
    </row>
    <row r="3393" spans="1:25" x14ac:dyDescent="0.2">
      <c r="A3393">
        <v>5848</v>
      </c>
      <c r="B3393" t="s">
        <v>7087</v>
      </c>
      <c r="C3393" t="s">
        <v>18</v>
      </c>
      <c r="D3393" t="s">
        <v>375</v>
      </c>
      <c r="E3393" t="s">
        <v>377</v>
      </c>
      <c r="F3393" t="s">
        <v>369</v>
      </c>
      <c r="G3393" t="s">
        <v>24</v>
      </c>
      <c r="H3393" t="b">
        <v>0</v>
      </c>
      <c r="I3393" t="b">
        <v>0</v>
      </c>
      <c r="L3393" t="b">
        <v>0</v>
      </c>
      <c r="M3393" t="s">
        <v>1585</v>
      </c>
      <c r="N3393" t="s">
        <v>1586</v>
      </c>
    </row>
    <row r="3394" spans="1:25" x14ac:dyDescent="0.2">
      <c r="A3394">
        <v>5849</v>
      </c>
      <c r="B3394" t="s">
        <v>7087</v>
      </c>
      <c r="C3394" t="s">
        <v>18</v>
      </c>
      <c r="D3394" t="s">
        <v>380</v>
      </c>
      <c r="E3394" t="s">
        <v>381</v>
      </c>
      <c r="F3394" t="s">
        <v>31</v>
      </c>
      <c r="G3394" t="s">
        <v>24</v>
      </c>
      <c r="H3394" t="b">
        <v>0</v>
      </c>
      <c r="I3394" t="b">
        <v>0</v>
      </c>
      <c r="L3394" t="b">
        <v>0</v>
      </c>
      <c r="M3394" t="s">
        <v>4129</v>
      </c>
      <c r="N3394" t="s">
        <v>4130</v>
      </c>
    </row>
    <row r="3395" spans="1:25" x14ac:dyDescent="0.2">
      <c r="A3395">
        <v>5850</v>
      </c>
      <c r="B3395" t="s">
        <v>7087</v>
      </c>
      <c r="C3395" t="s">
        <v>18</v>
      </c>
      <c r="D3395" t="s">
        <v>382</v>
      </c>
      <c r="E3395" t="s">
        <v>381</v>
      </c>
      <c r="F3395" t="s">
        <v>20</v>
      </c>
      <c r="G3395" t="s">
        <v>24</v>
      </c>
      <c r="H3395" t="b">
        <v>0</v>
      </c>
      <c r="I3395" t="b">
        <v>0</v>
      </c>
      <c r="L3395" t="b">
        <v>0</v>
      </c>
      <c r="M3395" t="s">
        <v>4131</v>
      </c>
    </row>
    <row r="3397" spans="1:25" x14ac:dyDescent="0.2">
      <c r="A3397" s="2">
        <v>5859</v>
      </c>
      <c r="B3397" s="2" t="s">
        <v>7096</v>
      </c>
      <c r="C3397" s="2" t="s">
        <v>13</v>
      </c>
      <c r="D3397" s="2" t="s">
        <v>7097</v>
      </c>
      <c r="E3397" s="2" t="s">
        <v>7098</v>
      </c>
      <c r="F3397" s="2" t="s">
        <v>159</v>
      </c>
      <c r="G3397" s="2" t="s">
        <v>1867</v>
      </c>
      <c r="H3397" s="2"/>
      <c r="I3397" s="2"/>
      <c r="J3397" s="2"/>
      <c r="K3397" s="2"/>
      <c r="L3397" s="2"/>
      <c r="M3397" s="2"/>
      <c r="N3397" s="2"/>
      <c r="O3397" s="2"/>
      <c r="P3397" s="2"/>
      <c r="Q3397" s="2"/>
      <c r="R3397" s="2"/>
      <c r="S3397" s="2"/>
      <c r="T3397" s="2"/>
      <c r="U3397" s="2"/>
      <c r="V3397" s="2"/>
      <c r="W3397" s="2"/>
      <c r="X3397" s="2"/>
      <c r="Y3397" s="2"/>
    </row>
    <row r="3398" spans="1:25" x14ac:dyDescent="0.2">
      <c r="A3398">
        <v>5860</v>
      </c>
      <c r="B3398" t="s">
        <v>7096</v>
      </c>
      <c r="C3398" t="s">
        <v>18</v>
      </c>
      <c r="D3398" t="s">
        <v>7099</v>
      </c>
      <c r="E3398" t="s">
        <v>7098</v>
      </c>
      <c r="F3398" t="s">
        <v>7100</v>
      </c>
      <c r="G3398" t="s">
        <v>1867</v>
      </c>
      <c r="H3398" t="b">
        <v>1</v>
      </c>
      <c r="K3398" t="b">
        <v>1</v>
      </c>
      <c r="L3398" t="b">
        <v>1</v>
      </c>
      <c r="M3398" t="s">
        <v>7101</v>
      </c>
      <c r="N3398" t="s">
        <v>745</v>
      </c>
    </row>
    <row r="3399" spans="1:25" x14ac:dyDescent="0.2">
      <c r="A3399">
        <v>5861</v>
      </c>
      <c r="B3399" t="s">
        <v>7096</v>
      </c>
      <c r="C3399" t="s">
        <v>18</v>
      </c>
      <c r="D3399" t="s">
        <v>7102</v>
      </c>
      <c r="E3399" t="s">
        <v>7103</v>
      </c>
      <c r="F3399" t="s">
        <v>616</v>
      </c>
      <c r="G3399" t="s">
        <v>17</v>
      </c>
      <c r="H3399" t="b">
        <v>0</v>
      </c>
      <c r="K3399" t="b">
        <v>0</v>
      </c>
      <c r="L3399" t="b">
        <v>0</v>
      </c>
      <c r="M3399" t="s">
        <v>7104</v>
      </c>
    </row>
    <row r="3400" spans="1:25" x14ac:dyDescent="0.2">
      <c r="A3400">
        <v>5862</v>
      </c>
      <c r="B3400" t="s">
        <v>7096</v>
      </c>
      <c r="C3400" t="s">
        <v>18</v>
      </c>
      <c r="D3400" t="s">
        <v>7105</v>
      </c>
      <c r="E3400" t="s">
        <v>7106</v>
      </c>
      <c r="F3400" t="s">
        <v>174</v>
      </c>
      <c r="G3400" t="s">
        <v>88</v>
      </c>
      <c r="H3400" t="b">
        <v>0</v>
      </c>
      <c r="K3400" t="b">
        <v>0</v>
      </c>
      <c r="L3400" t="b">
        <v>0</v>
      </c>
    </row>
    <row r="3401" spans="1:25" x14ac:dyDescent="0.2">
      <c r="A3401">
        <v>5863</v>
      </c>
      <c r="B3401" t="s">
        <v>7096</v>
      </c>
      <c r="C3401" t="s">
        <v>18</v>
      </c>
      <c r="D3401" t="s">
        <v>7107</v>
      </c>
      <c r="E3401" t="s">
        <v>7108</v>
      </c>
      <c r="F3401" t="s">
        <v>174</v>
      </c>
      <c r="G3401" t="s">
        <v>88</v>
      </c>
      <c r="H3401" t="b">
        <v>0</v>
      </c>
      <c r="K3401" t="b">
        <v>0</v>
      </c>
      <c r="L3401" t="b">
        <v>0</v>
      </c>
    </row>
    <row r="3402" spans="1:25" x14ac:dyDescent="0.2">
      <c r="A3402">
        <v>5864</v>
      </c>
      <c r="B3402" t="s">
        <v>7096</v>
      </c>
      <c r="C3402" t="s">
        <v>18</v>
      </c>
      <c r="D3402" t="s">
        <v>7109</v>
      </c>
      <c r="E3402" t="s">
        <v>7110</v>
      </c>
      <c r="F3402" t="s">
        <v>616</v>
      </c>
      <c r="G3402" t="s">
        <v>252</v>
      </c>
      <c r="H3402" t="b">
        <v>0</v>
      </c>
      <c r="K3402" t="b">
        <v>0</v>
      </c>
      <c r="L3402" t="b">
        <v>0</v>
      </c>
    </row>
    <row r="3404" spans="1:25" x14ac:dyDescent="0.2">
      <c r="A3404" s="2">
        <v>5866</v>
      </c>
      <c r="B3404" s="2" t="s">
        <v>7111</v>
      </c>
      <c r="C3404" s="2" t="s">
        <v>13</v>
      </c>
      <c r="D3404" s="2" t="s">
        <v>7112</v>
      </c>
      <c r="E3404" s="2" t="s">
        <v>7113</v>
      </c>
      <c r="F3404" s="2" t="s">
        <v>456</v>
      </c>
      <c r="G3404" s="2" t="s">
        <v>88</v>
      </c>
      <c r="H3404" s="2"/>
      <c r="I3404" s="2"/>
      <c r="J3404" s="2"/>
      <c r="K3404" s="2"/>
      <c r="L3404" s="2"/>
      <c r="M3404" s="2"/>
      <c r="N3404" s="2"/>
      <c r="O3404" s="2"/>
      <c r="P3404" s="2"/>
      <c r="Q3404" s="2"/>
      <c r="R3404" s="2"/>
      <c r="S3404" s="2"/>
      <c r="T3404" s="2"/>
      <c r="U3404" s="2"/>
      <c r="V3404" s="2"/>
      <c r="W3404" s="2"/>
      <c r="X3404" s="2"/>
      <c r="Y3404" s="2"/>
    </row>
    <row r="3405" spans="1:25" x14ac:dyDescent="0.2">
      <c r="A3405">
        <v>5867</v>
      </c>
      <c r="B3405" t="s">
        <v>7111</v>
      </c>
      <c r="C3405" t="s">
        <v>18</v>
      </c>
      <c r="D3405" t="s">
        <v>7112</v>
      </c>
      <c r="E3405" t="s">
        <v>339</v>
      </c>
      <c r="F3405" t="s">
        <v>456</v>
      </c>
      <c r="G3405" t="s">
        <v>88</v>
      </c>
      <c r="H3405" t="b">
        <v>1</v>
      </c>
      <c r="I3405" t="b">
        <v>1</v>
      </c>
      <c r="L3405" t="b">
        <v>1</v>
      </c>
      <c r="M3405" t="s">
        <v>7114</v>
      </c>
      <c r="N3405" t="s">
        <v>7115</v>
      </c>
    </row>
    <row r="3406" spans="1:25" x14ac:dyDescent="0.2">
      <c r="A3406">
        <v>5868</v>
      </c>
      <c r="B3406" t="s">
        <v>7111</v>
      </c>
      <c r="C3406" t="s">
        <v>18</v>
      </c>
      <c r="D3406" t="s">
        <v>7116</v>
      </c>
      <c r="E3406" t="s">
        <v>7117</v>
      </c>
      <c r="F3406" t="s">
        <v>456</v>
      </c>
      <c r="G3406" t="s">
        <v>88</v>
      </c>
      <c r="H3406" t="b">
        <v>1</v>
      </c>
      <c r="I3406" t="b">
        <v>1</v>
      </c>
      <c r="L3406" t="b">
        <v>1</v>
      </c>
      <c r="M3406" t="s">
        <v>7118</v>
      </c>
    </row>
    <row r="3407" spans="1:25" x14ac:dyDescent="0.2">
      <c r="A3407">
        <v>5869</v>
      </c>
      <c r="B3407" t="s">
        <v>7111</v>
      </c>
      <c r="C3407" t="s">
        <v>18</v>
      </c>
      <c r="D3407" t="s">
        <v>7119</v>
      </c>
      <c r="E3407" t="s">
        <v>7120</v>
      </c>
      <c r="F3407" t="s">
        <v>456</v>
      </c>
      <c r="G3407" t="s">
        <v>88</v>
      </c>
      <c r="H3407" t="b">
        <v>0</v>
      </c>
      <c r="I3407" t="b">
        <v>0</v>
      </c>
      <c r="L3407" t="b">
        <v>0</v>
      </c>
      <c r="M3407" t="s">
        <v>7121</v>
      </c>
    </row>
    <row r="3408" spans="1:25" x14ac:dyDescent="0.2">
      <c r="A3408">
        <v>5870</v>
      </c>
      <c r="B3408" t="s">
        <v>7111</v>
      </c>
      <c r="C3408" t="s">
        <v>18</v>
      </c>
      <c r="D3408" t="s">
        <v>7122</v>
      </c>
      <c r="E3408" t="s">
        <v>7123</v>
      </c>
      <c r="F3408" t="s">
        <v>456</v>
      </c>
      <c r="G3408" t="s">
        <v>88</v>
      </c>
      <c r="H3408" t="b">
        <v>0</v>
      </c>
      <c r="I3408" t="b">
        <v>0</v>
      </c>
      <c r="L3408" t="b">
        <v>0</v>
      </c>
      <c r="M3408" t="s">
        <v>7124</v>
      </c>
      <c r="N3408" t="s">
        <v>7125</v>
      </c>
    </row>
    <row r="3409" spans="1:25" x14ac:dyDescent="0.2">
      <c r="A3409">
        <v>5871</v>
      </c>
      <c r="B3409" t="s">
        <v>7111</v>
      </c>
      <c r="C3409" t="s">
        <v>18</v>
      </c>
      <c r="D3409" t="s">
        <v>7126</v>
      </c>
      <c r="E3409" t="s">
        <v>7127</v>
      </c>
      <c r="F3409" t="s">
        <v>7128</v>
      </c>
      <c r="G3409" t="s">
        <v>345</v>
      </c>
      <c r="H3409" t="b">
        <v>0</v>
      </c>
      <c r="I3409" t="b">
        <v>0</v>
      </c>
      <c r="L3409" t="b">
        <v>0</v>
      </c>
      <c r="M3409" t="s">
        <v>7129</v>
      </c>
      <c r="N3409" t="s">
        <v>7130</v>
      </c>
    </row>
    <row r="3411" spans="1:25" x14ac:dyDescent="0.2">
      <c r="A3411" s="2">
        <v>5873</v>
      </c>
      <c r="B3411" s="2" t="s">
        <v>7131</v>
      </c>
      <c r="C3411" s="2" t="s">
        <v>13</v>
      </c>
      <c r="D3411" s="2" t="s">
        <v>7132</v>
      </c>
      <c r="E3411" s="2" t="s">
        <v>7133</v>
      </c>
      <c r="F3411" s="2" t="s">
        <v>122</v>
      </c>
      <c r="G3411" s="2" t="s">
        <v>864</v>
      </c>
      <c r="H3411" s="2"/>
      <c r="I3411" s="2"/>
      <c r="J3411" s="2"/>
      <c r="K3411" s="2"/>
      <c r="L3411" s="2"/>
      <c r="M3411" s="2"/>
      <c r="N3411" s="2"/>
      <c r="O3411" s="2"/>
      <c r="P3411" s="2"/>
      <c r="Q3411" s="2"/>
      <c r="R3411" s="2"/>
      <c r="S3411" s="2"/>
      <c r="T3411" s="2"/>
      <c r="U3411" s="2"/>
      <c r="V3411" s="2"/>
      <c r="W3411" s="2"/>
      <c r="X3411" s="2"/>
      <c r="Y3411" s="2"/>
    </row>
    <row r="3412" spans="1:25" x14ac:dyDescent="0.2">
      <c r="A3412">
        <v>5874</v>
      </c>
      <c r="B3412" t="s">
        <v>7131</v>
      </c>
      <c r="C3412" t="s">
        <v>18</v>
      </c>
      <c r="D3412" t="s">
        <v>7132</v>
      </c>
      <c r="E3412" t="s">
        <v>7133</v>
      </c>
      <c r="F3412" t="s">
        <v>122</v>
      </c>
      <c r="G3412" t="s">
        <v>864</v>
      </c>
      <c r="H3412" t="b">
        <v>1</v>
      </c>
      <c r="I3412" t="b">
        <v>1</v>
      </c>
      <c r="L3412" t="b">
        <v>1</v>
      </c>
      <c r="M3412" t="s">
        <v>7134</v>
      </c>
      <c r="N3412" t="s">
        <v>7135</v>
      </c>
      <c r="O3412" t="s">
        <v>7136</v>
      </c>
      <c r="P3412" t="s">
        <v>7137</v>
      </c>
    </row>
    <row r="3413" spans="1:25" x14ac:dyDescent="0.2">
      <c r="A3413">
        <v>5875</v>
      </c>
      <c r="B3413" t="s">
        <v>7131</v>
      </c>
      <c r="C3413" t="s">
        <v>18</v>
      </c>
      <c r="D3413" t="s">
        <v>1561</v>
      </c>
      <c r="E3413" t="s">
        <v>1562</v>
      </c>
      <c r="F3413" t="s">
        <v>78</v>
      </c>
      <c r="G3413" t="s">
        <v>88</v>
      </c>
      <c r="H3413" t="b">
        <v>0</v>
      </c>
      <c r="I3413" t="b">
        <v>0</v>
      </c>
      <c r="L3413" t="b">
        <v>0</v>
      </c>
      <c r="M3413" t="s">
        <v>1563</v>
      </c>
      <c r="N3413" t="s">
        <v>1564</v>
      </c>
    </row>
    <row r="3414" spans="1:25" x14ac:dyDescent="0.2">
      <c r="A3414">
        <v>5876</v>
      </c>
      <c r="B3414" t="s">
        <v>7131</v>
      </c>
      <c r="C3414" t="s">
        <v>18</v>
      </c>
      <c r="D3414" t="s">
        <v>7138</v>
      </c>
      <c r="E3414" t="s">
        <v>3106</v>
      </c>
      <c r="F3414" t="s">
        <v>78</v>
      </c>
      <c r="G3414" t="s">
        <v>265</v>
      </c>
      <c r="H3414" t="b">
        <v>0</v>
      </c>
      <c r="I3414" t="b">
        <v>0</v>
      </c>
      <c r="L3414" t="b">
        <v>0</v>
      </c>
      <c r="M3414" t="s">
        <v>7139</v>
      </c>
      <c r="N3414" t="s">
        <v>7140</v>
      </c>
    </row>
    <row r="3415" spans="1:25" x14ac:dyDescent="0.2">
      <c r="A3415">
        <v>5877</v>
      </c>
      <c r="B3415" t="s">
        <v>7131</v>
      </c>
      <c r="C3415" t="s">
        <v>18</v>
      </c>
      <c r="D3415" t="s">
        <v>7141</v>
      </c>
      <c r="E3415" t="s">
        <v>3565</v>
      </c>
      <c r="F3415" t="s">
        <v>174</v>
      </c>
      <c r="G3415" t="s">
        <v>4192</v>
      </c>
      <c r="H3415" t="b">
        <v>0</v>
      </c>
      <c r="I3415" t="b">
        <v>0</v>
      </c>
      <c r="L3415" t="b">
        <v>0</v>
      </c>
      <c r="M3415" t="s">
        <v>7142</v>
      </c>
    </row>
    <row r="3416" spans="1:25" x14ac:dyDescent="0.2">
      <c r="A3416">
        <v>5878</v>
      </c>
      <c r="B3416" t="s">
        <v>7131</v>
      </c>
      <c r="C3416" t="s">
        <v>18</v>
      </c>
      <c r="D3416" t="s">
        <v>7143</v>
      </c>
      <c r="E3416" t="s">
        <v>3314</v>
      </c>
      <c r="F3416" t="s">
        <v>174</v>
      </c>
      <c r="G3416" t="s">
        <v>4192</v>
      </c>
      <c r="H3416" t="b">
        <v>0</v>
      </c>
      <c r="I3416" t="b">
        <v>0</v>
      </c>
      <c r="L3416" t="b">
        <v>0</v>
      </c>
    </row>
    <row r="3418" spans="1:25" x14ac:dyDescent="0.2">
      <c r="A3418" s="2">
        <v>5887</v>
      </c>
      <c r="B3418" s="2" t="s">
        <v>7144</v>
      </c>
      <c r="C3418" s="2" t="s">
        <v>13</v>
      </c>
      <c r="D3418" s="2" t="s">
        <v>7145</v>
      </c>
      <c r="E3418" s="2" t="s">
        <v>7146</v>
      </c>
      <c r="F3418" s="2" t="s">
        <v>144</v>
      </c>
      <c r="G3418" s="2" t="s">
        <v>74</v>
      </c>
      <c r="H3418" s="2"/>
      <c r="I3418" s="2"/>
      <c r="J3418" s="2"/>
      <c r="K3418" s="2"/>
      <c r="L3418" s="2"/>
      <c r="M3418" s="2"/>
      <c r="N3418" s="2"/>
      <c r="O3418" s="2"/>
      <c r="P3418" s="2"/>
      <c r="Q3418" s="2"/>
      <c r="R3418" s="2"/>
      <c r="S3418" s="2"/>
      <c r="T3418" s="2"/>
      <c r="U3418" s="2"/>
      <c r="V3418" s="2"/>
      <c r="W3418" s="2"/>
      <c r="X3418" s="2"/>
      <c r="Y3418" s="2"/>
    </row>
    <row r="3419" spans="1:25" x14ac:dyDescent="0.2">
      <c r="A3419">
        <v>5888</v>
      </c>
      <c r="B3419" t="s">
        <v>7144</v>
      </c>
      <c r="C3419" t="s">
        <v>18</v>
      </c>
      <c r="D3419" t="s">
        <v>7145</v>
      </c>
      <c r="E3419" t="s">
        <v>3695</v>
      </c>
      <c r="F3419" t="s">
        <v>144</v>
      </c>
      <c r="G3419" t="s">
        <v>74</v>
      </c>
      <c r="H3419" t="b">
        <v>1</v>
      </c>
      <c r="K3419" t="b">
        <v>1</v>
      </c>
      <c r="L3419" t="b">
        <v>1</v>
      </c>
      <c r="M3419" t="s">
        <v>7147</v>
      </c>
      <c r="N3419" t="s">
        <v>7148</v>
      </c>
    </row>
    <row r="3420" spans="1:25" x14ac:dyDescent="0.2">
      <c r="A3420">
        <v>5889</v>
      </c>
      <c r="B3420" t="s">
        <v>7144</v>
      </c>
      <c r="C3420" t="s">
        <v>18</v>
      </c>
      <c r="D3420" t="s">
        <v>7149</v>
      </c>
      <c r="E3420" t="s">
        <v>2742</v>
      </c>
      <c r="F3420" t="s">
        <v>144</v>
      </c>
      <c r="G3420" t="s">
        <v>74</v>
      </c>
      <c r="H3420" t="b">
        <v>0</v>
      </c>
      <c r="K3420" t="b">
        <v>1</v>
      </c>
      <c r="L3420" t="b">
        <v>1</v>
      </c>
      <c r="M3420" t="s">
        <v>7150</v>
      </c>
    </row>
    <row r="3421" spans="1:25" x14ac:dyDescent="0.2">
      <c r="A3421">
        <v>5890</v>
      </c>
      <c r="B3421" t="s">
        <v>7144</v>
      </c>
      <c r="C3421" t="s">
        <v>18</v>
      </c>
      <c r="D3421" t="s">
        <v>7151</v>
      </c>
      <c r="E3421" t="s">
        <v>7152</v>
      </c>
      <c r="F3421" t="s">
        <v>248</v>
      </c>
      <c r="G3421" t="s">
        <v>17</v>
      </c>
      <c r="H3421" t="b">
        <v>0</v>
      </c>
      <c r="K3421" t="b">
        <v>0</v>
      </c>
      <c r="L3421" t="b">
        <v>0</v>
      </c>
    </row>
    <row r="3422" spans="1:25" x14ac:dyDescent="0.2">
      <c r="A3422">
        <v>5891</v>
      </c>
      <c r="B3422" t="s">
        <v>7144</v>
      </c>
      <c r="C3422" t="s">
        <v>18</v>
      </c>
      <c r="D3422" t="s">
        <v>7153</v>
      </c>
      <c r="E3422" t="s">
        <v>7154</v>
      </c>
      <c r="F3422" t="s">
        <v>23</v>
      </c>
      <c r="G3422" t="s">
        <v>134</v>
      </c>
      <c r="H3422" t="b">
        <v>0</v>
      </c>
      <c r="K3422" t="b">
        <v>0</v>
      </c>
      <c r="L3422" t="b">
        <v>0</v>
      </c>
    </row>
    <row r="3423" spans="1:25" x14ac:dyDescent="0.2">
      <c r="A3423">
        <v>5892</v>
      </c>
      <c r="B3423" t="s">
        <v>7144</v>
      </c>
      <c r="C3423" t="s">
        <v>18</v>
      </c>
      <c r="D3423" t="s">
        <v>7155</v>
      </c>
      <c r="E3423" t="s">
        <v>7156</v>
      </c>
      <c r="F3423" t="s">
        <v>7157</v>
      </c>
      <c r="G3423" t="s">
        <v>134</v>
      </c>
      <c r="H3423" t="b">
        <v>0</v>
      </c>
      <c r="K3423" t="b">
        <v>0</v>
      </c>
      <c r="L3423" t="b">
        <v>0</v>
      </c>
      <c r="M3423" t="s">
        <v>7158</v>
      </c>
      <c r="N3423" t="s">
        <v>7159</v>
      </c>
    </row>
    <row r="3425" spans="1:25" x14ac:dyDescent="0.2">
      <c r="A3425" s="2">
        <v>5901</v>
      </c>
      <c r="B3425" s="2" t="s">
        <v>7160</v>
      </c>
      <c r="C3425" s="2" t="s">
        <v>13</v>
      </c>
      <c r="D3425" s="2" t="s">
        <v>7161</v>
      </c>
      <c r="E3425" s="2" t="s">
        <v>7162</v>
      </c>
      <c r="F3425" s="2" t="s">
        <v>316</v>
      </c>
      <c r="G3425" s="2" t="s">
        <v>417</v>
      </c>
      <c r="H3425" s="2"/>
      <c r="I3425" s="2"/>
      <c r="J3425" s="2"/>
      <c r="K3425" s="2"/>
      <c r="L3425" s="2"/>
      <c r="M3425" s="2"/>
      <c r="N3425" s="2"/>
      <c r="O3425" s="2"/>
      <c r="P3425" s="2"/>
      <c r="Q3425" s="2"/>
      <c r="R3425" s="2"/>
      <c r="S3425" s="2"/>
      <c r="T3425" s="2"/>
      <c r="U3425" s="2"/>
      <c r="V3425" s="2"/>
      <c r="W3425" s="2"/>
      <c r="X3425" s="2"/>
      <c r="Y3425" s="2"/>
    </row>
    <row r="3426" spans="1:25" x14ac:dyDescent="0.2">
      <c r="A3426">
        <v>5902</v>
      </c>
      <c r="B3426" t="s">
        <v>7160</v>
      </c>
      <c r="C3426" t="s">
        <v>18</v>
      </c>
      <c r="D3426" t="s">
        <v>7161</v>
      </c>
      <c r="E3426" t="s">
        <v>2705</v>
      </c>
      <c r="F3426" t="s">
        <v>316</v>
      </c>
      <c r="G3426" t="s">
        <v>417</v>
      </c>
      <c r="H3426" t="b">
        <v>1</v>
      </c>
      <c r="K3426" t="b">
        <v>1</v>
      </c>
      <c r="L3426" t="b">
        <v>1</v>
      </c>
      <c r="M3426" t="s">
        <v>7163</v>
      </c>
      <c r="N3426" t="s">
        <v>7164</v>
      </c>
    </row>
    <row r="3427" spans="1:25" x14ac:dyDescent="0.2">
      <c r="A3427">
        <v>5903</v>
      </c>
      <c r="B3427" t="s">
        <v>7160</v>
      </c>
      <c r="C3427" t="s">
        <v>18</v>
      </c>
      <c r="D3427" t="s">
        <v>7165</v>
      </c>
      <c r="E3427" t="s">
        <v>7166</v>
      </c>
      <c r="F3427" t="s">
        <v>78</v>
      </c>
      <c r="G3427" t="s">
        <v>417</v>
      </c>
      <c r="H3427" t="b">
        <v>1</v>
      </c>
      <c r="K3427" t="b">
        <v>0</v>
      </c>
      <c r="L3427" t="b">
        <v>1</v>
      </c>
    </row>
    <row r="3428" spans="1:25" x14ac:dyDescent="0.2">
      <c r="A3428">
        <v>5904</v>
      </c>
      <c r="B3428" t="s">
        <v>7160</v>
      </c>
      <c r="C3428" t="s">
        <v>18</v>
      </c>
      <c r="D3428" t="s">
        <v>6745</v>
      </c>
      <c r="E3428" t="s">
        <v>3910</v>
      </c>
      <c r="F3428" t="s">
        <v>316</v>
      </c>
      <c r="G3428" t="s">
        <v>879</v>
      </c>
      <c r="H3428" t="b">
        <v>0</v>
      </c>
      <c r="K3428" t="b">
        <v>0</v>
      </c>
      <c r="L3428" t="b">
        <v>0</v>
      </c>
      <c r="M3428" t="s">
        <v>6746</v>
      </c>
      <c r="N3428" t="s">
        <v>6747</v>
      </c>
    </row>
    <row r="3429" spans="1:25" x14ac:dyDescent="0.2">
      <c r="A3429">
        <v>5905</v>
      </c>
      <c r="B3429" t="s">
        <v>7160</v>
      </c>
      <c r="C3429" t="s">
        <v>18</v>
      </c>
      <c r="D3429" t="s">
        <v>7167</v>
      </c>
      <c r="E3429" t="s">
        <v>5818</v>
      </c>
      <c r="F3429" t="s">
        <v>316</v>
      </c>
      <c r="G3429" t="s">
        <v>417</v>
      </c>
      <c r="H3429" t="b">
        <v>1</v>
      </c>
      <c r="K3429" t="b">
        <v>0</v>
      </c>
      <c r="L3429" t="b">
        <v>1</v>
      </c>
      <c r="M3429" t="s">
        <v>7168</v>
      </c>
    </row>
    <row r="3430" spans="1:25" x14ac:dyDescent="0.2">
      <c r="A3430">
        <v>5906</v>
      </c>
      <c r="B3430" t="s">
        <v>7160</v>
      </c>
      <c r="C3430" t="s">
        <v>18</v>
      </c>
      <c r="D3430" t="s">
        <v>2984</v>
      </c>
      <c r="E3430" t="s">
        <v>2985</v>
      </c>
      <c r="F3430" t="s">
        <v>78</v>
      </c>
      <c r="G3430" t="s">
        <v>417</v>
      </c>
      <c r="H3430" t="b">
        <v>0</v>
      </c>
      <c r="K3430" t="b">
        <v>0</v>
      </c>
      <c r="L3430" t="b">
        <v>0</v>
      </c>
      <c r="M3430" t="s">
        <v>2986</v>
      </c>
      <c r="N3430" t="s">
        <v>2987</v>
      </c>
    </row>
    <row r="3432" spans="1:25" x14ac:dyDescent="0.2">
      <c r="A3432" s="2">
        <v>5929</v>
      </c>
      <c r="B3432" s="2" t="s">
        <v>7169</v>
      </c>
      <c r="C3432" s="2" t="s">
        <v>13</v>
      </c>
      <c r="D3432" s="2" t="s">
        <v>7170</v>
      </c>
      <c r="E3432" s="2" t="s">
        <v>7171</v>
      </c>
      <c r="F3432" s="2" t="s">
        <v>168</v>
      </c>
      <c r="G3432" s="2" t="s">
        <v>24</v>
      </c>
      <c r="H3432" s="2"/>
      <c r="I3432" s="2"/>
      <c r="J3432" s="2"/>
      <c r="K3432" s="2"/>
      <c r="L3432" s="2"/>
      <c r="M3432" s="2"/>
      <c r="N3432" s="2"/>
      <c r="O3432" s="2"/>
      <c r="P3432" s="2"/>
      <c r="Q3432" s="2"/>
      <c r="R3432" s="2"/>
      <c r="S3432" s="2"/>
      <c r="T3432" s="2"/>
      <c r="U3432" s="2"/>
      <c r="V3432" s="2"/>
      <c r="W3432" s="2"/>
      <c r="X3432" s="2"/>
      <c r="Y3432" s="2"/>
    </row>
    <row r="3433" spans="1:25" x14ac:dyDescent="0.2">
      <c r="A3433">
        <v>5930</v>
      </c>
      <c r="B3433" t="s">
        <v>7169</v>
      </c>
      <c r="C3433" t="s">
        <v>18</v>
      </c>
      <c r="D3433" t="s">
        <v>7170</v>
      </c>
      <c r="E3433" t="s">
        <v>7172</v>
      </c>
      <c r="F3433" t="s">
        <v>168</v>
      </c>
      <c r="G3433" t="s">
        <v>24</v>
      </c>
      <c r="H3433" t="b">
        <v>1</v>
      </c>
      <c r="I3433" t="b">
        <v>1</v>
      </c>
      <c r="L3433" t="b">
        <v>1</v>
      </c>
      <c r="M3433" t="s">
        <v>7173</v>
      </c>
      <c r="N3433" t="s">
        <v>7174</v>
      </c>
    </row>
    <row r="3434" spans="1:25" x14ac:dyDescent="0.2">
      <c r="A3434">
        <v>5931</v>
      </c>
      <c r="B3434" t="s">
        <v>7169</v>
      </c>
      <c r="C3434" t="s">
        <v>18</v>
      </c>
      <c r="D3434" t="s">
        <v>7175</v>
      </c>
      <c r="E3434" t="s">
        <v>2968</v>
      </c>
      <c r="F3434" t="s">
        <v>168</v>
      </c>
      <c r="G3434" t="s">
        <v>24</v>
      </c>
      <c r="H3434" t="b">
        <v>0</v>
      </c>
      <c r="I3434" t="b">
        <v>0</v>
      </c>
      <c r="L3434" t="b">
        <v>0</v>
      </c>
      <c r="M3434" t="s">
        <v>7176</v>
      </c>
    </row>
    <row r="3435" spans="1:25" x14ac:dyDescent="0.2">
      <c r="A3435">
        <v>5932</v>
      </c>
      <c r="B3435" t="s">
        <v>7169</v>
      </c>
      <c r="C3435" t="s">
        <v>18</v>
      </c>
      <c r="D3435" t="s">
        <v>2411</v>
      </c>
      <c r="E3435" t="s">
        <v>2412</v>
      </c>
      <c r="F3435" t="s">
        <v>31</v>
      </c>
      <c r="G3435" t="s">
        <v>17</v>
      </c>
      <c r="H3435" t="b">
        <v>0</v>
      </c>
      <c r="I3435" t="b">
        <v>0</v>
      </c>
      <c r="L3435" t="b">
        <v>0</v>
      </c>
      <c r="M3435" t="s">
        <v>2413</v>
      </c>
      <c r="N3435" t="s">
        <v>2414</v>
      </c>
    </row>
    <row r="3436" spans="1:25" x14ac:dyDescent="0.2">
      <c r="A3436">
        <v>5933</v>
      </c>
      <c r="B3436" t="s">
        <v>7169</v>
      </c>
      <c r="C3436" t="s">
        <v>18</v>
      </c>
      <c r="D3436" t="s">
        <v>4047</v>
      </c>
      <c r="E3436" t="s">
        <v>4048</v>
      </c>
      <c r="F3436" t="s">
        <v>151</v>
      </c>
      <c r="G3436" t="s">
        <v>24</v>
      </c>
      <c r="H3436" t="b">
        <v>0</v>
      </c>
      <c r="I3436" t="b">
        <v>0</v>
      </c>
      <c r="L3436" t="b">
        <v>0</v>
      </c>
      <c r="M3436" t="s">
        <v>4049</v>
      </c>
    </row>
    <row r="3437" spans="1:25" x14ac:dyDescent="0.2">
      <c r="A3437">
        <v>5934</v>
      </c>
      <c r="B3437" t="s">
        <v>7169</v>
      </c>
      <c r="C3437" t="s">
        <v>18</v>
      </c>
      <c r="D3437" t="s">
        <v>6556</v>
      </c>
      <c r="E3437" t="s">
        <v>195</v>
      </c>
      <c r="F3437" t="s">
        <v>151</v>
      </c>
      <c r="G3437" t="s">
        <v>24</v>
      </c>
      <c r="H3437" t="b">
        <v>0</v>
      </c>
      <c r="I3437" t="b">
        <v>0</v>
      </c>
      <c r="L3437" t="b">
        <v>0</v>
      </c>
      <c r="M3437" t="s">
        <v>6557</v>
      </c>
    </row>
    <row r="3439" spans="1:25" x14ac:dyDescent="0.2">
      <c r="A3439" s="2">
        <v>5936</v>
      </c>
      <c r="B3439" s="2" t="s">
        <v>7177</v>
      </c>
      <c r="C3439" s="2" t="s">
        <v>13</v>
      </c>
      <c r="D3439" s="2" t="s">
        <v>7178</v>
      </c>
      <c r="E3439" s="2" t="s">
        <v>7179</v>
      </c>
      <c r="F3439" s="2" t="s">
        <v>159</v>
      </c>
      <c r="G3439" s="2" t="s">
        <v>265</v>
      </c>
      <c r="H3439" s="2"/>
      <c r="I3439" s="2"/>
      <c r="J3439" s="2"/>
      <c r="K3439" s="2"/>
      <c r="L3439" s="2"/>
      <c r="M3439" s="2"/>
      <c r="N3439" s="2"/>
      <c r="O3439" s="2"/>
      <c r="P3439" s="2"/>
      <c r="Q3439" s="2"/>
      <c r="R3439" s="2"/>
      <c r="S3439" s="2"/>
      <c r="T3439" s="2"/>
      <c r="U3439" s="2"/>
      <c r="V3439" s="2"/>
      <c r="W3439" s="2"/>
      <c r="X3439" s="2"/>
      <c r="Y3439" s="2"/>
    </row>
    <row r="3440" spans="1:25" x14ac:dyDescent="0.2">
      <c r="A3440">
        <v>5937</v>
      </c>
      <c r="B3440" t="s">
        <v>7177</v>
      </c>
      <c r="C3440" t="s">
        <v>18</v>
      </c>
      <c r="D3440" t="s">
        <v>7178</v>
      </c>
      <c r="E3440" t="s">
        <v>7179</v>
      </c>
      <c r="F3440" t="s">
        <v>159</v>
      </c>
      <c r="G3440" t="s">
        <v>265</v>
      </c>
      <c r="H3440" t="b">
        <v>1</v>
      </c>
      <c r="K3440" t="b">
        <v>1</v>
      </c>
      <c r="L3440" t="b">
        <v>1</v>
      </c>
      <c r="M3440" t="s">
        <v>7180</v>
      </c>
      <c r="N3440" t="s">
        <v>745</v>
      </c>
    </row>
    <row r="3441" spans="1:25" x14ac:dyDescent="0.2">
      <c r="A3441">
        <v>5938</v>
      </c>
      <c r="B3441" t="s">
        <v>7177</v>
      </c>
      <c r="C3441" t="s">
        <v>18</v>
      </c>
      <c r="D3441" t="s">
        <v>7181</v>
      </c>
      <c r="E3441" t="s">
        <v>7182</v>
      </c>
      <c r="F3441" t="s">
        <v>82</v>
      </c>
      <c r="G3441" t="s">
        <v>265</v>
      </c>
      <c r="H3441" t="b">
        <v>0</v>
      </c>
      <c r="K3441" t="b">
        <v>0</v>
      </c>
      <c r="L3441" t="b">
        <v>0</v>
      </c>
    </row>
    <row r="3442" spans="1:25" x14ac:dyDescent="0.2">
      <c r="A3442">
        <v>5939</v>
      </c>
      <c r="B3442" t="s">
        <v>7177</v>
      </c>
      <c r="C3442" t="s">
        <v>18</v>
      </c>
      <c r="D3442" t="s">
        <v>7183</v>
      </c>
      <c r="E3442" t="s">
        <v>7184</v>
      </c>
      <c r="F3442" t="s">
        <v>82</v>
      </c>
      <c r="G3442" t="s">
        <v>265</v>
      </c>
      <c r="H3442" t="b">
        <v>0</v>
      </c>
      <c r="K3442" t="b">
        <v>0</v>
      </c>
      <c r="L3442" t="b">
        <v>0</v>
      </c>
    </row>
    <row r="3443" spans="1:25" x14ac:dyDescent="0.2">
      <c r="A3443">
        <v>5940</v>
      </c>
      <c r="B3443" t="s">
        <v>7177</v>
      </c>
      <c r="C3443" t="s">
        <v>18</v>
      </c>
      <c r="D3443" t="s">
        <v>7185</v>
      </c>
      <c r="E3443" t="s">
        <v>7186</v>
      </c>
      <c r="F3443" t="s">
        <v>82</v>
      </c>
      <c r="G3443" t="s">
        <v>265</v>
      </c>
      <c r="H3443" t="b">
        <v>0</v>
      </c>
      <c r="K3443" t="b">
        <v>0</v>
      </c>
      <c r="L3443" t="b">
        <v>0</v>
      </c>
    </row>
    <row r="3444" spans="1:25" x14ac:dyDescent="0.2">
      <c r="A3444">
        <v>5941</v>
      </c>
      <c r="B3444" t="s">
        <v>7177</v>
      </c>
      <c r="C3444" t="s">
        <v>18</v>
      </c>
      <c r="D3444" t="s">
        <v>4460</v>
      </c>
      <c r="E3444" t="s">
        <v>1319</v>
      </c>
      <c r="F3444" t="s">
        <v>159</v>
      </c>
      <c r="G3444" t="s">
        <v>265</v>
      </c>
      <c r="H3444" t="b">
        <v>0</v>
      </c>
      <c r="K3444" t="b">
        <v>0</v>
      </c>
      <c r="L3444" t="b">
        <v>0</v>
      </c>
      <c r="M3444" t="s">
        <v>4461</v>
      </c>
      <c r="N3444" t="s">
        <v>4462</v>
      </c>
    </row>
    <row r="3446" spans="1:25" x14ac:dyDescent="0.2">
      <c r="A3446" s="2">
        <v>5950</v>
      </c>
      <c r="B3446" s="2" t="s">
        <v>7187</v>
      </c>
      <c r="C3446" s="2" t="s">
        <v>13</v>
      </c>
      <c r="D3446" s="2" t="s">
        <v>7188</v>
      </c>
      <c r="E3446" s="2" t="s">
        <v>7189</v>
      </c>
      <c r="F3446" s="2" t="s">
        <v>148</v>
      </c>
      <c r="G3446" s="2" t="s">
        <v>94</v>
      </c>
      <c r="H3446" s="2"/>
      <c r="I3446" s="2"/>
      <c r="J3446" s="2"/>
      <c r="K3446" s="2"/>
      <c r="L3446" s="2"/>
      <c r="M3446" s="2"/>
      <c r="N3446" s="2"/>
      <c r="O3446" s="2"/>
      <c r="P3446" s="2"/>
      <c r="Q3446" s="2"/>
      <c r="R3446" s="2"/>
      <c r="S3446" s="2"/>
      <c r="T3446" s="2"/>
      <c r="U3446" s="2"/>
      <c r="V3446" s="2"/>
      <c r="W3446" s="2"/>
      <c r="X3446" s="2"/>
      <c r="Y3446" s="2"/>
    </row>
    <row r="3447" spans="1:25" x14ac:dyDescent="0.2">
      <c r="A3447">
        <v>5951</v>
      </c>
      <c r="B3447" t="s">
        <v>7187</v>
      </c>
      <c r="C3447" t="s">
        <v>18</v>
      </c>
      <c r="D3447" t="s">
        <v>7190</v>
      </c>
      <c r="E3447" t="s">
        <v>7191</v>
      </c>
      <c r="F3447" t="s">
        <v>148</v>
      </c>
      <c r="G3447" t="s">
        <v>7192</v>
      </c>
      <c r="H3447" t="b">
        <v>0</v>
      </c>
      <c r="K3447" t="b">
        <v>0</v>
      </c>
      <c r="L3447" t="b">
        <v>0</v>
      </c>
      <c r="M3447" t="s">
        <v>7193</v>
      </c>
      <c r="N3447" t="s">
        <v>7194</v>
      </c>
    </row>
    <row r="3448" spans="1:25" x14ac:dyDescent="0.2">
      <c r="A3448">
        <v>5952</v>
      </c>
      <c r="B3448" t="s">
        <v>7187</v>
      </c>
      <c r="C3448" t="s">
        <v>18</v>
      </c>
      <c r="D3448" t="s">
        <v>7195</v>
      </c>
      <c r="E3448" t="s">
        <v>7196</v>
      </c>
      <c r="F3448" t="s">
        <v>148</v>
      </c>
      <c r="G3448" t="s">
        <v>94</v>
      </c>
      <c r="H3448" t="b">
        <v>0</v>
      </c>
      <c r="K3448" t="b">
        <v>1</v>
      </c>
      <c r="L3448" t="b">
        <v>1</v>
      </c>
      <c r="M3448" t="s">
        <v>7197</v>
      </c>
    </row>
    <row r="3449" spans="1:25" x14ac:dyDescent="0.2">
      <c r="A3449">
        <v>5953</v>
      </c>
      <c r="B3449" t="s">
        <v>7187</v>
      </c>
      <c r="C3449" t="s">
        <v>18</v>
      </c>
      <c r="D3449" t="s">
        <v>7198</v>
      </c>
      <c r="E3449" t="s">
        <v>7199</v>
      </c>
      <c r="F3449" t="s">
        <v>144</v>
      </c>
      <c r="G3449" t="s">
        <v>88</v>
      </c>
      <c r="H3449" t="b">
        <v>0</v>
      </c>
      <c r="K3449" t="b">
        <v>0</v>
      </c>
      <c r="L3449" t="b">
        <v>0</v>
      </c>
      <c r="M3449" t="s">
        <v>7200</v>
      </c>
    </row>
    <row r="3450" spans="1:25" x14ac:dyDescent="0.2">
      <c r="A3450">
        <v>5954</v>
      </c>
      <c r="B3450" t="s">
        <v>7187</v>
      </c>
      <c r="C3450" t="s">
        <v>18</v>
      </c>
      <c r="D3450" t="s">
        <v>7201</v>
      </c>
      <c r="E3450" t="s">
        <v>6017</v>
      </c>
      <c r="F3450" t="s">
        <v>144</v>
      </c>
      <c r="G3450" t="s">
        <v>32</v>
      </c>
      <c r="H3450" t="b">
        <v>0</v>
      </c>
      <c r="K3450" t="b">
        <v>0</v>
      </c>
      <c r="L3450" t="b">
        <v>0</v>
      </c>
      <c r="M3450" t="s">
        <v>7202</v>
      </c>
      <c r="N3450" t="s">
        <v>7203</v>
      </c>
    </row>
    <row r="3451" spans="1:25" x14ac:dyDescent="0.2">
      <c r="A3451">
        <v>5955</v>
      </c>
      <c r="B3451" t="s">
        <v>7187</v>
      </c>
      <c r="C3451" t="s">
        <v>18</v>
      </c>
      <c r="D3451" t="s">
        <v>7204</v>
      </c>
      <c r="E3451" t="s">
        <v>7205</v>
      </c>
      <c r="F3451" t="s">
        <v>144</v>
      </c>
      <c r="G3451" t="s">
        <v>252</v>
      </c>
      <c r="H3451" t="b">
        <v>0</v>
      </c>
      <c r="K3451" t="b">
        <v>0</v>
      </c>
      <c r="L3451" t="b">
        <v>0</v>
      </c>
      <c r="M3451" t="s">
        <v>7206</v>
      </c>
      <c r="N3451" t="s">
        <v>7207</v>
      </c>
    </row>
    <row r="3453" spans="1:25" x14ac:dyDescent="0.2">
      <c r="A3453" s="2">
        <v>5957</v>
      </c>
      <c r="B3453" s="2" t="s">
        <v>7208</v>
      </c>
      <c r="C3453" s="2" t="s">
        <v>13</v>
      </c>
      <c r="D3453" s="2" t="s">
        <v>6788</v>
      </c>
      <c r="E3453" s="2" t="s">
        <v>7209</v>
      </c>
      <c r="F3453" s="2" t="s">
        <v>168</v>
      </c>
      <c r="G3453" s="2" t="s">
        <v>32</v>
      </c>
      <c r="H3453" s="2"/>
      <c r="I3453" s="2"/>
      <c r="J3453" s="2"/>
      <c r="K3453" s="2"/>
      <c r="L3453" s="2"/>
      <c r="M3453" s="2"/>
      <c r="N3453" s="2"/>
      <c r="O3453" s="2"/>
      <c r="P3453" s="2"/>
      <c r="Q3453" s="2"/>
      <c r="R3453" s="2"/>
      <c r="S3453" s="2"/>
      <c r="T3453" s="2"/>
      <c r="U3453" s="2"/>
      <c r="V3453" s="2"/>
      <c r="W3453" s="2"/>
      <c r="X3453" s="2"/>
      <c r="Y3453" s="2"/>
    </row>
    <row r="3454" spans="1:25" x14ac:dyDescent="0.2">
      <c r="A3454">
        <v>5958</v>
      </c>
      <c r="B3454" t="s">
        <v>7208</v>
      </c>
      <c r="C3454" t="s">
        <v>18</v>
      </c>
      <c r="D3454" t="s">
        <v>6788</v>
      </c>
      <c r="E3454" t="s">
        <v>4296</v>
      </c>
      <c r="F3454" t="s">
        <v>168</v>
      </c>
      <c r="G3454" t="s">
        <v>32</v>
      </c>
      <c r="H3454" t="b">
        <v>1</v>
      </c>
      <c r="K3454" t="b">
        <v>1</v>
      </c>
      <c r="L3454" t="b">
        <v>1</v>
      </c>
      <c r="M3454" t="s">
        <v>6789</v>
      </c>
      <c r="N3454" t="s">
        <v>6790</v>
      </c>
    </row>
    <row r="3455" spans="1:25" x14ac:dyDescent="0.2">
      <c r="A3455">
        <v>5959</v>
      </c>
      <c r="B3455" t="s">
        <v>7208</v>
      </c>
      <c r="C3455" t="s">
        <v>18</v>
      </c>
      <c r="D3455" t="s">
        <v>7210</v>
      </c>
      <c r="E3455" t="s">
        <v>4180</v>
      </c>
      <c r="F3455" t="s">
        <v>168</v>
      </c>
      <c r="G3455" t="s">
        <v>32</v>
      </c>
      <c r="H3455" t="b">
        <v>1</v>
      </c>
      <c r="K3455" t="b">
        <v>1</v>
      </c>
      <c r="L3455" t="b">
        <v>1</v>
      </c>
      <c r="M3455" t="s">
        <v>7211</v>
      </c>
      <c r="N3455" t="s">
        <v>7212</v>
      </c>
    </row>
    <row r="3456" spans="1:25" x14ac:dyDescent="0.2">
      <c r="A3456">
        <v>5960</v>
      </c>
      <c r="B3456" t="s">
        <v>7208</v>
      </c>
      <c r="C3456" t="s">
        <v>18</v>
      </c>
      <c r="D3456" t="s">
        <v>7213</v>
      </c>
      <c r="E3456" t="s">
        <v>7214</v>
      </c>
      <c r="F3456" t="s">
        <v>82</v>
      </c>
      <c r="G3456" t="s">
        <v>32</v>
      </c>
      <c r="H3456" t="b">
        <v>0</v>
      </c>
      <c r="K3456" t="b">
        <v>0</v>
      </c>
      <c r="L3456" t="b">
        <v>0</v>
      </c>
    </row>
    <row r="3457" spans="1:25" x14ac:dyDescent="0.2">
      <c r="A3457">
        <v>5961</v>
      </c>
      <c r="B3457" t="s">
        <v>7208</v>
      </c>
      <c r="C3457" t="s">
        <v>18</v>
      </c>
      <c r="D3457" t="s">
        <v>7215</v>
      </c>
      <c r="E3457" t="s">
        <v>7216</v>
      </c>
      <c r="F3457" t="s">
        <v>82</v>
      </c>
      <c r="G3457" t="s">
        <v>32</v>
      </c>
      <c r="H3457" t="b">
        <v>0</v>
      </c>
      <c r="K3457" t="b">
        <v>0</v>
      </c>
      <c r="L3457" t="b">
        <v>0</v>
      </c>
    </row>
    <row r="3458" spans="1:25" x14ac:dyDescent="0.2">
      <c r="A3458">
        <v>5962</v>
      </c>
      <c r="B3458" t="s">
        <v>7208</v>
      </c>
      <c r="C3458" t="s">
        <v>18</v>
      </c>
      <c r="D3458" t="s">
        <v>7217</v>
      </c>
      <c r="E3458" t="s">
        <v>7218</v>
      </c>
      <c r="F3458" t="s">
        <v>82</v>
      </c>
      <c r="G3458" t="s">
        <v>280</v>
      </c>
      <c r="H3458" t="b">
        <v>0</v>
      </c>
      <c r="K3458" t="b">
        <v>0</v>
      </c>
      <c r="L3458" t="b">
        <v>0</v>
      </c>
    </row>
    <row r="3460" spans="1:25" x14ac:dyDescent="0.2">
      <c r="A3460" s="2">
        <v>5978</v>
      </c>
      <c r="B3460" s="2" t="s">
        <v>7219</v>
      </c>
      <c r="C3460" s="2" t="s">
        <v>13</v>
      </c>
      <c r="D3460" s="2" t="s">
        <v>7220</v>
      </c>
      <c r="E3460" s="2" t="s">
        <v>7221</v>
      </c>
      <c r="F3460" s="2" t="s">
        <v>82</v>
      </c>
      <c r="G3460" s="2" t="s">
        <v>265</v>
      </c>
      <c r="H3460" s="2"/>
      <c r="I3460" s="2"/>
      <c r="J3460" s="2"/>
      <c r="K3460" s="2"/>
      <c r="L3460" s="2"/>
      <c r="M3460" s="2"/>
      <c r="N3460" s="2"/>
      <c r="O3460" s="2"/>
      <c r="P3460" s="2"/>
      <c r="Q3460" s="2"/>
      <c r="R3460" s="2"/>
      <c r="S3460" s="2"/>
      <c r="T3460" s="2"/>
      <c r="U3460" s="2"/>
      <c r="V3460" s="2"/>
      <c r="W3460" s="2"/>
      <c r="X3460" s="2"/>
      <c r="Y3460" s="2"/>
    </row>
    <row r="3461" spans="1:25" x14ac:dyDescent="0.2">
      <c r="A3461">
        <v>5979</v>
      </c>
      <c r="B3461" t="s">
        <v>7219</v>
      </c>
      <c r="C3461" t="s">
        <v>18</v>
      </c>
      <c r="D3461" t="s">
        <v>7220</v>
      </c>
      <c r="E3461" t="s">
        <v>7221</v>
      </c>
      <c r="F3461" t="s">
        <v>82</v>
      </c>
      <c r="G3461" t="s">
        <v>265</v>
      </c>
      <c r="H3461" t="b">
        <v>1</v>
      </c>
      <c r="I3461" t="b">
        <v>1</v>
      </c>
      <c r="L3461" t="b">
        <v>1</v>
      </c>
      <c r="M3461" t="s">
        <v>7222</v>
      </c>
      <c r="N3461" t="s">
        <v>7223</v>
      </c>
    </row>
    <row r="3462" spans="1:25" x14ac:dyDescent="0.2">
      <c r="A3462">
        <v>5980</v>
      </c>
      <c r="B3462" t="s">
        <v>7219</v>
      </c>
      <c r="C3462" t="s">
        <v>18</v>
      </c>
      <c r="D3462" t="s">
        <v>7224</v>
      </c>
      <c r="E3462" t="s">
        <v>7225</v>
      </c>
      <c r="F3462" t="s">
        <v>82</v>
      </c>
      <c r="G3462" t="s">
        <v>265</v>
      </c>
      <c r="H3462" t="b">
        <v>0</v>
      </c>
      <c r="I3462" t="b">
        <v>0</v>
      </c>
      <c r="L3462" t="b">
        <v>0</v>
      </c>
      <c r="M3462" t="s">
        <v>7226</v>
      </c>
      <c r="N3462" t="s">
        <v>7227</v>
      </c>
    </row>
    <row r="3463" spans="1:25" x14ac:dyDescent="0.2">
      <c r="A3463">
        <v>5981</v>
      </c>
      <c r="B3463" t="s">
        <v>7219</v>
      </c>
      <c r="C3463" t="s">
        <v>18</v>
      </c>
      <c r="D3463" t="s">
        <v>3415</v>
      </c>
      <c r="E3463" t="s">
        <v>3416</v>
      </c>
      <c r="F3463" t="s">
        <v>82</v>
      </c>
      <c r="G3463" t="s">
        <v>265</v>
      </c>
      <c r="H3463" t="b">
        <v>0</v>
      </c>
      <c r="I3463" t="b">
        <v>0</v>
      </c>
      <c r="L3463" t="b">
        <v>0</v>
      </c>
      <c r="M3463" t="s">
        <v>3417</v>
      </c>
      <c r="N3463" t="s">
        <v>3418</v>
      </c>
    </row>
    <row r="3464" spans="1:25" x14ac:dyDescent="0.2">
      <c r="A3464">
        <v>5982</v>
      </c>
      <c r="B3464" t="s">
        <v>7219</v>
      </c>
      <c r="C3464" t="s">
        <v>18</v>
      </c>
      <c r="D3464" t="s">
        <v>2726</v>
      </c>
      <c r="E3464" t="s">
        <v>2727</v>
      </c>
      <c r="F3464" t="s">
        <v>2728</v>
      </c>
      <c r="G3464" t="s">
        <v>265</v>
      </c>
      <c r="H3464" t="b">
        <v>0</v>
      </c>
      <c r="I3464" t="b">
        <v>0</v>
      </c>
      <c r="L3464" t="b">
        <v>0</v>
      </c>
      <c r="M3464" t="s">
        <v>2729</v>
      </c>
      <c r="N3464" t="s">
        <v>745</v>
      </c>
    </row>
    <row r="3465" spans="1:25" x14ac:dyDescent="0.2">
      <c r="A3465">
        <v>5983</v>
      </c>
      <c r="B3465" t="s">
        <v>7219</v>
      </c>
      <c r="C3465" t="s">
        <v>18</v>
      </c>
      <c r="D3465" t="s">
        <v>7228</v>
      </c>
      <c r="E3465" t="s">
        <v>7229</v>
      </c>
      <c r="F3465" t="s">
        <v>159</v>
      </c>
      <c r="G3465" t="s">
        <v>265</v>
      </c>
      <c r="H3465" t="b">
        <v>0</v>
      </c>
      <c r="I3465" t="b">
        <v>0</v>
      </c>
      <c r="L3465" t="b">
        <v>0</v>
      </c>
      <c r="M3465" t="s">
        <v>7230</v>
      </c>
    </row>
    <row r="3467" spans="1:25" x14ac:dyDescent="0.2">
      <c r="A3467" s="2">
        <v>5992</v>
      </c>
      <c r="B3467" s="2" t="s">
        <v>7231</v>
      </c>
      <c r="C3467" s="2" t="s">
        <v>13</v>
      </c>
      <c r="D3467" s="2" t="s">
        <v>7232</v>
      </c>
      <c r="E3467" s="2" t="s">
        <v>7233</v>
      </c>
      <c r="F3467" s="2" t="s">
        <v>16</v>
      </c>
      <c r="G3467" s="2" t="s">
        <v>252</v>
      </c>
      <c r="H3467" s="2"/>
      <c r="I3467" s="2"/>
      <c r="J3467" s="2"/>
      <c r="K3467" s="2"/>
      <c r="L3467" s="2"/>
      <c r="M3467" s="2"/>
      <c r="N3467" s="2"/>
      <c r="O3467" s="2"/>
      <c r="P3467" s="2"/>
      <c r="Q3467" s="2"/>
      <c r="R3467" s="2"/>
      <c r="S3467" s="2"/>
      <c r="T3467" s="2"/>
      <c r="U3467" s="2"/>
      <c r="V3467" s="2"/>
      <c r="W3467" s="2"/>
      <c r="X3467" s="2"/>
      <c r="Y3467" s="2"/>
    </row>
    <row r="3468" spans="1:25" x14ac:dyDescent="0.2">
      <c r="A3468">
        <v>5993</v>
      </c>
      <c r="B3468" t="s">
        <v>7231</v>
      </c>
      <c r="C3468" t="s">
        <v>18</v>
      </c>
      <c r="D3468" t="s">
        <v>7232</v>
      </c>
      <c r="E3468" t="s">
        <v>6105</v>
      </c>
      <c r="F3468" t="s">
        <v>16</v>
      </c>
      <c r="G3468" t="s">
        <v>252</v>
      </c>
      <c r="H3468" t="b">
        <v>1</v>
      </c>
      <c r="K3468" t="b">
        <v>1</v>
      </c>
      <c r="L3468" t="b">
        <v>1</v>
      </c>
      <c r="M3468" t="s">
        <v>7234</v>
      </c>
      <c r="N3468" t="s">
        <v>7235</v>
      </c>
    </row>
    <row r="3469" spans="1:25" x14ac:dyDescent="0.2">
      <c r="A3469">
        <v>5994</v>
      </c>
      <c r="B3469" t="s">
        <v>7231</v>
      </c>
      <c r="C3469" t="s">
        <v>18</v>
      </c>
      <c r="D3469" t="s">
        <v>7236</v>
      </c>
      <c r="E3469" t="s">
        <v>7237</v>
      </c>
      <c r="F3469" t="s">
        <v>159</v>
      </c>
      <c r="G3469" t="s">
        <v>252</v>
      </c>
      <c r="H3469" t="b">
        <v>1</v>
      </c>
      <c r="K3469" t="b">
        <v>0</v>
      </c>
      <c r="L3469" t="b">
        <v>1</v>
      </c>
      <c r="M3469" t="s">
        <v>7238</v>
      </c>
    </row>
    <row r="3470" spans="1:25" x14ac:dyDescent="0.2">
      <c r="A3470">
        <v>5995</v>
      </c>
      <c r="B3470" t="s">
        <v>7231</v>
      </c>
      <c r="C3470" t="s">
        <v>18</v>
      </c>
      <c r="D3470" t="s">
        <v>7239</v>
      </c>
      <c r="E3470" t="s">
        <v>7240</v>
      </c>
      <c r="F3470" t="s">
        <v>31</v>
      </c>
      <c r="G3470" t="s">
        <v>252</v>
      </c>
      <c r="H3470" t="b">
        <v>0</v>
      </c>
      <c r="K3470" t="b">
        <v>0</v>
      </c>
      <c r="L3470" t="b">
        <v>0</v>
      </c>
      <c r="M3470" t="s">
        <v>7241</v>
      </c>
      <c r="N3470" t="s">
        <v>745</v>
      </c>
    </row>
    <row r="3471" spans="1:25" x14ac:dyDescent="0.2">
      <c r="A3471">
        <v>5996</v>
      </c>
      <c r="B3471" t="s">
        <v>7231</v>
      </c>
      <c r="C3471" t="s">
        <v>18</v>
      </c>
      <c r="D3471" t="s">
        <v>1033</v>
      </c>
      <c r="E3471" t="s">
        <v>1034</v>
      </c>
      <c r="F3471" t="s">
        <v>16</v>
      </c>
      <c r="G3471" t="s">
        <v>252</v>
      </c>
      <c r="H3471" t="b">
        <v>0</v>
      </c>
      <c r="K3471" t="b">
        <v>0</v>
      </c>
      <c r="L3471" t="b">
        <v>0</v>
      </c>
      <c r="M3471" t="s">
        <v>1035</v>
      </c>
      <c r="N3471" t="s">
        <v>1036</v>
      </c>
    </row>
    <row r="3472" spans="1:25" x14ac:dyDescent="0.2">
      <c r="A3472">
        <v>5997</v>
      </c>
      <c r="B3472" t="s">
        <v>7231</v>
      </c>
      <c r="C3472" t="s">
        <v>18</v>
      </c>
      <c r="D3472" t="s">
        <v>7242</v>
      </c>
      <c r="E3472" t="s">
        <v>7243</v>
      </c>
      <c r="F3472" t="s">
        <v>16</v>
      </c>
      <c r="G3472" t="s">
        <v>134</v>
      </c>
      <c r="H3472" t="b">
        <v>0</v>
      </c>
      <c r="K3472" t="b">
        <v>0</v>
      </c>
      <c r="L3472" t="b">
        <v>0</v>
      </c>
      <c r="M3472" t="s">
        <v>7244</v>
      </c>
      <c r="N3472" t="s">
        <v>745</v>
      </c>
    </row>
    <row r="3474" spans="1:25" x14ac:dyDescent="0.2">
      <c r="A3474" s="2">
        <v>6006</v>
      </c>
      <c r="B3474" s="2" t="s">
        <v>7245</v>
      </c>
      <c r="C3474" s="2" t="s">
        <v>13</v>
      </c>
      <c r="D3474" s="2" t="s">
        <v>7246</v>
      </c>
      <c r="E3474" s="2" t="s">
        <v>7247</v>
      </c>
      <c r="F3474" s="2" t="s">
        <v>159</v>
      </c>
      <c r="G3474" s="2" t="s">
        <v>87</v>
      </c>
      <c r="H3474" s="2"/>
      <c r="I3474" s="2"/>
      <c r="J3474" s="2"/>
      <c r="K3474" s="2"/>
      <c r="L3474" s="2"/>
      <c r="M3474" s="2"/>
      <c r="N3474" s="2"/>
      <c r="O3474" s="2"/>
      <c r="P3474" s="2"/>
      <c r="Q3474" s="2"/>
      <c r="R3474" s="2"/>
      <c r="S3474" s="2"/>
      <c r="T3474" s="2"/>
      <c r="U3474" s="2"/>
      <c r="V3474" s="2"/>
      <c r="W3474" s="2"/>
      <c r="X3474" s="2"/>
      <c r="Y3474" s="2"/>
    </row>
    <row r="3475" spans="1:25" x14ac:dyDescent="0.2">
      <c r="A3475">
        <v>6007</v>
      </c>
      <c r="B3475" t="s">
        <v>7245</v>
      </c>
      <c r="C3475" t="s">
        <v>18</v>
      </c>
      <c r="D3475" t="s">
        <v>7246</v>
      </c>
      <c r="E3475" t="s">
        <v>7248</v>
      </c>
      <c r="F3475" t="s">
        <v>159</v>
      </c>
      <c r="G3475" t="s">
        <v>87</v>
      </c>
      <c r="H3475" t="b">
        <v>1</v>
      </c>
      <c r="I3475" t="b">
        <v>1</v>
      </c>
      <c r="L3475" t="b">
        <v>1</v>
      </c>
      <c r="M3475" t="s">
        <v>7249</v>
      </c>
      <c r="N3475" t="s">
        <v>7250</v>
      </c>
    </row>
    <row r="3476" spans="1:25" x14ac:dyDescent="0.2">
      <c r="A3476">
        <v>6008</v>
      </c>
      <c r="B3476" t="s">
        <v>7245</v>
      </c>
      <c r="C3476" t="s">
        <v>18</v>
      </c>
      <c r="D3476" t="s">
        <v>7251</v>
      </c>
      <c r="E3476" t="s">
        <v>7252</v>
      </c>
      <c r="F3476" t="s">
        <v>205</v>
      </c>
      <c r="G3476" t="s">
        <v>88</v>
      </c>
      <c r="H3476" t="b">
        <v>0</v>
      </c>
      <c r="I3476" t="b">
        <v>0</v>
      </c>
      <c r="L3476" t="b">
        <v>0</v>
      </c>
    </row>
    <row r="3477" spans="1:25" x14ac:dyDescent="0.2">
      <c r="A3477">
        <v>6009</v>
      </c>
      <c r="B3477" t="s">
        <v>7245</v>
      </c>
      <c r="C3477" t="s">
        <v>18</v>
      </c>
      <c r="D3477" t="s">
        <v>946</v>
      </c>
      <c r="E3477" t="s">
        <v>947</v>
      </c>
      <c r="F3477" t="s">
        <v>78</v>
      </c>
      <c r="G3477" t="s">
        <v>87</v>
      </c>
      <c r="H3477" t="b">
        <v>0</v>
      </c>
      <c r="I3477" t="b">
        <v>0</v>
      </c>
      <c r="L3477" t="b">
        <v>0</v>
      </c>
      <c r="M3477" t="s">
        <v>948</v>
      </c>
      <c r="N3477" t="s">
        <v>949</v>
      </c>
    </row>
    <row r="3478" spans="1:25" x14ac:dyDescent="0.2">
      <c r="A3478">
        <v>6010</v>
      </c>
      <c r="B3478" t="s">
        <v>7245</v>
      </c>
      <c r="C3478" t="s">
        <v>18</v>
      </c>
      <c r="D3478" t="s">
        <v>7253</v>
      </c>
      <c r="E3478" t="s">
        <v>7254</v>
      </c>
      <c r="F3478" t="s">
        <v>87</v>
      </c>
      <c r="G3478" t="s">
        <v>417</v>
      </c>
      <c r="H3478" t="b">
        <v>0</v>
      </c>
      <c r="I3478" t="b">
        <v>0</v>
      </c>
      <c r="L3478" t="b">
        <v>0</v>
      </c>
      <c r="M3478" t="s">
        <v>7255</v>
      </c>
    </row>
    <row r="3479" spans="1:25" x14ac:dyDescent="0.2">
      <c r="A3479">
        <v>6011</v>
      </c>
      <c r="B3479" t="s">
        <v>7245</v>
      </c>
      <c r="C3479" t="s">
        <v>18</v>
      </c>
      <c r="D3479" t="s">
        <v>7256</v>
      </c>
      <c r="E3479" t="s">
        <v>7257</v>
      </c>
      <c r="F3479" t="s">
        <v>451</v>
      </c>
      <c r="G3479" t="s">
        <v>1290</v>
      </c>
      <c r="H3479" t="b">
        <v>0</v>
      </c>
      <c r="I3479" t="b">
        <v>0</v>
      </c>
      <c r="L3479" t="b">
        <v>0</v>
      </c>
    </row>
    <row r="3481" spans="1:25" x14ac:dyDescent="0.2">
      <c r="A3481" s="2">
        <v>6013</v>
      </c>
      <c r="B3481" s="2" t="s">
        <v>7258</v>
      </c>
      <c r="C3481" s="2" t="s">
        <v>13</v>
      </c>
      <c r="D3481" s="2" t="s">
        <v>7259</v>
      </c>
      <c r="E3481" s="2" t="s">
        <v>7260</v>
      </c>
      <c r="F3481" s="2" t="s">
        <v>151</v>
      </c>
      <c r="G3481" s="2" t="s">
        <v>1752</v>
      </c>
      <c r="H3481" s="2"/>
      <c r="I3481" s="2"/>
      <c r="J3481" s="2"/>
      <c r="K3481" s="2"/>
      <c r="L3481" s="2"/>
      <c r="M3481" s="2"/>
      <c r="N3481" s="2"/>
      <c r="O3481" s="2"/>
      <c r="P3481" s="2"/>
      <c r="Q3481" s="2"/>
      <c r="R3481" s="2"/>
      <c r="S3481" s="2"/>
      <c r="T3481" s="2"/>
      <c r="U3481" s="2"/>
      <c r="V3481" s="2"/>
      <c r="W3481" s="2"/>
      <c r="X3481" s="2"/>
      <c r="Y3481" s="2"/>
    </row>
    <row r="3482" spans="1:25" x14ac:dyDescent="0.2">
      <c r="A3482">
        <v>6014</v>
      </c>
      <c r="B3482" t="s">
        <v>7258</v>
      </c>
      <c r="C3482" t="s">
        <v>18</v>
      </c>
      <c r="D3482" t="s">
        <v>7259</v>
      </c>
      <c r="E3482" t="s">
        <v>5799</v>
      </c>
      <c r="F3482" t="s">
        <v>151</v>
      </c>
      <c r="G3482" t="s">
        <v>917</v>
      </c>
      <c r="H3482" t="b">
        <v>1</v>
      </c>
      <c r="K3482" t="b">
        <v>1</v>
      </c>
      <c r="L3482" t="b">
        <v>1</v>
      </c>
      <c r="M3482" t="s">
        <v>7261</v>
      </c>
      <c r="N3482" t="s">
        <v>7262</v>
      </c>
    </row>
    <row r="3483" spans="1:25" x14ac:dyDescent="0.2">
      <c r="A3483">
        <v>6015</v>
      </c>
      <c r="B3483" t="s">
        <v>7258</v>
      </c>
      <c r="C3483" t="s">
        <v>18</v>
      </c>
      <c r="D3483" t="s">
        <v>5083</v>
      </c>
      <c r="E3483" t="s">
        <v>5084</v>
      </c>
      <c r="F3483" t="s">
        <v>151</v>
      </c>
      <c r="G3483" t="s">
        <v>917</v>
      </c>
      <c r="H3483" t="b">
        <v>1</v>
      </c>
      <c r="K3483" t="b">
        <v>1</v>
      </c>
      <c r="L3483" t="b">
        <v>1</v>
      </c>
      <c r="M3483" t="s">
        <v>5085</v>
      </c>
      <c r="N3483" t="s">
        <v>5086</v>
      </c>
    </row>
    <row r="3484" spans="1:25" x14ac:dyDescent="0.2">
      <c r="A3484">
        <v>6016</v>
      </c>
      <c r="B3484" t="s">
        <v>7258</v>
      </c>
      <c r="C3484" t="s">
        <v>18</v>
      </c>
      <c r="D3484" t="s">
        <v>2037</v>
      </c>
      <c r="E3484" t="s">
        <v>2038</v>
      </c>
      <c r="F3484" t="s">
        <v>151</v>
      </c>
      <c r="G3484" t="s">
        <v>917</v>
      </c>
      <c r="H3484" t="b">
        <v>0</v>
      </c>
      <c r="K3484" t="b">
        <v>0</v>
      </c>
      <c r="L3484" t="b">
        <v>0</v>
      </c>
      <c r="M3484" t="s">
        <v>2039</v>
      </c>
    </row>
    <row r="3485" spans="1:25" x14ac:dyDescent="0.2">
      <c r="A3485">
        <v>6017</v>
      </c>
      <c r="B3485" t="s">
        <v>7258</v>
      </c>
      <c r="C3485" t="s">
        <v>18</v>
      </c>
      <c r="D3485" t="s">
        <v>5787</v>
      </c>
      <c r="E3485" t="s">
        <v>2203</v>
      </c>
      <c r="F3485" t="s">
        <v>78</v>
      </c>
      <c r="G3485" t="s">
        <v>24</v>
      </c>
      <c r="H3485" t="b">
        <v>0</v>
      </c>
      <c r="K3485" t="b">
        <v>0</v>
      </c>
      <c r="L3485" t="b">
        <v>0</v>
      </c>
      <c r="M3485" t="s">
        <v>5788</v>
      </c>
      <c r="N3485" t="s">
        <v>5789</v>
      </c>
    </row>
    <row r="3486" spans="1:25" x14ac:dyDescent="0.2">
      <c r="A3486">
        <v>6018</v>
      </c>
      <c r="B3486" t="s">
        <v>7258</v>
      </c>
      <c r="C3486" t="s">
        <v>18</v>
      </c>
      <c r="D3486" t="s">
        <v>1059</v>
      </c>
      <c r="E3486" t="s">
        <v>1049</v>
      </c>
      <c r="F3486" t="s">
        <v>196</v>
      </c>
      <c r="G3486" t="s">
        <v>1047</v>
      </c>
      <c r="H3486" t="b">
        <v>0</v>
      </c>
      <c r="K3486" t="b">
        <v>0</v>
      </c>
      <c r="L3486" t="b">
        <v>0</v>
      </c>
      <c r="M3486" t="s">
        <v>1060</v>
      </c>
      <c r="N3486" t="s">
        <v>1061</v>
      </c>
    </row>
    <row r="3488" spans="1:25" x14ac:dyDescent="0.2">
      <c r="A3488" s="2">
        <v>602</v>
      </c>
      <c r="B3488" s="2" t="s">
        <v>7263</v>
      </c>
      <c r="C3488" s="2" t="s">
        <v>13</v>
      </c>
      <c r="D3488" s="2" t="s">
        <v>7264</v>
      </c>
      <c r="E3488" s="2" t="s">
        <v>7265</v>
      </c>
      <c r="F3488" s="2" t="s">
        <v>78</v>
      </c>
      <c r="G3488" s="2" t="s">
        <v>88</v>
      </c>
      <c r="H3488" s="2"/>
      <c r="I3488" s="2"/>
      <c r="J3488" s="2"/>
      <c r="K3488" s="2"/>
      <c r="L3488" s="2"/>
      <c r="M3488" s="2"/>
      <c r="N3488" s="2"/>
      <c r="O3488" s="2"/>
      <c r="P3488" s="2"/>
      <c r="Q3488" s="2"/>
      <c r="R3488" s="2"/>
      <c r="S3488" s="2"/>
      <c r="T3488" s="2"/>
      <c r="U3488" s="2"/>
      <c r="V3488" s="2"/>
      <c r="W3488" s="2"/>
      <c r="X3488" s="2"/>
      <c r="Y3488" s="2"/>
    </row>
    <row r="3489" spans="1:25" x14ac:dyDescent="0.2">
      <c r="A3489">
        <v>603</v>
      </c>
      <c r="B3489" t="s">
        <v>7263</v>
      </c>
      <c r="C3489" t="s">
        <v>18</v>
      </c>
      <c r="D3489" t="s">
        <v>7264</v>
      </c>
      <c r="E3489" t="s">
        <v>7265</v>
      </c>
      <c r="F3489" t="s">
        <v>78</v>
      </c>
      <c r="G3489" t="s">
        <v>88</v>
      </c>
      <c r="H3489" t="b">
        <v>1</v>
      </c>
      <c r="I3489" t="b">
        <v>1</v>
      </c>
      <c r="L3489" t="b">
        <v>1</v>
      </c>
      <c r="M3489" t="s">
        <v>7266</v>
      </c>
      <c r="N3489" t="s">
        <v>7267</v>
      </c>
      <c r="O3489" t="s">
        <v>7268</v>
      </c>
    </row>
    <row r="3490" spans="1:25" x14ac:dyDescent="0.2">
      <c r="A3490">
        <v>604</v>
      </c>
      <c r="B3490" t="s">
        <v>7263</v>
      </c>
      <c r="C3490" t="s">
        <v>18</v>
      </c>
      <c r="D3490" t="s">
        <v>7269</v>
      </c>
      <c r="E3490" t="s">
        <v>7270</v>
      </c>
      <c r="F3490" t="s">
        <v>78</v>
      </c>
      <c r="G3490" t="s">
        <v>88</v>
      </c>
      <c r="H3490" t="b">
        <v>0</v>
      </c>
      <c r="I3490" t="b">
        <v>0</v>
      </c>
      <c r="L3490" t="b">
        <v>0</v>
      </c>
      <c r="M3490" t="s">
        <v>7271</v>
      </c>
      <c r="N3490" t="s">
        <v>7272</v>
      </c>
    </row>
    <row r="3491" spans="1:25" x14ac:dyDescent="0.2">
      <c r="A3491">
        <v>605</v>
      </c>
      <c r="B3491" t="s">
        <v>7263</v>
      </c>
      <c r="C3491" t="s">
        <v>18</v>
      </c>
      <c r="D3491" t="s">
        <v>7273</v>
      </c>
      <c r="E3491" t="s">
        <v>4040</v>
      </c>
      <c r="F3491" t="s">
        <v>78</v>
      </c>
      <c r="G3491" t="s">
        <v>88</v>
      </c>
      <c r="H3491" t="b">
        <v>0</v>
      </c>
      <c r="I3491" t="b">
        <v>0</v>
      </c>
      <c r="L3491" t="b">
        <v>0</v>
      </c>
      <c r="M3491" t="s">
        <v>7274</v>
      </c>
      <c r="N3491" t="s">
        <v>7275</v>
      </c>
    </row>
    <row r="3492" spans="1:25" x14ac:dyDescent="0.2">
      <c r="A3492">
        <v>606</v>
      </c>
      <c r="B3492" t="s">
        <v>7263</v>
      </c>
      <c r="C3492" t="s">
        <v>18</v>
      </c>
      <c r="D3492" t="s">
        <v>7276</v>
      </c>
      <c r="E3492" t="s">
        <v>7277</v>
      </c>
      <c r="F3492" t="s">
        <v>174</v>
      </c>
      <c r="G3492" t="s">
        <v>62</v>
      </c>
      <c r="H3492" t="b">
        <v>0</v>
      </c>
      <c r="I3492" t="b">
        <v>0</v>
      </c>
      <c r="L3492" t="b">
        <v>0</v>
      </c>
    </row>
    <row r="3493" spans="1:25" x14ac:dyDescent="0.2">
      <c r="A3493">
        <v>607</v>
      </c>
      <c r="B3493" t="s">
        <v>7263</v>
      </c>
      <c r="C3493" t="s">
        <v>18</v>
      </c>
      <c r="D3493" t="s">
        <v>7278</v>
      </c>
      <c r="E3493" t="s">
        <v>7279</v>
      </c>
      <c r="F3493" t="s">
        <v>78</v>
      </c>
      <c r="G3493" t="s">
        <v>88</v>
      </c>
      <c r="H3493" t="b">
        <v>0</v>
      </c>
      <c r="I3493" t="b">
        <v>0</v>
      </c>
      <c r="L3493" t="b">
        <v>0</v>
      </c>
      <c r="M3493" t="s">
        <v>7280</v>
      </c>
    </row>
    <row r="3495" spans="1:25" x14ac:dyDescent="0.2">
      <c r="A3495" s="2">
        <v>6041</v>
      </c>
      <c r="B3495" s="2" t="s">
        <v>7281</v>
      </c>
      <c r="C3495" s="2" t="s">
        <v>13</v>
      </c>
      <c r="D3495" s="2" t="s">
        <v>2356</v>
      </c>
      <c r="E3495" s="2" t="s">
        <v>7282</v>
      </c>
      <c r="F3495" s="2" t="s">
        <v>248</v>
      </c>
      <c r="G3495" s="2" t="s">
        <v>17</v>
      </c>
      <c r="H3495" s="2"/>
      <c r="I3495" s="2"/>
      <c r="J3495" s="2"/>
      <c r="K3495" s="2"/>
      <c r="L3495" s="2"/>
      <c r="M3495" s="2"/>
      <c r="N3495" s="2"/>
      <c r="O3495" s="2"/>
      <c r="P3495" s="2"/>
      <c r="Q3495" s="2"/>
      <c r="R3495" s="2"/>
      <c r="S3495" s="2"/>
      <c r="T3495" s="2"/>
      <c r="U3495" s="2"/>
      <c r="V3495" s="2"/>
      <c r="W3495" s="2"/>
      <c r="X3495" s="2"/>
      <c r="Y3495" s="2"/>
    </row>
    <row r="3496" spans="1:25" x14ac:dyDescent="0.2">
      <c r="A3496">
        <v>6042</v>
      </c>
      <c r="B3496" t="s">
        <v>7281</v>
      </c>
      <c r="C3496" t="s">
        <v>18</v>
      </c>
      <c r="D3496" t="s">
        <v>2356</v>
      </c>
      <c r="E3496" t="s">
        <v>2357</v>
      </c>
      <c r="F3496" t="s">
        <v>248</v>
      </c>
      <c r="G3496" t="s">
        <v>17</v>
      </c>
      <c r="H3496" t="b">
        <v>1</v>
      </c>
      <c r="K3496" t="b">
        <v>1</v>
      </c>
      <c r="L3496" t="b">
        <v>1</v>
      </c>
      <c r="M3496" t="s">
        <v>2358</v>
      </c>
      <c r="N3496" t="s">
        <v>2359</v>
      </c>
    </row>
    <row r="3497" spans="1:25" x14ac:dyDescent="0.2">
      <c r="A3497">
        <v>6043</v>
      </c>
      <c r="B3497" t="s">
        <v>7281</v>
      </c>
      <c r="C3497" t="s">
        <v>18</v>
      </c>
      <c r="D3497" t="s">
        <v>2366</v>
      </c>
      <c r="E3497" t="s">
        <v>2367</v>
      </c>
      <c r="F3497" t="s">
        <v>248</v>
      </c>
      <c r="G3497" t="s">
        <v>17</v>
      </c>
      <c r="H3497" t="b">
        <v>1</v>
      </c>
      <c r="K3497" t="b">
        <v>1</v>
      </c>
      <c r="L3497" t="b">
        <v>1</v>
      </c>
      <c r="M3497" t="s">
        <v>2368</v>
      </c>
    </row>
    <row r="3498" spans="1:25" x14ac:dyDescent="0.2">
      <c r="A3498">
        <v>6044</v>
      </c>
      <c r="B3498" t="s">
        <v>7281</v>
      </c>
      <c r="C3498" t="s">
        <v>18</v>
      </c>
      <c r="D3498" t="s">
        <v>2360</v>
      </c>
      <c r="E3498" t="s">
        <v>2361</v>
      </c>
      <c r="F3498" t="s">
        <v>248</v>
      </c>
      <c r="G3498" t="s">
        <v>17</v>
      </c>
      <c r="H3498" t="b">
        <v>0</v>
      </c>
      <c r="K3498" t="b">
        <v>0</v>
      </c>
      <c r="L3498" t="b">
        <v>0</v>
      </c>
      <c r="M3498" t="s">
        <v>2362</v>
      </c>
    </row>
    <row r="3499" spans="1:25" x14ac:dyDescent="0.2">
      <c r="A3499">
        <v>6045</v>
      </c>
      <c r="B3499" t="s">
        <v>7281</v>
      </c>
      <c r="C3499" t="s">
        <v>18</v>
      </c>
      <c r="D3499" t="s">
        <v>2363</v>
      </c>
      <c r="E3499" t="s">
        <v>2364</v>
      </c>
      <c r="F3499" t="s">
        <v>248</v>
      </c>
      <c r="G3499" t="s">
        <v>17</v>
      </c>
      <c r="H3499" t="b">
        <v>0</v>
      </c>
      <c r="K3499" t="b">
        <v>0</v>
      </c>
      <c r="L3499" t="b">
        <v>0</v>
      </c>
      <c r="M3499" t="s">
        <v>2365</v>
      </c>
    </row>
    <row r="3500" spans="1:25" x14ac:dyDescent="0.2">
      <c r="A3500">
        <v>6046</v>
      </c>
      <c r="B3500" t="s">
        <v>7281</v>
      </c>
      <c r="C3500" t="s">
        <v>18</v>
      </c>
      <c r="D3500" t="s">
        <v>337</v>
      </c>
      <c r="E3500" t="s">
        <v>339</v>
      </c>
      <c r="F3500" t="s">
        <v>151</v>
      </c>
      <c r="G3500" t="s">
        <v>24</v>
      </c>
      <c r="H3500" t="b">
        <v>0</v>
      </c>
      <c r="K3500" t="b">
        <v>0</v>
      </c>
      <c r="L3500" t="b">
        <v>0</v>
      </c>
      <c r="M3500" t="s">
        <v>7283</v>
      </c>
      <c r="N3500" t="s">
        <v>7284</v>
      </c>
    </row>
    <row r="3502" spans="1:25" x14ac:dyDescent="0.2">
      <c r="A3502" s="2">
        <v>6048</v>
      </c>
      <c r="B3502" s="2" t="s">
        <v>7285</v>
      </c>
      <c r="C3502" s="2" t="s">
        <v>13</v>
      </c>
      <c r="D3502" s="2" t="s">
        <v>7286</v>
      </c>
      <c r="E3502" s="2" t="s">
        <v>7287</v>
      </c>
      <c r="F3502" s="2" t="s">
        <v>87</v>
      </c>
      <c r="G3502" s="2" t="s">
        <v>17</v>
      </c>
      <c r="H3502" s="2"/>
      <c r="I3502" s="2"/>
      <c r="J3502" s="2"/>
      <c r="K3502" s="2"/>
      <c r="L3502" s="2"/>
      <c r="M3502" s="2"/>
      <c r="N3502" s="2"/>
      <c r="O3502" s="2"/>
      <c r="P3502" s="2"/>
      <c r="Q3502" s="2"/>
      <c r="R3502" s="2"/>
      <c r="S3502" s="2"/>
      <c r="T3502" s="2"/>
      <c r="U3502" s="2"/>
      <c r="V3502" s="2"/>
      <c r="W3502" s="2"/>
      <c r="X3502" s="2"/>
      <c r="Y3502" s="2"/>
    </row>
    <row r="3503" spans="1:25" x14ac:dyDescent="0.2">
      <c r="A3503">
        <v>6049</v>
      </c>
      <c r="B3503" t="s">
        <v>7285</v>
      </c>
      <c r="C3503" t="s">
        <v>18</v>
      </c>
      <c r="D3503" t="s">
        <v>7286</v>
      </c>
      <c r="E3503" t="s">
        <v>2886</v>
      </c>
      <c r="F3503" t="s">
        <v>87</v>
      </c>
      <c r="G3503" t="s">
        <v>17</v>
      </c>
      <c r="H3503" t="b">
        <v>1</v>
      </c>
      <c r="K3503" t="b">
        <v>1</v>
      </c>
      <c r="L3503" t="b">
        <v>1</v>
      </c>
      <c r="M3503" t="s">
        <v>7288</v>
      </c>
      <c r="N3503" t="s">
        <v>7289</v>
      </c>
    </row>
    <row r="3504" spans="1:25" x14ac:dyDescent="0.2">
      <c r="A3504">
        <v>6050</v>
      </c>
      <c r="B3504" t="s">
        <v>7285</v>
      </c>
      <c r="C3504" t="s">
        <v>18</v>
      </c>
      <c r="D3504" t="s">
        <v>4700</v>
      </c>
      <c r="E3504" t="s">
        <v>4701</v>
      </c>
      <c r="F3504" t="s">
        <v>456</v>
      </c>
      <c r="G3504" t="s">
        <v>17</v>
      </c>
      <c r="H3504" t="b">
        <v>0</v>
      </c>
      <c r="K3504" t="b">
        <v>0</v>
      </c>
      <c r="L3504" t="b">
        <v>0</v>
      </c>
      <c r="M3504" t="s">
        <v>4702</v>
      </c>
      <c r="N3504" t="s">
        <v>4703</v>
      </c>
    </row>
    <row r="3505" spans="1:25" x14ac:dyDescent="0.2">
      <c r="A3505">
        <v>6051</v>
      </c>
      <c r="B3505" t="s">
        <v>7285</v>
      </c>
      <c r="C3505" t="s">
        <v>18</v>
      </c>
      <c r="D3505" t="s">
        <v>7290</v>
      </c>
      <c r="E3505" t="s">
        <v>7291</v>
      </c>
      <c r="F3505" t="s">
        <v>82</v>
      </c>
      <c r="G3505" t="s">
        <v>17</v>
      </c>
      <c r="H3505" t="b">
        <v>0</v>
      </c>
      <c r="K3505" t="b">
        <v>0</v>
      </c>
      <c r="L3505" t="b">
        <v>0</v>
      </c>
    </row>
    <row r="3506" spans="1:25" x14ac:dyDescent="0.2">
      <c r="A3506">
        <v>6052</v>
      </c>
      <c r="B3506" t="s">
        <v>7285</v>
      </c>
      <c r="C3506" t="s">
        <v>18</v>
      </c>
      <c r="D3506" t="s">
        <v>7292</v>
      </c>
      <c r="E3506" t="s">
        <v>7293</v>
      </c>
      <c r="F3506" t="s">
        <v>82</v>
      </c>
      <c r="G3506" t="s">
        <v>17</v>
      </c>
      <c r="H3506" t="b">
        <v>0</v>
      </c>
      <c r="K3506" t="b">
        <v>0</v>
      </c>
      <c r="L3506" t="b">
        <v>0</v>
      </c>
      <c r="M3506" t="s">
        <v>7294</v>
      </c>
    </row>
    <row r="3507" spans="1:25" x14ac:dyDescent="0.2">
      <c r="A3507">
        <v>6053</v>
      </c>
      <c r="B3507" t="s">
        <v>7285</v>
      </c>
      <c r="C3507" t="s">
        <v>18</v>
      </c>
      <c r="D3507" t="s">
        <v>5235</v>
      </c>
      <c r="E3507" t="s">
        <v>5236</v>
      </c>
      <c r="F3507" t="s">
        <v>670</v>
      </c>
      <c r="G3507" t="s">
        <v>17</v>
      </c>
      <c r="H3507" t="b">
        <v>0</v>
      </c>
      <c r="K3507" t="b">
        <v>0</v>
      </c>
      <c r="L3507" t="b">
        <v>0</v>
      </c>
      <c r="M3507" t="s">
        <v>5237</v>
      </c>
      <c r="N3507" t="s">
        <v>5238</v>
      </c>
    </row>
    <row r="3509" spans="1:25" x14ac:dyDescent="0.2">
      <c r="A3509" s="2">
        <v>6076</v>
      </c>
      <c r="B3509" s="2" t="s">
        <v>7295</v>
      </c>
      <c r="C3509" s="2" t="s">
        <v>13</v>
      </c>
      <c r="D3509" s="2" t="s">
        <v>7296</v>
      </c>
      <c r="E3509" s="2" t="s">
        <v>7297</v>
      </c>
      <c r="F3509" s="2" t="s">
        <v>510</v>
      </c>
      <c r="G3509" s="2" t="s">
        <v>62</v>
      </c>
      <c r="H3509" s="2"/>
      <c r="I3509" s="2"/>
      <c r="J3509" s="2"/>
      <c r="K3509" s="2"/>
      <c r="L3509" s="2"/>
      <c r="M3509" s="2"/>
      <c r="N3509" s="2"/>
      <c r="O3509" s="2"/>
      <c r="P3509" s="2"/>
      <c r="Q3509" s="2"/>
      <c r="R3509" s="2"/>
      <c r="S3509" s="2"/>
      <c r="T3509" s="2"/>
      <c r="U3509" s="2"/>
      <c r="V3509" s="2"/>
      <c r="W3509" s="2"/>
      <c r="X3509" s="2"/>
      <c r="Y3509" s="2"/>
    </row>
    <row r="3510" spans="1:25" x14ac:dyDescent="0.2">
      <c r="A3510">
        <v>6077</v>
      </c>
      <c r="B3510" t="s">
        <v>7295</v>
      </c>
      <c r="C3510" t="s">
        <v>18</v>
      </c>
      <c r="D3510" t="s">
        <v>7296</v>
      </c>
      <c r="E3510" t="s">
        <v>7297</v>
      </c>
      <c r="F3510" t="s">
        <v>510</v>
      </c>
      <c r="G3510" t="s">
        <v>62</v>
      </c>
      <c r="H3510" t="b">
        <v>1</v>
      </c>
      <c r="I3510" t="b">
        <v>1</v>
      </c>
      <c r="L3510" t="b">
        <v>1</v>
      </c>
      <c r="M3510" t="s">
        <v>7298</v>
      </c>
      <c r="N3510" t="s">
        <v>745</v>
      </c>
    </row>
    <row r="3511" spans="1:25" x14ac:dyDescent="0.2">
      <c r="A3511">
        <v>6078</v>
      </c>
      <c r="B3511" t="s">
        <v>7295</v>
      </c>
      <c r="C3511" t="s">
        <v>18</v>
      </c>
      <c r="D3511" t="s">
        <v>7299</v>
      </c>
      <c r="E3511" t="s">
        <v>1259</v>
      </c>
      <c r="F3511" t="s">
        <v>952</v>
      </c>
      <c r="G3511" t="s">
        <v>62</v>
      </c>
      <c r="H3511" t="b">
        <v>0</v>
      </c>
      <c r="I3511" t="b">
        <v>0</v>
      </c>
      <c r="L3511" t="b">
        <v>0</v>
      </c>
      <c r="M3511" t="s">
        <v>7300</v>
      </c>
    </row>
    <row r="3512" spans="1:25" x14ac:dyDescent="0.2">
      <c r="A3512">
        <v>6079</v>
      </c>
      <c r="B3512" t="s">
        <v>7295</v>
      </c>
      <c r="C3512" t="s">
        <v>18</v>
      </c>
      <c r="D3512" t="s">
        <v>7301</v>
      </c>
      <c r="E3512" t="s">
        <v>7302</v>
      </c>
      <c r="F3512" t="s">
        <v>510</v>
      </c>
      <c r="G3512" t="s">
        <v>62</v>
      </c>
      <c r="H3512" t="b">
        <v>0</v>
      </c>
      <c r="I3512" t="b">
        <v>0</v>
      </c>
      <c r="L3512" t="b">
        <v>0</v>
      </c>
    </row>
    <row r="3513" spans="1:25" x14ac:dyDescent="0.2">
      <c r="A3513">
        <v>6080</v>
      </c>
      <c r="B3513" t="s">
        <v>7295</v>
      </c>
      <c r="C3513" t="s">
        <v>18</v>
      </c>
      <c r="D3513" t="s">
        <v>7303</v>
      </c>
      <c r="E3513" t="s">
        <v>7304</v>
      </c>
      <c r="F3513" t="s">
        <v>510</v>
      </c>
      <c r="G3513" t="s">
        <v>62</v>
      </c>
      <c r="H3513" t="b">
        <v>0</v>
      </c>
      <c r="I3513" t="b">
        <v>0</v>
      </c>
      <c r="L3513" t="b">
        <v>0</v>
      </c>
      <c r="M3513" t="s">
        <v>7305</v>
      </c>
      <c r="N3513" t="s">
        <v>7306</v>
      </c>
    </row>
    <row r="3514" spans="1:25" x14ac:dyDescent="0.2">
      <c r="A3514">
        <v>6081</v>
      </c>
      <c r="B3514" t="s">
        <v>7295</v>
      </c>
      <c r="C3514" t="s">
        <v>18</v>
      </c>
      <c r="D3514" t="s">
        <v>349</v>
      </c>
      <c r="E3514" t="s">
        <v>350</v>
      </c>
      <c r="F3514" t="s">
        <v>174</v>
      </c>
      <c r="G3514" t="s">
        <v>62</v>
      </c>
      <c r="H3514" t="b">
        <v>0</v>
      </c>
      <c r="I3514" t="b">
        <v>0</v>
      </c>
      <c r="L3514" t="b">
        <v>0</v>
      </c>
      <c r="M3514" t="s">
        <v>7307</v>
      </c>
      <c r="N3514" t="s">
        <v>7308</v>
      </c>
    </row>
    <row r="3516" spans="1:25" x14ac:dyDescent="0.2">
      <c r="A3516" s="2">
        <v>6083</v>
      </c>
      <c r="B3516" s="2" t="s">
        <v>7309</v>
      </c>
      <c r="C3516" s="2" t="s">
        <v>13</v>
      </c>
      <c r="D3516" s="2" t="s">
        <v>7310</v>
      </c>
      <c r="E3516" s="2" t="s">
        <v>7311</v>
      </c>
      <c r="F3516" s="2" t="s">
        <v>78</v>
      </c>
      <c r="G3516" s="2" t="s">
        <v>1047</v>
      </c>
      <c r="H3516" s="2"/>
      <c r="I3516" s="2"/>
      <c r="J3516" s="2"/>
      <c r="K3516" s="2"/>
      <c r="L3516" s="2"/>
      <c r="M3516" s="2"/>
      <c r="N3516" s="2"/>
      <c r="O3516" s="2"/>
      <c r="P3516" s="2"/>
      <c r="Q3516" s="2"/>
      <c r="R3516" s="2"/>
      <c r="S3516" s="2"/>
      <c r="T3516" s="2"/>
      <c r="U3516" s="2"/>
      <c r="V3516" s="2"/>
      <c r="W3516" s="2"/>
      <c r="X3516" s="2"/>
      <c r="Y3516" s="2"/>
    </row>
    <row r="3517" spans="1:25" x14ac:dyDescent="0.2">
      <c r="A3517">
        <v>6084</v>
      </c>
      <c r="B3517" t="s">
        <v>7309</v>
      </c>
      <c r="C3517" t="s">
        <v>18</v>
      </c>
      <c r="D3517" t="s">
        <v>3136</v>
      </c>
      <c r="E3517" t="s">
        <v>3137</v>
      </c>
      <c r="F3517" t="s">
        <v>78</v>
      </c>
      <c r="G3517" t="s">
        <v>1047</v>
      </c>
      <c r="H3517" t="b">
        <v>1</v>
      </c>
      <c r="I3517" t="b">
        <v>1</v>
      </c>
      <c r="L3517" t="b">
        <v>1</v>
      </c>
      <c r="M3517" t="s">
        <v>3138</v>
      </c>
    </row>
    <row r="3518" spans="1:25" x14ac:dyDescent="0.2">
      <c r="A3518">
        <v>6085</v>
      </c>
      <c r="B3518" t="s">
        <v>7309</v>
      </c>
      <c r="C3518" t="s">
        <v>18</v>
      </c>
      <c r="D3518" t="s">
        <v>7312</v>
      </c>
      <c r="E3518" t="s">
        <v>7313</v>
      </c>
      <c r="F3518" t="s">
        <v>78</v>
      </c>
      <c r="G3518" t="s">
        <v>1047</v>
      </c>
      <c r="H3518" t="b">
        <v>1</v>
      </c>
      <c r="I3518" t="b">
        <v>1</v>
      </c>
      <c r="L3518" t="b">
        <v>1</v>
      </c>
      <c r="M3518" t="s">
        <v>7314</v>
      </c>
    </row>
    <row r="3519" spans="1:25" x14ac:dyDescent="0.2">
      <c r="A3519">
        <v>6086</v>
      </c>
      <c r="B3519" t="s">
        <v>7309</v>
      </c>
      <c r="C3519" t="s">
        <v>18</v>
      </c>
      <c r="D3519" t="s">
        <v>7315</v>
      </c>
      <c r="E3519" t="s">
        <v>7316</v>
      </c>
      <c r="F3519" t="s">
        <v>670</v>
      </c>
      <c r="G3519" t="s">
        <v>1047</v>
      </c>
      <c r="H3519" t="b">
        <v>0</v>
      </c>
      <c r="I3519" t="b">
        <v>0</v>
      </c>
      <c r="L3519" t="b">
        <v>0</v>
      </c>
      <c r="M3519" t="s">
        <v>7317</v>
      </c>
      <c r="N3519" t="s">
        <v>7318</v>
      </c>
      <c r="O3519" t="s">
        <v>7319</v>
      </c>
      <c r="P3519" t="s">
        <v>7320</v>
      </c>
    </row>
    <row r="3520" spans="1:25" x14ac:dyDescent="0.2">
      <c r="A3520">
        <v>6087</v>
      </c>
      <c r="B3520" t="s">
        <v>7309</v>
      </c>
      <c r="C3520" t="s">
        <v>18</v>
      </c>
      <c r="D3520" t="s">
        <v>3131</v>
      </c>
      <c r="E3520" t="s">
        <v>3132</v>
      </c>
      <c r="F3520" t="s">
        <v>78</v>
      </c>
      <c r="G3520" t="s">
        <v>24</v>
      </c>
      <c r="H3520" t="b">
        <v>0</v>
      </c>
      <c r="I3520" t="b">
        <v>0</v>
      </c>
      <c r="L3520" t="b">
        <v>0</v>
      </c>
      <c r="M3520" t="s">
        <v>3133</v>
      </c>
      <c r="N3520" t="s">
        <v>3134</v>
      </c>
      <c r="O3520" t="s">
        <v>3135</v>
      </c>
    </row>
    <row r="3521" spans="1:25" x14ac:dyDescent="0.2">
      <c r="A3521">
        <v>6088</v>
      </c>
      <c r="B3521" t="s">
        <v>7309</v>
      </c>
      <c r="C3521" t="s">
        <v>18</v>
      </c>
      <c r="D3521" t="s">
        <v>110</v>
      </c>
      <c r="E3521" t="s">
        <v>111</v>
      </c>
      <c r="F3521" t="s">
        <v>78</v>
      </c>
      <c r="G3521" t="s">
        <v>24</v>
      </c>
      <c r="H3521" t="b">
        <v>0</v>
      </c>
      <c r="I3521" t="b">
        <v>0</v>
      </c>
      <c r="L3521" t="b">
        <v>0</v>
      </c>
      <c r="M3521" t="s">
        <v>7321</v>
      </c>
      <c r="N3521" t="s">
        <v>7322</v>
      </c>
    </row>
    <row r="3523" spans="1:25" x14ac:dyDescent="0.2">
      <c r="A3523" s="2">
        <v>6097</v>
      </c>
      <c r="B3523" s="2" t="s">
        <v>7323</v>
      </c>
      <c r="C3523" s="2" t="s">
        <v>13</v>
      </c>
      <c r="D3523" s="2" t="s">
        <v>7324</v>
      </c>
      <c r="E3523" s="2" t="s">
        <v>7325</v>
      </c>
      <c r="F3523" s="2" t="s">
        <v>78</v>
      </c>
      <c r="G3523" s="2" t="s">
        <v>17</v>
      </c>
      <c r="H3523" s="2"/>
      <c r="I3523" s="2"/>
      <c r="J3523" s="2"/>
      <c r="K3523" s="2"/>
      <c r="L3523" s="2"/>
      <c r="M3523" s="2"/>
      <c r="N3523" s="2"/>
      <c r="O3523" s="2"/>
      <c r="P3523" s="2"/>
      <c r="Q3523" s="2"/>
      <c r="R3523" s="2"/>
      <c r="S3523" s="2"/>
      <c r="T3523" s="2"/>
      <c r="U3523" s="2"/>
      <c r="V3523" s="2"/>
      <c r="W3523" s="2"/>
      <c r="X3523" s="2"/>
      <c r="Y3523" s="2"/>
    </row>
    <row r="3524" spans="1:25" x14ac:dyDescent="0.2">
      <c r="A3524">
        <v>6098</v>
      </c>
      <c r="B3524" t="s">
        <v>7323</v>
      </c>
      <c r="C3524" t="s">
        <v>18</v>
      </c>
      <c r="D3524" t="s">
        <v>7324</v>
      </c>
      <c r="E3524" t="s">
        <v>7325</v>
      </c>
      <c r="F3524" t="s">
        <v>78</v>
      </c>
      <c r="G3524" t="s">
        <v>17</v>
      </c>
      <c r="H3524" t="b">
        <v>1</v>
      </c>
      <c r="I3524" t="b">
        <v>1</v>
      </c>
      <c r="L3524" t="b">
        <v>1</v>
      </c>
      <c r="M3524" t="s">
        <v>7326</v>
      </c>
      <c r="N3524" t="s">
        <v>7327</v>
      </c>
      <c r="O3524" t="s">
        <v>7328</v>
      </c>
    </row>
    <row r="3525" spans="1:25" x14ac:dyDescent="0.2">
      <c r="A3525">
        <v>6099</v>
      </c>
      <c r="B3525" t="s">
        <v>7323</v>
      </c>
      <c r="C3525" t="s">
        <v>18</v>
      </c>
      <c r="D3525" t="s">
        <v>7329</v>
      </c>
      <c r="E3525" t="s">
        <v>7330</v>
      </c>
      <c r="F3525" t="s">
        <v>78</v>
      </c>
      <c r="G3525" t="s">
        <v>17</v>
      </c>
      <c r="H3525" t="b">
        <v>0</v>
      </c>
      <c r="I3525" t="b">
        <v>0</v>
      </c>
      <c r="L3525" t="b">
        <v>0</v>
      </c>
      <c r="M3525" t="s">
        <v>7331</v>
      </c>
      <c r="N3525" t="s">
        <v>7332</v>
      </c>
    </row>
    <row r="3526" spans="1:25" x14ac:dyDescent="0.2">
      <c r="A3526">
        <v>6100</v>
      </c>
      <c r="B3526" t="s">
        <v>7323</v>
      </c>
      <c r="C3526" t="s">
        <v>18</v>
      </c>
      <c r="D3526" t="s">
        <v>7333</v>
      </c>
      <c r="E3526" t="s">
        <v>7334</v>
      </c>
      <c r="F3526" t="s">
        <v>78</v>
      </c>
      <c r="G3526" t="s">
        <v>17</v>
      </c>
      <c r="H3526" t="b">
        <v>0</v>
      </c>
      <c r="I3526" t="b">
        <v>0</v>
      </c>
      <c r="L3526" t="b">
        <v>0</v>
      </c>
    </row>
    <row r="3527" spans="1:25" x14ac:dyDescent="0.2">
      <c r="A3527">
        <v>6101</v>
      </c>
      <c r="B3527" t="s">
        <v>7323</v>
      </c>
      <c r="C3527" t="s">
        <v>18</v>
      </c>
      <c r="D3527" t="s">
        <v>7335</v>
      </c>
      <c r="E3527" t="s">
        <v>7336</v>
      </c>
      <c r="F3527" t="s">
        <v>174</v>
      </c>
      <c r="G3527" t="s">
        <v>17</v>
      </c>
      <c r="H3527" t="b">
        <v>0</v>
      </c>
      <c r="I3527" t="b">
        <v>0</v>
      </c>
      <c r="L3527" t="b">
        <v>0</v>
      </c>
      <c r="M3527" t="s">
        <v>7337</v>
      </c>
      <c r="N3527" t="s">
        <v>745</v>
      </c>
      <c r="O3527" t="s">
        <v>745</v>
      </c>
      <c r="P3527" t="s">
        <v>745</v>
      </c>
    </row>
    <row r="3528" spans="1:25" x14ac:dyDescent="0.2">
      <c r="A3528">
        <v>6102</v>
      </c>
      <c r="B3528" t="s">
        <v>7323</v>
      </c>
      <c r="C3528" t="s">
        <v>18</v>
      </c>
      <c r="D3528" t="s">
        <v>6960</v>
      </c>
      <c r="E3528" t="s">
        <v>4242</v>
      </c>
      <c r="F3528" t="s">
        <v>159</v>
      </c>
      <c r="G3528" t="s">
        <v>88</v>
      </c>
      <c r="H3528" t="b">
        <v>0</v>
      </c>
      <c r="I3528" t="b">
        <v>0</v>
      </c>
      <c r="L3528" t="b">
        <v>0</v>
      </c>
      <c r="M3528" t="s">
        <v>6961</v>
      </c>
      <c r="N3528" t="s">
        <v>6962</v>
      </c>
    </row>
    <row r="3530" spans="1:25" x14ac:dyDescent="0.2">
      <c r="A3530" s="2">
        <v>6118</v>
      </c>
      <c r="B3530" s="2" t="s">
        <v>7338</v>
      </c>
      <c r="C3530" s="2" t="s">
        <v>13</v>
      </c>
      <c r="D3530" s="2" t="s">
        <v>7339</v>
      </c>
      <c r="E3530" s="2" t="s">
        <v>7340</v>
      </c>
      <c r="F3530" s="2" t="s">
        <v>174</v>
      </c>
      <c r="G3530" s="2" t="s">
        <v>17</v>
      </c>
      <c r="H3530" s="2"/>
      <c r="I3530" s="2"/>
      <c r="J3530" s="2"/>
      <c r="K3530" s="2"/>
      <c r="L3530" s="2"/>
      <c r="M3530" s="2"/>
      <c r="N3530" s="2"/>
      <c r="O3530" s="2"/>
      <c r="P3530" s="2"/>
      <c r="Q3530" s="2"/>
      <c r="R3530" s="2"/>
      <c r="S3530" s="2"/>
      <c r="T3530" s="2"/>
      <c r="U3530" s="2"/>
      <c r="V3530" s="2"/>
      <c r="W3530" s="2"/>
      <c r="X3530" s="2"/>
      <c r="Y3530" s="2"/>
    </row>
    <row r="3531" spans="1:25" x14ac:dyDescent="0.2">
      <c r="A3531">
        <v>6119</v>
      </c>
      <c r="B3531" t="s">
        <v>7338</v>
      </c>
      <c r="C3531" t="s">
        <v>18</v>
      </c>
      <c r="D3531" t="s">
        <v>7339</v>
      </c>
      <c r="E3531" t="s">
        <v>7341</v>
      </c>
      <c r="F3531" t="s">
        <v>174</v>
      </c>
      <c r="G3531" t="s">
        <v>17</v>
      </c>
      <c r="H3531" t="b">
        <v>1</v>
      </c>
      <c r="I3531" t="b">
        <v>1</v>
      </c>
      <c r="L3531" t="b">
        <v>1</v>
      </c>
      <c r="M3531" t="s">
        <v>7342</v>
      </c>
    </row>
    <row r="3532" spans="1:25" x14ac:dyDescent="0.2">
      <c r="A3532">
        <v>6120</v>
      </c>
      <c r="B3532" t="s">
        <v>7338</v>
      </c>
      <c r="C3532" t="s">
        <v>18</v>
      </c>
      <c r="D3532" t="s">
        <v>7343</v>
      </c>
      <c r="E3532" t="s">
        <v>7344</v>
      </c>
      <c r="F3532" t="s">
        <v>174</v>
      </c>
      <c r="G3532" t="s">
        <v>17</v>
      </c>
      <c r="H3532" t="b">
        <v>1</v>
      </c>
      <c r="I3532" t="b">
        <v>1</v>
      </c>
      <c r="L3532" t="b">
        <v>1</v>
      </c>
      <c r="M3532" t="s">
        <v>7345</v>
      </c>
    </row>
    <row r="3533" spans="1:25" x14ac:dyDescent="0.2">
      <c r="A3533">
        <v>6121</v>
      </c>
      <c r="B3533" t="s">
        <v>7338</v>
      </c>
      <c r="C3533" t="s">
        <v>18</v>
      </c>
      <c r="D3533" t="s">
        <v>6398</v>
      </c>
      <c r="E3533" t="s">
        <v>6399</v>
      </c>
      <c r="F3533" t="s">
        <v>174</v>
      </c>
      <c r="G3533" t="s">
        <v>17</v>
      </c>
      <c r="H3533" t="b">
        <v>0</v>
      </c>
      <c r="I3533" t="b">
        <v>0</v>
      </c>
      <c r="L3533" t="b">
        <v>0</v>
      </c>
      <c r="M3533" t="s">
        <v>6400</v>
      </c>
      <c r="N3533" t="s">
        <v>6401</v>
      </c>
    </row>
    <row r="3534" spans="1:25" x14ac:dyDescent="0.2">
      <c r="A3534">
        <v>6122</v>
      </c>
      <c r="B3534" t="s">
        <v>7338</v>
      </c>
      <c r="C3534" t="s">
        <v>18</v>
      </c>
      <c r="D3534" t="s">
        <v>6385</v>
      </c>
      <c r="E3534" t="s">
        <v>6386</v>
      </c>
      <c r="F3534" t="s">
        <v>174</v>
      </c>
      <c r="G3534" t="s">
        <v>17</v>
      </c>
      <c r="H3534" t="b">
        <v>0</v>
      </c>
      <c r="I3534" t="b">
        <v>0</v>
      </c>
      <c r="L3534" t="b">
        <v>0</v>
      </c>
      <c r="M3534" t="s">
        <v>6387</v>
      </c>
      <c r="N3534" t="s">
        <v>6388</v>
      </c>
    </row>
    <row r="3535" spans="1:25" x14ac:dyDescent="0.2">
      <c r="A3535">
        <v>6123</v>
      </c>
      <c r="B3535" t="s">
        <v>7338</v>
      </c>
      <c r="C3535" t="s">
        <v>18</v>
      </c>
      <c r="D3535" t="s">
        <v>6392</v>
      </c>
      <c r="E3535" t="s">
        <v>6393</v>
      </c>
      <c r="F3535" t="s">
        <v>174</v>
      </c>
      <c r="G3535" t="s">
        <v>17</v>
      </c>
      <c r="H3535" t="b">
        <v>0</v>
      </c>
      <c r="I3535" t="b">
        <v>0</v>
      </c>
      <c r="L3535" t="b">
        <v>0</v>
      </c>
      <c r="M3535" t="s">
        <v>6394</v>
      </c>
      <c r="N3535" t="s">
        <v>6395</v>
      </c>
    </row>
    <row r="3537" spans="1:25" x14ac:dyDescent="0.2">
      <c r="A3537" s="2">
        <v>6125</v>
      </c>
      <c r="B3537" s="2" t="s">
        <v>7346</v>
      </c>
      <c r="C3537" s="2" t="s">
        <v>13</v>
      </c>
      <c r="D3537" s="2" t="s">
        <v>7347</v>
      </c>
      <c r="E3537" s="2" t="s">
        <v>7348</v>
      </c>
      <c r="F3537" s="2" t="s">
        <v>45</v>
      </c>
      <c r="G3537" s="2" t="s">
        <v>17</v>
      </c>
      <c r="H3537" s="2"/>
      <c r="I3537" s="2"/>
      <c r="J3537" s="2"/>
      <c r="K3537" s="2"/>
      <c r="L3537" s="2"/>
      <c r="M3537" s="2"/>
      <c r="N3537" s="2"/>
      <c r="O3537" s="2"/>
      <c r="P3537" s="2"/>
      <c r="Q3537" s="2"/>
      <c r="R3537" s="2"/>
      <c r="S3537" s="2"/>
      <c r="T3537" s="2"/>
      <c r="U3537" s="2"/>
      <c r="V3537" s="2"/>
      <c r="W3537" s="2"/>
      <c r="X3537" s="2"/>
      <c r="Y3537" s="2"/>
    </row>
    <row r="3538" spans="1:25" x14ac:dyDescent="0.2">
      <c r="A3538">
        <v>6126</v>
      </c>
      <c r="B3538" t="s">
        <v>7346</v>
      </c>
      <c r="C3538" t="s">
        <v>18</v>
      </c>
      <c r="D3538" t="s">
        <v>7347</v>
      </c>
      <c r="E3538" t="s">
        <v>7348</v>
      </c>
      <c r="F3538" t="s">
        <v>45</v>
      </c>
      <c r="G3538" t="s">
        <v>17</v>
      </c>
      <c r="H3538" t="b">
        <v>1</v>
      </c>
      <c r="K3538" t="b">
        <v>1</v>
      </c>
      <c r="L3538" t="b">
        <v>1</v>
      </c>
      <c r="M3538" t="s">
        <v>7349</v>
      </c>
      <c r="N3538" t="s">
        <v>745</v>
      </c>
    </row>
    <row r="3539" spans="1:25" x14ac:dyDescent="0.2">
      <c r="A3539">
        <v>6127</v>
      </c>
      <c r="B3539" t="s">
        <v>7346</v>
      </c>
      <c r="C3539" t="s">
        <v>18</v>
      </c>
      <c r="D3539" t="s">
        <v>7350</v>
      </c>
      <c r="E3539" t="s">
        <v>7351</v>
      </c>
      <c r="F3539" t="s">
        <v>45</v>
      </c>
      <c r="G3539" t="s">
        <v>17</v>
      </c>
      <c r="H3539" t="b">
        <v>0</v>
      </c>
      <c r="K3539" t="b">
        <v>0</v>
      </c>
      <c r="L3539" t="b">
        <v>0</v>
      </c>
      <c r="M3539" t="s">
        <v>7352</v>
      </c>
      <c r="N3539" t="s">
        <v>7353</v>
      </c>
      <c r="O3539" t="s">
        <v>7354</v>
      </c>
      <c r="P3539" t="s">
        <v>7355</v>
      </c>
    </row>
    <row r="3540" spans="1:25" x14ac:dyDescent="0.2">
      <c r="A3540">
        <v>6128</v>
      </c>
      <c r="B3540" t="s">
        <v>7346</v>
      </c>
      <c r="C3540" t="s">
        <v>18</v>
      </c>
      <c r="D3540" t="s">
        <v>7356</v>
      </c>
      <c r="E3540" t="s">
        <v>7357</v>
      </c>
      <c r="F3540" t="s">
        <v>369</v>
      </c>
      <c r="G3540" t="s">
        <v>88</v>
      </c>
      <c r="H3540" t="b">
        <v>0</v>
      </c>
      <c r="K3540" t="b">
        <v>0</v>
      </c>
      <c r="L3540" t="b">
        <v>0</v>
      </c>
      <c r="M3540" t="s">
        <v>7358</v>
      </c>
    </row>
    <row r="3541" spans="1:25" x14ac:dyDescent="0.2">
      <c r="A3541">
        <v>6129</v>
      </c>
      <c r="B3541" t="s">
        <v>7346</v>
      </c>
      <c r="C3541" t="s">
        <v>18</v>
      </c>
      <c r="D3541" t="s">
        <v>7359</v>
      </c>
      <c r="E3541" t="s">
        <v>7360</v>
      </c>
      <c r="F3541" t="s">
        <v>248</v>
      </c>
      <c r="G3541" t="s">
        <v>17</v>
      </c>
      <c r="H3541" t="b">
        <v>0</v>
      </c>
      <c r="K3541" t="b">
        <v>0</v>
      </c>
      <c r="L3541" t="b">
        <v>0</v>
      </c>
    </row>
    <row r="3542" spans="1:25" x14ac:dyDescent="0.2">
      <c r="A3542">
        <v>6130</v>
      </c>
      <c r="B3542" t="s">
        <v>7346</v>
      </c>
      <c r="C3542" t="s">
        <v>18</v>
      </c>
      <c r="D3542" t="s">
        <v>7361</v>
      </c>
      <c r="E3542" t="s">
        <v>7362</v>
      </c>
      <c r="F3542" t="s">
        <v>45</v>
      </c>
      <c r="G3542" t="s">
        <v>17</v>
      </c>
      <c r="H3542" t="b">
        <v>0</v>
      </c>
      <c r="K3542" t="b">
        <v>0</v>
      </c>
      <c r="L3542" t="b">
        <v>0</v>
      </c>
      <c r="M3542" t="s">
        <v>7363</v>
      </c>
      <c r="N3542" t="s">
        <v>745</v>
      </c>
    </row>
    <row r="3544" spans="1:25" x14ac:dyDescent="0.2">
      <c r="A3544" s="2">
        <v>6132</v>
      </c>
      <c r="B3544" s="2" t="s">
        <v>7364</v>
      </c>
      <c r="C3544" s="2" t="s">
        <v>13</v>
      </c>
      <c r="D3544" s="2" t="s">
        <v>7365</v>
      </c>
      <c r="E3544" s="2" t="s">
        <v>7366</v>
      </c>
      <c r="F3544" s="2" t="s">
        <v>369</v>
      </c>
      <c r="G3544" s="2" t="s">
        <v>17</v>
      </c>
      <c r="H3544" s="2"/>
      <c r="I3544" s="2"/>
      <c r="J3544" s="2"/>
      <c r="K3544" s="2"/>
      <c r="L3544" s="2"/>
      <c r="M3544" s="2"/>
      <c r="N3544" s="2"/>
      <c r="O3544" s="2"/>
      <c r="P3544" s="2"/>
      <c r="Q3544" s="2"/>
      <c r="R3544" s="2"/>
      <c r="S3544" s="2"/>
      <c r="T3544" s="2"/>
      <c r="U3544" s="2"/>
      <c r="V3544" s="2"/>
      <c r="W3544" s="2"/>
      <c r="X3544" s="2"/>
      <c r="Y3544" s="2"/>
    </row>
    <row r="3545" spans="1:25" x14ac:dyDescent="0.2">
      <c r="A3545">
        <v>6133</v>
      </c>
      <c r="B3545" t="s">
        <v>7364</v>
      </c>
      <c r="C3545" t="s">
        <v>18</v>
      </c>
      <c r="D3545" t="s">
        <v>7365</v>
      </c>
      <c r="E3545" t="s">
        <v>7366</v>
      </c>
      <c r="F3545" t="s">
        <v>369</v>
      </c>
      <c r="G3545" t="s">
        <v>17</v>
      </c>
      <c r="H3545" t="b">
        <v>1</v>
      </c>
      <c r="K3545" t="b">
        <v>1</v>
      </c>
      <c r="L3545" t="b">
        <v>1</v>
      </c>
      <c r="M3545" t="s">
        <v>7367</v>
      </c>
      <c r="N3545" t="s">
        <v>745</v>
      </c>
    </row>
    <row r="3546" spans="1:25" x14ac:dyDescent="0.2">
      <c r="A3546">
        <v>6134</v>
      </c>
      <c r="B3546" t="s">
        <v>7364</v>
      </c>
      <c r="C3546" t="s">
        <v>18</v>
      </c>
      <c r="D3546" t="s">
        <v>7368</v>
      </c>
      <c r="E3546" t="s">
        <v>7369</v>
      </c>
      <c r="F3546" t="s">
        <v>369</v>
      </c>
      <c r="G3546" t="s">
        <v>17</v>
      </c>
      <c r="H3546" t="b">
        <v>0</v>
      </c>
      <c r="K3546" t="b">
        <v>0</v>
      </c>
      <c r="L3546" t="b">
        <v>0</v>
      </c>
      <c r="M3546" t="s">
        <v>7370</v>
      </c>
      <c r="N3546" t="s">
        <v>7371</v>
      </c>
    </row>
    <row r="3547" spans="1:25" x14ac:dyDescent="0.2">
      <c r="A3547">
        <v>6135</v>
      </c>
      <c r="B3547" t="s">
        <v>7364</v>
      </c>
      <c r="C3547" t="s">
        <v>18</v>
      </c>
      <c r="D3547" t="s">
        <v>6293</v>
      </c>
      <c r="E3547" t="s">
        <v>6294</v>
      </c>
      <c r="F3547" t="s">
        <v>369</v>
      </c>
      <c r="G3547" t="s">
        <v>17</v>
      </c>
      <c r="H3547" t="b">
        <v>0</v>
      </c>
      <c r="K3547" t="b">
        <v>0</v>
      </c>
      <c r="L3547" t="b">
        <v>0</v>
      </c>
      <c r="M3547" t="s">
        <v>6295</v>
      </c>
      <c r="N3547" t="s">
        <v>6296</v>
      </c>
    </row>
    <row r="3548" spans="1:25" x14ac:dyDescent="0.2">
      <c r="A3548">
        <v>6136</v>
      </c>
      <c r="B3548" t="s">
        <v>7364</v>
      </c>
      <c r="C3548" t="s">
        <v>18</v>
      </c>
      <c r="D3548" t="s">
        <v>6297</v>
      </c>
      <c r="E3548" t="s">
        <v>6298</v>
      </c>
      <c r="F3548" t="s">
        <v>369</v>
      </c>
      <c r="G3548" t="s">
        <v>17</v>
      </c>
      <c r="H3548" t="b">
        <v>0</v>
      </c>
      <c r="K3548" t="b">
        <v>0</v>
      </c>
      <c r="L3548" t="b">
        <v>0</v>
      </c>
    </row>
    <row r="3549" spans="1:25" x14ac:dyDescent="0.2">
      <c r="A3549">
        <v>6137</v>
      </c>
      <c r="B3549" t="s">
        <v>7364</v>
      </c>
      <c r="C3549" t="s">
        <v>18</v>
      </c>
      <c r="D3549" t="s">
        <v>6302</v>
      </c>
      <c r="E3549" t="s">
        <v>6303</v>
      </c>
      <c r="F3549" t="s">
        <v>82</v>
      </c>
      <c r="G3549" t="s">
        <v>17</v>
      </c>
      <c r="H3549" t="b">
        <v>0</v>
      </c>
      <c r="K3549" t="b">
        <v>0</v>
      </c>
      <c r="L3549" t="b">
        <v>0</v>
      </c>
    </row>
    <row r="3551" spans="1:25" x14ac:dyDescent="0.2">
      <c r="A3551" s="2">
        <v>6153</v>
      </c>
      <c r="B3551" s="2" t="s">
        <v>7372</v>
      </c>
      <c r="C3551" s="2" t="s">
        <v>13</v>
      </c>
      <c r="D3551" s="2" t="s">
        <v>7373</v>
      </c>
      <c r="E3551" s="2" t="s">
        <v>7374</v>
      </c>
      <c r="F3551" s="2" t="s">
        <v>144</v>
      </c>
      <c r="G3551" s="2" t="s">
        <v>345</v>
      </c>
      <c r="H3551" s="2"/>
      <c r="I3551" s="2"/>
      <c r="J3551" s="2"/>
      <c r="K3551" s="2"/>
      <c r="L3551" s="2"/>
      <c r="M3551" s="2"/>
      <c r="N3551" s="2"/>
      <c r="O3551" s="2"/>
      <c r="P3551" s="2"/>
      <c r="Q3551" s="2"/>
      <c r="R3551" s="2"/>
      <c r="S3551" s="2"/>
      <c r="T3551" s="2"/>
      <c r="U3551" s="2"/>
      <c r="V3551" s="2"/>
      <c r="W3551" s="2"/>
      <c r="X3551" s="2"/>
      <c r="Y3551" s="2"/>
    </row>
    <row r="3552" spans="1:25" x14ac:dyDescent="0.2">
      <c r="A3552">
        <v>6154</v>
      </c>
      <c r="B3552" t="s">
        <v>7372</v>
      </c>
      <c r="C3552" t="s">
        <v>18</v>
      </c>
      <c r="D3552" t="s">
        <v>7373</v>
      </c>
      <c r="E3552" t="s">
        <v>3852</v>
      </c>
      <c r="F3552" t="s">
        <v>144</v>
      </c>
      <c r="G3552" t="s">
        <v>345</v>
      </c>
      <c r="H3552" t="b">
        <v>1</v>
      </c>
      <c r="I3552" t="b">
        <v>1</v>
      </c>
      <c r="L3552" t="b">
        <v>1</v>
      </c>
      <c r="M3552" t="s">
        <v>7375</v>
      </c>
    </row>
    <row r="3553" spans="1:25" x14ac:dyDescent="0.2">
      <c r="A3553">
        <v>6155</v>
      </c>
      <c r="B3553" t="s">
        <v>7372</v>
      </c>
      <c r="C3553" t="s">
        <v>18</v>
      </c>
      <c r="D3553" t="s">
        <v>7376</v>
      </c>
      <c r="E3553" t="s">
        <v>7377</v>
      </c>
      <c r="F3553" t="s">
        <v>144</v>
      </c>
      <c r="G3553" t="s">
        <v>345</v>
      </c>
      <c r="H3553" t="b">
        <v>1</v>
      </c>
      <c r="I3553" t="b">
        <v>1</v>
      </c>
      <c r="L3553" t="b">
        <v>1</v>
      </c>
      <c r="M3553" t="s">
        <v>7378</v>
      </c>
      <c r="N3553" t="s">
        <v>7379</v>
      </c>
    </row>
    <row r="3554" spans="1:25" x14ac:dyDescent="0.2">
      <c r="A3554">
        <v>6156</v>
      </c>
      <c r="B3554" t="s">
        <v>7372</v>
      </c>
      <c r="C3554" t="s">
        <v>18</v>
      </c>
      <c r="D3554" t="s">
        <v>7380</v>
      </c>
      <c r="E3554" t="s">
        <v>7381</v>
      </c>
      <c r="F3554" t="s">
        <v>510</v>
      </c>
      <c r="G3554" t="s">
        <v>62</v>
      </c>
      <c r="H3554" t="b">
        <v>0</v>
      </c>
      <c r="I3554" t="b">
        <v>0</v>
      </c>
      <c r="L3554" t="b">
        <v>0</v>
      </c>
      <c r="M3554" t="s">
        <v>7382</v>
      </c>
      <c r="N3554" t="s">
        <v>7383</v>
      </c>
    </row>
    <row r="3555" spans="1:25" x14ac:dyDescent="0.2">
      <c r="A3555">
        <v>6157</v>
      </c>
      <c r="B3555" t="s">
        <v>7372</v>
      </c>
      <c r="C3555" t="s">
        <v>18</v>
      </c>
      <c r="D3555" t="s">
        <v>7384</v>
      </c>
      <c r="E3555" t="s">
        <v>269</v>
      </c>
      <c r="F3555" t="s">
        <v>144</v>
      </c>
      <c r="G3555" t="s">
        <v>88</v>
      </c>
      <c r="H3555" t="b">
        <v>0</v>
      </c>
      <c r="I3555" t="b">
        <v>0</v>
      </c>
      <c r="L3555" t="b">
        <v>0</v>
      </c>
      <c r="M3555" t="s">
        <v>7385</v>
      </c>
      <c r="N3555" t="s">
        <v>7386</v>
      </c>
    </row>
    <row r="3556" spans="1:25" x14ac:dyDescent="0.2">
      <c r="A3556">
        <v>6158</v>
      </c>
      <c r="B3556" t="s">
        <v>7372</v>
      </c>
      <c r="C3556" t="s">
        <v>18</v>
      </c>
      <c r="D3556" t="s">
        <v>1303</v>
      </c>
      <c r="E3556" t="s">
        <v>405</v>
      </c>
      <c r="F3556" t="s">
        <v>159</v>
      </c>
      <c r="G3556" t="s">
        <v>345</v>
      </c>
      <c r="H3556" t="b">
        <v>0</v>
      </c>
      <c r="I3556" t="b">
        <v>0</v>
      </c>
      <c r="L3556" t="b">
        <v>0</v>
      </c>
      <c r="M3556" t="s">
        <v>1304</v>
      </c>
      <c r="N3556" t="s">
        <v>1305</v>
      </c>
    </row>
    <row r="3558" spans="1:25" x14ac:dyDescent="0.2">
      <c r="A3558" s="2">
        <v>616</v>
      </c>
      <c r="B3558" s="2" t="s">
        <v>7387</v>
      </c>
      <c r="C3558" s="2" t="s">
        <v>13</v>
      </c>
      <c r="D3558" s="2" t="s">
        <v>7388</v>
      </c>
      <c r="E3558" s="2" t="s">
        <v>7389</v>
      </c>
      <c r="F3558" s="2" t="s">
        <v>78</v>
      </c>
      <c r="G3558" s="2" t="s">
        <v>88</v>
      </c>
      <c r="H3558" s="2"/>
      <c r="I3558" s="2"/>
      <c r="J3558" s="2"/>
      <c r="K3558" s="2"/>
      <c r="L3558" s="2"/>
      <c r="M3558" s="2"/>
      <c r="N3558" s="2"/>
      <c r="O3558" s="2"/>
      <c r="P3558" s="2"/>
      <c r="Q3558" s="2"/>
      <c r="R3558" s="2"/>
      <c r="S3558" s="2"/>
      <c r="T3558" s="2"/>
      <c r="U3558" s="2"/>
      <c r="V3558" s="2"/>
      <c r="W3558" s="2"/>
      <c r="X3558" s="2"/>
      <c r="Y3558" s="2"/>
    </row>
    <row r="3559" spans="1:25" x14ac:dyDescent="0.2">
      <c r="A3559">
        <v>617</v>
      </c>
      <c r="B3559" t="s">
        <v>7387</v>
      </c>
      <c r="C3559" t="s">
        <v>18</v>
      </c>
      <c r="D3559" t="s">
        <v>7388</v>
      </c>
      <c r="E3559" t="s">
        <v>7389</v>
      </c>
      <c r="F3559" t="s">
        <v>78</v>
      </c>
      <c r="G3559" t="s">
        <v>88</v>
      </c>
      <c r="H3559" t="b">
        <v>1</v>
      </c>
      <c r="I3559" t="b">
        <v>1</v>
      </c>
      <c r="L3559" t="b">
        <v>1</v>
      </c>
      <c r="M3559" t="s">
        <v>7390</v>
      </c>
      <c r="N3559" t="s">
        <v>7391</v>
      </c>
    </row>
    <row r="3560" spans="1:25" x14ac:dyDescent="0.2">
      <c r="A3560">
        <v>618</v>
      </c>
      <c r="B3560" t="s">
        <v>7387</v>
      </c>
      <c r="C3560" t="s">
        <v>18</v>
      </c>
      <c r="D3560" t="s">
        <v>6611</v>
      </c>
      <c r="E3560" t="s">
        <v>5458</v>
      </c>
      <c r="F3560" t="s">
        <v>78</v>
      </c>
      <c r="G3560" t="s">
        <v>88</v>
      </c>
      <c r="H3560" t="b">
        <v>0</v>
      </c>
      <c r="I3560" t="b">
        <v>0</v>
      </c>
      <c r="L3560" t="b">
        <v>0</v>
      </c>
      <c r="M3560" t="s">
        <v>6612</v>
      </c>
    </row>
    <row r="3561" spans="1:25" x14ac:dyDescent="0.2">
      <c r="A3561">
        <v>619</v>
      </c>
      <c r="B3561" t="s">
        <v>7387</v>
      </c>
      <c r="C3561" t="s">
        <v>18</v>
      </c>
      <c r="D3561" t="s">
        <v>6615</v>
      </c>
      <c r="E3561" t="s">
        <v>6616</v>
      </c>
      <c r="F3561" t="s">
        <v>78</v>
      </c>
      <c r="G3561" t="s">
        <v>88</v>
      </c>
      <c r="H3561" t="b">
        <v>0</v>
      </c>
      <c r="I3561" t="b">
        <v>0</v>
      </c>
      <c r="L3561" t="b">
        <v>0</v>
      </c>
      <c r="M3561" t="s">
        <v>6617</v>
      </c>
    </row>
    <row r="3562" spans="1:25" x14ac:dyDescent="0.2">
      <c r="A3562">
        <v>620</v>
      </c>
      <c r="B3562" t="s">
        <v>7387</v>
      </c>
      <c r="C3562" t="s">
        <v>18</v>
      </c>
      <c r="D3562" t="s">
        <v>7392</v>
      </c>
      <c r="E3562" t="s">
        <v>6711</v>
      </c>
      <c r="F3562" t="s">
        <v>78</v>
      </c>
      <c r="G3562" t="s">
        <v>88</v>
      </c>
      <c r="H3562" t="b">
        <v>0</v>
      </c>
      <c r="I3562" t="b">
        <v>0</v>
      </c>
      <c r="L3562" t="b">
        <v>0</v>
      </c>
      <c r="M3562" t="s">
        <v>7393</v>
      </c>
    </row>
    <row r="3563" spans="1:25" x14ac:dyDescent="0.2">
      <c r="A3563">
        <v>621</v>
      </c>
      <c r="B3563" t="s">
        <v>7387</v>
      </c>
      <c r="C3563" t="s">
        <v>18</v>
      </c>
      <c r="D3563" t="s">
        <v>7394</v>
      </c>
      <c r="E3563" t="s">
        <v>489</v>
      </c>
      <c r="F3563" t="s">
        <v>78</v>
      </c>
      <c r="G3563" t="s">
        <v>88</v>
      </c>
      <c r="H3563" t="b">
        <v>0</v>
      </c>
      <c r="I3563" t="b">
        <v>0</v>
      </c>
      <c r="L3563" t="b">
        <v>0</v>
      </c>
      <c r="M3563" t="s">
        <v>7395</v>
      </c>
    </row>
    <row r="3565" spans="1:25" x14ac:dyDescent="0.2">
      <c r="A3565" s="2">
        <v>6167</v>
      </c>
      <c r="B3565" s="2" t="s">
        <v>7396</v>
      </c>
      <c r="C3565" s="2" t="s">
        <v>13</v>
      </c>
      <c r="D3565" s="2" t="s">
        <v>5220</v>
      </c>
      <c r="E3565" s="2" t="s">
        <v>5221</v>
      </c>
      <c r="F3565" s="2" t="s">
        <v>78</v>
      </c>
      <c r="G3565" s="2" t="s">
        <v>17</v>
      </c>
      <c r="H3565" s="2"/>
      <c r="I3565" s="2"/>
      <c r="J3565" s="2"/>
      <c r="K3565" s="2"/>
      <c r="L3565" s="2"/>
      <c r="M3565" s="2"/>
      <c r="N3565" s="2"/>
      <c r="O3565" s="2"/>
      <c r="P3565" s="2"/>
      <c r="Q3565" s="2"/>
      <c r="R3565" s="2"/>
      <c r="S3565" s="2"/>
      <c r="T3565" s="2"/>
      <c r="U3565" s="2"/>
      <c r="V3565" s="2"/>
      <c r="W3565" s="2"/>
      <c r="X3565" s="2"/>
      <c r="Y3565" s="2"/>
    </row>
    <row r="3566" spans="1:25" x14ac:dyDescent="0.2">
      <c r="A3566">
        <v>6168</v>
      </c>
      <c r="B3566" t="s">
        <v>7396</v>
      </c>
      <c r="C3566" t="s">
        <v>18</v>
      </c>
      <c r="D3566" t="s">
        <v>5220</v>
      </c>
      <c r="E3566" t="s">
        <v>5221</v>
      </c>
      <c r="F3566" t="s">
        <v>5215</v>
      </c>
      <c r="G3566" t="s">
        <v>5222</v>
      </c>
      <c r="H3566" t="b">
        <v>1</v>
      </c>
      <c r="I3566" t="b">
        <v>1</v>
      </c>
      <c r="L3566" t="b">
        <v>1</v>
      </c>
      <c r="M3566" t="s">
        <v>5223</v>
      </c>
      <c r="N3566" t="s">
        <v>5224</v>
      </c>
    </row>
    <row r="3567" spans="1:25" x14ac:dyDescent="0.2">
      <c r="A3567">
        <v>6169</v>
      </c>
      <c r="B3567" t="s">
        <v>7396</v>
      </c>
      <c r="C3567" t="s">
        <v>18</v>
      </c>
      <c r="D3567" t="s">
        <v>7397</v>
      </c>
      <c r="E3567" t="s">
        <v>6033</v>
      </c>
      <c r="F3567" t="s">
        <v>174</v>
      </c>
      <c r="G3567" t="s">
        <v>17</v>
      </c>
      <c r="H3567" t="b">
        <v>1</v>
      </c>
      <c r="I3567" t="b">
        <v>0</v>
      </c>
      <c r="L3567" t="b">
        <v>1</v>
      </c>
      <c r="M3567" t="s">
        <v>7398</v>
      </c>
    </row>
    <row r="3568" spans="1:25" x14ac:dyDescent="0.2">
      <c r="A3568">
        <v>6170</v>
      </c>
      <c r="B3568" t="s">
        <v>7396</v>
      </c>
      <c r="C3568" t="s">
        <v>18</v>
      </c>
      <c r="D3568" t="s">
        <v>7399</v>
      </c>
      <c r="E3568" t="s">
        <v>7400</v>
      </c>
      <c r="F3568" t="s">
        <v>82</v>
      </c>
      <c r="G3568" t="s">
        <v>17</v>
      </c>
      <c r="H3568" t="b">
        <v>0</v>
      </c>
      <c r="I3568" t="b">
        <v>0</v>
      </c>
      <c r="L3568" t="b">
        <v>0</v>
      </c>
    </row>
    <row r="3569" spans="1:25" x14ac:dyDescent="0.2">
      <c r="A3569">
        <v>6171</v>
      </c>
      <c r="B3569" t="s">
        <v>7396</v>
      </c>
      <c r="C3569" t="s">
        <v>18</v>
      </c>
      <c r="D3569" t="s">
        <v>5218</v>
      </c>
      <c r="E3569" t="s">
        <v>5219</v>
      </c>
      <c r="F3569" t="s">
        <v>82</v>
      </c>
      <c r="G3569" t="s">
        <v>17</v>
      </c>
      <c r="H3569" t="b">
        <v>0</v>
      </c>
      <c r="I3569" t="b">
        <v>0</v>
      </c>
      <c r="L3569" t="b">
        <v>0</v>
      </c>
    </row>
    <row r="3570" spans="1:25" x14ac:dyDescent="0.2">
      <c r="A3570">
        <v>6172</v>
      </c>
      <c r="B3570" t="s">
        <v>7396</v>
      </c>
      <c r="C3570" t="s">
        <v>18</v>
      </c>
      <c r="D3570" t="s">
        <v>7401</v>
      </c>
      <c r="E3570" t="s">
        <v>7402</v>
      </c>
      <c r="F3570" t="s">
        <v>174</v>
      </c>
      <c r="G3570" t="s">
        <v>17</v>
      </c>
      <c r="H3570" t="b">
        <v>0</v>
      </c>
      <c r="I3570" t="b">
        <v>0</v>
      </c>
      <c r="L3570" t="b">
        <v>0</v>
      </c>
      <c r="M3570" t="s">
        <v>7403</v>
      </c>
      <c r="N3570" t="s">
        <v>7404</v>
      </c>
    </row>
    <row r="3572" spans="1:25" x14ac:dyDescent="0.2">
      <c r="A3572" s="2">
        <v>6188</v>
      </c>
      <c r="B3572" s="2" t="s">
        <v>7405</v>
      </c>
      <c r="C3572" s="2" t="s">
        <v>13</v>
      </c>
      <c r="D3572" s="2" t="s">
        <v>7406</v>
      </c>
      <c r="E3572" s="2" t="s">
        <v>7407</v>
      </c>
      <c r="F3572" s="2" t="s">
        <v>23</v>
      </c>
      <c r="G3572" s="2" t="s">
        <v>252</v>
      </c>
      <c r="H3572" s="2"/>
      <c r="I3572" s="2"/>
      <c r="J3572" s="2"/>
      <c r="K3572" s="2"/>
      <c r="L3572" s="2"/>
      <c r="M3572" s="2"/>
      <c r="N3572" s="2"/>
      <c r="O3572" s="2"/>
      <c r="P3572" s="2"/>
      <c r="Q3572" s="2"/>
      <c r="R3572" s="2"/>
      <c r="S3572" s="2"/>
      <c r="T3572" s="2"/>
      <c r="U3572" s="2"/>
      <c r="V3572" s="2"/>
      <c r="W3572" s="2"/>
      <c r="X3572" s="2"/>
      <c r="Y3572" s="2"/>
    </row>
    <row r="3573" spans="1:25" x14ac:dyDescent="0.2">
      <c r="A3573">
        <v>6189</v>
      </c>
      <c r="B3573" t="s">
        <v>7405</v>
      </c>
      <c r="C3573" t="s">
        <v>18</v>
      </c>
      <c r="D3573" t="s">
        <v>7406</v>
      </c>
      <c r="E3573" t="s">
        <v>7408</v>
      </c>
      <c r="F3573" t="s">
        <v>23</v>
      </c>
      <c r="G3573" t="s">
        <v>252</v>
      </c>
      <c r="H3573" t="b">
        <v>1</v>
      </c>
      <c r="K3573" t="b">
        <v>1</v>
      </c>
      <c r="L3573" t="b">
        <v>1</v>
      </c>
      <c r="M3573" t="s">
        <v>7409</v>
      </c>
    </row>
    <row r="3574" spans="1:25" x14ac:dyDescent="0.2">
      <c r="A3574">
        <v>6190</v>
      </c>
      <c r="B3574" t="s">
        <v>7405</v>
      </c>
      <c r="C3574" t="s">
        <v>18</v>
      </c>
      <c r="D3574" t="s">
        <v>7410</v>
      </c>
      <c r="E3574" t="s">
        <v>3710</v>
      </c>
      <c r="F3574" t="s">
        <v>23</v>
      </c>
      <c r="G3574" t="s">
        <v>252</v>
      </c>
      <c r="H3574" t="b">
        <v>1</v>
      </c>
      <c r="K3574" t="b">
        <v>1</v>
      </c>
      <c r="L3574" t="b">
        <v>1</v>
      </c>
      <c r="M3574" t="s">
        <v>7411</v>
      </c>
    </row>
    <row r="3575" spans="1:25" x14ac:dyDescent="0.2">
      <c r="A3575">
        <v>6191</v>
      </c>
      <c r="B3575" t="s">
        <v>7405</v>
      </c>
      <c r="C3575" t="s">
        <v>18</v>
      </c>
      <c r="D3575" t="s">
        <v>3698</v>
      </c>
      <c r="E3575" t="s">
        <v>3699</v>
      </c>
      <c r="F3575" t="s">
        <v>23</v>
      </c>
      <c r="G3575" t="s">
        <v>252</v>
      </c>
      <c r="H3575" t="b">
        <v>0</v>
      </c>
      <c r="K3575" t="b">
        <v>0</v>
      </c>
      <c r="L3575" t="b">
        <v>0</v>
      </c>
    </row>
    <row r="3576" spans="1:25" x14ac:dyDescent="0.2">
      <c r="A3576">
        <v>6192</v>
      </c>
      <c r="B3576" t="s">
        <v>7405</v>
      </c>
      <c r="C3576" t="s">
        <v>18</v>
      </c>
      <c r="D3576" t="s">
        <v>7412</v>
      </c>
      <c r="E3576" t="s">
        <v>7413</v>
      </c>
      <c r="F3576" t="s">
        <v>23</v>
      </c>
      <c r="G3576" t="s">
        <v>17</v>
      </c>
      <c r="H3576" t="b">
        <v>0</v>
      </c>
      <c r="K3576" t="b">
        <v>0</v>
      </c>
      <c r="L3576" t="b">
        <v>0</v>
      </c>
    </row>
    <row r="3577" spans="1:25" x14ac:dyDescent="0.2">
      <c r="A3577">
        <v>6193</v>
      </c>
      <c r="B3577" t="s">
        <v>7405</v>
      </c>
      <c r="C3577" t="s">
        <v>18</v>
      </c>
      <c r="D3577" t="s">
        <v>7414</v>
      </c>
      <c r="E3577" t="s">
        <v>7415</v>
      </c>
      <c r="F3577" t="s">
        <v>23</v>
      </c>
      <c r="G3577" t="s">
        <v>17</v>
      </c>
      <c r="H3577" t="b">
        <v>0</v>
      </c>
      <c r="K3577" t="b">
        <v>0</v>
      </c>
      <c r="L3577" t="b">
        <v>0</v>
      </c>
    </row>
    <row r="3579" spans="1:25" x14ac:dyDescent="0.2">
      <c r="A3579" s="2">
        <v>6195</v>
      </c>
      <c r="B3579" s="2" t="s">
        <v>7416</v>
      </c>
      <c r="C3579" s="2" t="s">
        <v>13</v>
      </c>
      <c r="D3579" s="2" t="s">
        <v>7417</v>
      </c>
      <c r="E3579" s="2" t="s">
        <v>7418</v>
      </c>
      <c r="F3579" s="2" t="s">
        <v>151</v>
      </c>
      <c r="G3579" s="2" t="s">
        <v>24</v>
      </c>
      <c r="H3579" s="2"/>
      <c r="I3579" s="2"/>
      <c r="J3579" s="2"/>
      <c r="K3579" s="2"/>
      <c r="L3579" s="2"/>
      <c r="M3579" s="2"/>
      <c r="N3579" s="2"/>
      <c r="O3579" s="2"/>
      <c r="P3579" s="2"/>
      <c r="Q3579" s="2"/>
      <c r="R3579" s="2"/>
      <c r="S3579" s="2"/>
      <c r="T3579" s="2"/>
      <c r="U3579" s="2"/>
      <c r="V3579" s="2"/>
      <c r="W3579" s="2"/>
      <c r="X3579" s="2"/>
      <c r="Y3579" s="2"/>
    </row>
    <row r="3580" spans="1:25" x14ac:dyDescent="0.2">
      <c r="A3580">
        <v>6196</v>
      </c>
      <c r="B3580" t="s">
        <v>7416</v>
      </c>
      <c r="C3580" t="s">
        <v>18</v>
      </c>
      <c r="D3580" t="s">
        <v>7417</v>
      </c>
      <c r="E3580" t="s">
        <v>7418</v>
      </c>
      <c r="F3580" t="s">
        <v>151</v>
      </c>
      <c r="G3580" t="s">
        <v>24</v>
      </c>
      <c r="H3580" t="b">
        <v>1</v>
      </c>
      <c r="K3580" t="b">
        <v>1</v>
      </c>
      <c r="L3580" t="b">
        <v>1</v>
      </c>
      <c r="M3580" t="s">
        <v>7419</v>
      </c>
      <c r="N3580" t="s">
        <v>7420</v>
      </c>
    </row>
    <row r="3581" spans="1:25" x14ac:dyDescent="0.2">
      <c r="A3581">
        <v>6197</v>
      </c>
      <c r="B3581" t="s">
        <v>7416</v>
      </c>
      <c r="C3581" t="s">
        <v>18</v>
      </c>
      <c r="D3581" t="s">
        <v>7421</v>
      </c>
      <c r="E3581" t="s">
        <v>7422</v>
      </c>
      <c r="F3581" t="s">
        <v>151</v>
      </c>
      <c r="G3581" t="s">
        <v>24</v>
      </c>
      <c r="H3581" t="b">
        <v>0</v>
      </c>
      <c r="K3581" t="b">
        <v>0</v>
      </c>
      <c r="L3581" t="b">
        <v>0</v>
      </c>
      <c r="M3581" t="s">
        <v>7423</v>
      </c>
      <c r="N3581" t="s">
        <v>7424</v>
      </c>
    </row>
    <row r="3582" spans="1:25" x14ac:dyDescent="0.2">
      <c r="A3582">
        <v>6198</v>
      </c>
      <c r="B3582" t="s">
        <v>7416</v>
      </c>
      <c r="C3582" t="s">
        <v>18</v>
      </c>
      <c r="D3582" t="s">
        <v>7425</v>
      </c>
      <c r="E3582" t="s">
        <v>7426</v>
      </c>
      <c r="F3582" t="s">
        <v>151</v>
      </c>
      <c r="G3582" t="s">
        <v>24</v>
      </c>
      <c r="H3582" t="b">
        <v>0</v>
      </c>
      <c r="K3582" t="b">
        <v>0</v>
      </c>
      <c r="L3582" t="b">
        <v>0</v>
      </c>
      <c r="M3582" t="s">
        <v>7427</v>
      </c>
      <c r="N3582" t="s">
        <v>7428</v>
      </c>
    </row>
    <row r="3583" spans="1:25" x14ac:dyDescent="0.2">
      <c r="A3583">
        <v>6199</v>
      </c>
      <c r="B3583" t="s">
        <v>7416</v>
      </c>
      <c r="C3583" t="s">
        <v>18</v>
      </c>
      <c r="D3583" t="s">
        <v>4023</v>
      </c>
      <c r="E3583" t="s">
        <v>4024</v>
      </c>
      <c r="F3583" t="s">
        <v>151</v>
      </c>
      <c r="G3583" t="s">
        <v>24</v>
      </c>
      <c r="H3583" t="b">
        <v>0</v>
      </c>
      <c r="K3583" t="b">
        <v>0</v>
      </c>
      <c r="L3583" t="b">
        <v>0</v>
      </c>
      <c r="M3583" t="s">
        <v>4025</v>
      </c>
      <c r="N3583" t="s">
        <v>4026</v>
      </c>
    </row>
    <row r="3584" spans="1:25" x14ac:dyDescent="0.2">
      <c r="A3584">
        <v>6200</v>
      </c>
      <c r="B3584" t="s">
        <v>7416</v>
      </c>
      <c r="C3584" t="s">
        <v>18</v>
      </c>
      <c r="D3584" t="s">
        <v>7429</v>
      </c>
      <c r="E3584" t="s">
        <v>7430</v>
      </c>
      <c r="F3584" t="s">
        <v>151</v>
      </c>
      <c r="G3584" t="s">
        <v>24</v>
      </c>
      <c r="H3584" t="b">
        <v>0</v>
      </c>
      <c r="K3584" t="b">
        <v>0</v>
      </c>
      <c r="L3584" t="b">
        <v>0</v>
      </c>
      <c r="M3584" t="s">
        <v>7431</v>
      </c>
    </row>
    <row r="3586" spans="1:25" x14ac:dyDescent="0.2">
      <c r="A3586" s="2">
        <v>6209</v>
      </c>
      <c r="B3586" s="2" t="s">
        <v>7432</v>
      </c>
      <c r="C3586" s="2" t="s">
        <v>13</v>
      </c>
      <c r="D3586" s="2" t="s">
        <v>2631</v>
      </c>
      <c r="E3586" s="2" t="s">
        <v>2632</v>
      </c>
      <c r="F3586" s="2" t="s">
        <v>78</v>
      </c>
      <c r="G3586" s="2" t="s">
        <v>17</v>
      </c>
      <c r="H3586" s="2"/>
      <c r="I3586" s="2"/>
      <c r="J3586" s="2"/>
      <c r="K3586" s="2"/>
      <c r="L3586" s="2"/>
      <c r="M3586" s="2"/>
      <c r="N3586" s="2"/>
      <c r="O3586" s="2"/>
      <c r="P3586" s="2"/>
      <c r="Q3586" s="2"/>
      <c r="R3586" s="2"/>
      <c r="S3586" s="2"/>
      <c r="T3586" s="2"/>
      <c r="U3586" s="2"/>
      <c r="V3586" s="2"/>
      <c r="W3586" s="2"/>
      <c r="X3586" s="2"/>
      <c r="Y3586" s="2"/>
    </row>
    <row r="3587" spans="1:25" x14ac:dyDescent="0.2">
      <c r="A3587">
        <v>6210</v>
      </c>
      <c r="B3587" t="s">
        <v>7432</v>
      </c>
      <c r="C3587" t="s">
        <v>18</v>
      </c>
      <c r="D3587" t="s">
        <v>2631</v>
      </c>
      <c r="E3587" t="s">
        <v>2632</v>
      </c>
      <c r="F3587" t="s">
        <v>78</v>
      </c>
      <c r="G3587" t="s">
        <v>17</v>
      </c>
      <c r="H3587" t="b">
        <v>1</v>
      </c>
      <c r="K3587" t="b">
        <v>1</v>
      </c>
      <c r="L3587" t="b">
        <v>1</v>
      </c>
      <c r="M3587" t="s">
        <v>2633</v>
      </c>
      <c r="N3587" t="s">
        <v>745</v>
      </c>
    </row>
    <row r="3588" spans="1:25" x14ac:dyDescent="0.2">
      <c r="A3588">
        <v>6211</v>
      </c>
      <c r="B3588" t="s">
        <v>7432</v>
      </c>
      <c r="C3588" t="s">
        <v>18</v>
      </c>
      <c r="D3588" t="s">
        <v>7433</v>
      </c>
      <c r="E3588" t="s">
        <v>7434</v>
      </c>
      <c r="F3588" t="s">
        <v>78</v>
      </c>
      <c r="G3588" t="s">
        <v>771</v>
      </c>
      <c r="H3588" t="b">
        <v>0</v>
      </c>
      <c r="K3588" t="b">
        <v>0</v>
      </c>
      <c r="L3588" t="b">
        <v>0</v>
      </c>
      <c r="M3588" t="s">
        <v>7435</v>
      </c>
    </row>
    <row r="3589" spans="1:25" x14ac:dyDescent="0.2">
      <c r="A3589">
        <v>6212</v>
      </c>
      <c r="B3589" t="s">
        <v>7432</v>
      </c>
      <c r="C3589" t="s">
        <v>18</v>
      </c>
      <c r="D3589" t="s">
        <v>7436</v>
      </c>
      <c r="E3589" t="s">
        <v>7437</v>
      </c>
      <c r="F3589" t="s">
        <v>78</v>
      </c>
      <c r="G3589" t="s">
        <v>17</v>
      </c>
      <c r="H3589" t="b">
        <v>0</v>
      </c>
      <c r="K3589" t="b">
        <v>0</v>
      </c>
      <c r="L3589" t="b">
        <v>0</v>
      </c>
      <c r="M3589" t="s">
        <v>7438</v>
      </c>
      <c r="N3589" t="s">
        <v>7439</v>
      </c>
    </row>
    <row r="3590" spans="1:25" x14ac:dyDescent="0.2">
      <c r="A3590">
        <v>6213</v>
      </c>
      <c r="B3590" t="s">
        <v>7432</v>
      </c>
      <c r="C3590" t="s">
        <v>18</v>
      </c>
      <c r="D3590" t="s">
        <v>7440</v>
      </c>
      <c r="E3590" t="s">
        <v>7441</v>
      </c>
      <c r="F3590" t="s">
        <v>78</v>
      </c>
      <c r="G3590" t="s">
        <v>17</v>
      </c>
      <c r="H3590" t="b">
        <v>0</v>
      </c>
      <c r="K3590" t="b">
        <v>0</v>
      </c>
      <c r="L3590" t="b">
        <v>0</v>
      </c>
      <c r="M3590" t="s">
        <v>7442</v>
      </c>
      <c r="N3590" t="s">
        <v>745</v>
      </c>
    </row>
    <row r="3591" spans="1:25" x14ac:dyDescent="0.2">
      <c r="A3591">
        <v>6214</v>
      </c>
      <c r="B3591" t="s">
        <v>7432</v>
      </c>
      <c r="C3591" t="s">
        <v>18</v>
      </c>
      <c r="D3591" t="s">
        <v>7443</v>
      </c>
      <c r="E3591" t="s">
        <v>7444</v>
      </c>
      <c r="F3591" t="s">
        <v>78</v>
      </c>
      <c r="G3591" t="s">
        <v>17</v>
      </c>
      <c r="H3591" t="b">
        <v>0</v>
      </c>
      <c r="K3591" t="b">
        <v>0</v>
      </c>
      <c r="L3591" t="b">
        <v>0</v>
      </c>
      <c r="M3591" t="s">
        <v>7445</v>
      </c>
    </row>
    <row r="3593" spans="1:25" x14ac:dyDescent="0.2">
      <c r="A3593" s="2">
        <v>623</v>
      </c>
      <c r="B3593" s="2" t="s">
        <v>7446</v>
      </c>
      <c r="C3593" s="2" t="s">
        <v>13</v>
      </c>
      <c r="D3593" s="2" t="s">
        <v>7447</v>
      </c>
      <c r="E3593" s="2" t="s">
        <v>7448</v>
      </c>
      <c r="F3593" s="2" t="s">
        <v>420</v>
      </c>
      <c r="G3593" s="2" t="s">
        <v>252</v>
      </c>
      <c r="H3593" s="2"/>
      <c r="I3593" s="2"/>
      <c r="J3593" s="2"/>
      <c r="K3593" s="2"/>
      <c r="L3593" s="2"/>
      <c r="M3593" s="2"/>
      <c r="N3593" s="2"/>
      <c r="O3593" s="2"/>
      <c r="P3593" s="2"/>
      <c r="Q3593" s="2"/>
      <c r="R3593" s="2"/>
      <c r="S3593" s="2"/>
      <c r="T3593" s="2"/>
      <c r="U3593" s="2"/>
      <c r="V3593" s="2"/>
      <c r="W3593" s="2"/>
      <c r="X3593" s="2"/>
      <c r="Y3593" s="2"/>
    </row>
    <row r="3594" spans="1:25" x14ac:dyDescent="0.2">
      <c r="A3594">
        <v>624</v>
      </c>
      <c r="B3594" t="s">
        <v>7446</v>
      </c>
      <c r="C3594" t="s">
        <v>18</v>
      </c>
      <c r="D3594" t="s">
        <v>7447</v>
      </c>
      <c r="E3594" t="s">
        <v>7448</v>
      </c>
      <c r="F3594" t="s">
        <v>420</v>
      </c>
      <c r="G3594" t="s">
        <v>252</v>
      </c>
      <c r="H3594" t="b">
        <v>1</v>
      </c>
      <c r="I3594" t="b">
        <v>1</v>
      </c>
      <c r="L3594" t="b">
        <v>1</v>
      </c>
      <c r="M3594" t="s">
        <v>7449</v>
      </c>
      <c r="N3594" t="s">
        <v>7450</v>
      </c>
    </row>
    <row r="3595" spans="1:25" x14ac:dyDescent="0.2">
      <c r="A3595">
        <v>625</v>
      </c>
      <c r="B3595" t="s">
        <v>7446</v>
      </c>
      <c r="C3595" t="s">
        <v>18</v>
      </c>
      <c r="D3595" t="s">
        <v>7451</v>
      </c>
      <c r="E3595" t="s">
        <v>7452</v>
      </c>
      <c r="F3595" t="s">
        <v>420</v>
      </c>
      <c r="G3595" t="s">
        <v>252</v>
      </c>
      <c r="H3595" t="b">
        <v>0</v>
      </c>
      <c r="I3595" t="b">
        <v>0</v>
      </c>
      <c r="L3595" t="b">
        <v>0</v>
      </c>
      <c r="M3595" t="s">
        <v>7453</v>
      </c>
      <c r="N3595" t="s">
        <v>7454</v>
      </c>
    </row>
    <row r="3596" spans="1:25" x14ac:dyDescent="0.2">
      <c r="A3596">
        <v>626</v>
      </c>
      <c r="B3596" t="s">
        <v>7446</v>
      </c>
      <c r="C3596" t="s">
        <v>18</v>
      </c>
      <c r="D3596" t="s">
        <v>7455</v>
      </c>
      <c r="E3596" t="s">
        <v>7456</v>
      </c>
      <c r="F3596" t="s">
        <v>420</v>
      </c>
      <c r="G3596" t="s">
        <v>252</v>
      </c>
      <c r="H3596" t="b">
        <v>0</v>
      </c>
      <c r="I3596" t="b">
        <v>0</v>
      </c>
      <c r="L3596" t="b">
        <v>0</v>
      </c>
    </row>
    <row r="3597" spans="1:25" x14ac:dyDescent="0.2">
      <c r="A3597">
        <v>627</v>
      </c>
      <c r="B3597" t="s">
        <v>7446</v>
      </c>
      <c r="C3597" t="s">
        <v>18</v>
      </c>
      <c r="D3597" t="s">
        <v>7457</v>
      </c>
      <c r="E3597" t="s">
        <v>7381</v>
      </c>
      <c r="F3597" t="s">
        <v>205</v>
      </c>
      <c r="G3597" t="s">
        <v>252</v>
      </c>
      <c r="H3597" t="b">
        <v>0</v>
      </c>
      <c r="I3597" t="b">
        <v>0</v>
      </c>
      <c r="L3597" t="b">
        <v>0</v>
      </c>
      <c r="M3597" t="s">
        <v>7458</v>
      </c>
      <c r="N3597" t="s">
        <v>7459</v>
      </c>
    </row>
    <row r="3598" spans="1:25" x14ac:dyDescent="0.2">
      <c r="A3598">
        <v>628</v>
      </c>
      <c r="B3598" t="s">
        <v>7446</v>
      </c>
      <c r="C3598" t="s">
        <v>18</v>
      </c>
      <c r="D3598" t="s">
        <v>7460</v>
      </c>
      <c r="E3598" t="s">
        <v>5286</v>
      </c>
      <c r="F3598" t="s">
        <v>205</v>
      </c>
      <c r="G3598" t="s">
        <v>252</v>
      </c>
      <c r="H3598" t="b">
        <v>0</v>
      </c>
      <c r="I3598" t="b">
        <v>0</v>
      </c>
      <c r="L3598" t="b">
        <v>0</v>
      </c>
      <c r="M3598" t="s">
        <v>7461</v>
      </c>
      <c r="N3598" t="s">
        <v>7462</v>
      </c>
    </row>
    <row r="3600" spans="1:25" x14ac:dyDescent="0.2">
      <c r="A3600" s="2">
        <v>6230</v>
      </c>
      <c r="B3600" s="2" t="s">
        <v>7463</v>
      </c>
      <c r="C3600" s="2" t="s">
        <v>13</v>
      </c>
      <c r="D3600" s="2" t="s">
        <v>7464</v>
      </c>
      <c r="E3600" s="2" t="s">
        <v>7465</v>
      </c>
      <c r="F3600" s="2" t="s">
        <v>248</v>
      </c>
      <c r="G3600" s="2" t="s">
        <v>502</v>
      </c>
      <c r="H3600" s="2"/>
      <c r="I3600" s="2"/>
      <c r="J3600" s="2"/>
      <c r="K3600" s="2"/>
      <c r="L3600" s="2"/>
      <c r="M3600" s="2"/>
      <c r="N3600" s="2"/>
      <c r="O3600" s="2"/>
      <c r="P3600" s="2"/>
      <c r="Q3600" s="2"/>
      <c r="R3600" s="2"/>
      <c r="S3600" s="2"/>
      <c r="T3600" s="2"/>
      <c r="U3600" s="2"/>
      <c r="V3600" s="2"/>
      <c r="W3600" s="2"/>
      <c r="X3600" s="2"/>
      <c r="Y3600" s="2"/>
    </row>
    <row r="3601" spans="1:25" x14ac:dyDescent="0.2">
      <c r="A3601">
        <v>6231</v>
      </c>
      <c r="B3601" t="s">
        <v>7463</v>
      </c>
      <c r="C3601" t="s">
        <v>18</v>
      </c>
      <c r="D3601" t="s">
        <v>7464</v>
      </c>
      <c r="E3601" t="s">
        <v>2338</v>
      </c>
      <c r="F3601" t="s">
        <v>248</v>
      </c>
      <c r="G3601" t="s">
        <v>502</v>
      </c>
      <c r="H3601" t="b">
        <v>1</v>
      </c>
      <c r="I3601" t="b">
        <v>1</v>
      </c>
      <c r="L3601" t="b">
        <v>1</v>
      </c>
      <c r="M3601" t="s">
        <v>7466</v>
      </c>
      <c r="N3601" t="s">
        <v>7467</v>
      </c>
    </row>
    <row r="3602" spans="1:25" x14ac:dyDescent="0.2">
      <c r="A3602">
        <v>6232</v>
      </c>
      <c r="B3602" t="s">
        <v>7463</v>
      </c>
      <c r="C3602" t="s">
        <v>18</v>
      </c>
      <c r="D3602" t="s">
        <v>7468</v>
      </c>
      <c r="E3602" t="s">
        <v>1558</v>
      </c>
      <c r="F3602" t="s">
        <v>248</v>
      </c>
      <c r="G3602" t="s">
        <v>502</v>
      </c>
      <c r="H3602" t="b">
        <v>1</v>
      </c>
      <c r="I3602" t="b">
        <v>1</v>
      </c>
      <c r="L3602" t="b">
        <v>1</v>
      </c>
      <c r="M3602" t="s">
        <v>7469</v>
      </c>
      <c r="N3602" t="s">
        <v>7470</v>
      </c>
    </row>
    <row r="3603" spans="1:25" x14ac:dyDescent="0.2">
      <c r="A3603">
        <v>6233</v>
      </c>
      <c r="B3603" t="s">
        <v>7463</v>
      </c>
      <c r="C3603" t="s">
        <v>18</v>
      </c>
      <c r="D3603" t="s">
        <v>7471</v>
      </c>
      <c r="E3603" t="s">
        <v>7472</v>
      </c>
      <c r="F3603" t="s">
        <v>6173</v>
      </c>
      <c r="G3603" t="s">
        <v>7473</v>
      </c>
      <c r="H3603" t="b">
        <v>0</v>
      </c>
      <c r="I3603" t="b">
        <v>0</v>
      </c>
      <c r="L3603" t="b">
        <v>0</v>
      </c>
      <c r="M3603" t="s">
        <v>7474</v>
      </c>
      <c r="N3603" t="s">
        <v>7475</v>
      </c>
    </row>
    <row r="3604" spans="1:25" x14ac:dyDescent="0.2">
      <c r="A3604">
        <v>6234</v>
      </c>
      <c r="B3604" t="s">
        <v>7463</v>
      </c>
      <c r="C3604" t="s">
        <v>18</v>
      </c>
      <c r="D3604" t="s">
        <v>7476</v>
      </c>
      <c r="E3604" t="s">
        <v>7477</v>
      </c>
      <c r="F3604" t="s">
        <v>6173</v>
      </c>
      <c r="G3604" t="s">
        <v>502</v>
      </c>
      <c r="H3604" t="b">
        <v>0</v>
      </c>
      <c r="I3604" t="b">
        <v>0</v>
      </c>
      <c r="L3604" t="b">
        <v>0</v>
      </c>
    </row>
    <row r="3605" spans="1:25" x14ac:dyDescent="0.2">
      <c r="A3605">
        <v>6235</v>
      </c>
      <c r="B3605" t="s">
        <v>7463</v>
      </c>
      <c r="C3605" t="s">
        <v>18</v>
      </c>
      <c r="D3605" t="s">
        <v>7478</v>
      </c>
      <c r="E3605" t="s">
        <v>7479</v>
      </c>
      <c r="F3605" t="s">
        <v>785</v>
      </c>
      <c r="G3605" t="s">
        <v>502</v>
      </c>
      <c r="H3605" t="b">
        <v>0</v>
      </c>
      <c r="I3605" t="b">
        <v>0</v>
      </c>
      <c r="L3605" t="b">
        <v>0</v>
      </c>
      <c r="M3605" t="s">
        <v>7480</v>
      </c>
      <c r="N3605" t="s">
        <v>7481</v>
      </c>
    </row>
    <row r="3607" spans="1:25" x14ac:dyDescent="0.2">
      <c r="A3607" s="2">
        <v>6237</v>
      </c>
      <c r="B3607" s="2" t="s">
        <v>7482</v>
      </c>
      <c r="C3607" s="2" t="s">
        <v>13</v>
      </c>
      <c r="D3607" s="2" t="s">
        <v>7483</v>
      </c>
      <c r="E3607" s="2" t="s">
        <v>7484</v>
      </c>
      <c r="F3607" s="2" t="s">
        <v>205</v>
      </c>
      <c r="G3607" s="2" t="s">
        <v>88</v>
      </c>
      <c r="H3607" s="2"/>
      <c r="I3607" s="2"/>
      <c r="J3607" s="2"/>
      <c r="K3607" s="2"/>
      <c r="L3607" s="2"/>
      <c r="M3607" s="2"/>
      <c r="N3607" s="2"/>
      <c r="O3607" s="2"/>
      <c r="P3607" s="2"/>
      <c r="Q3607" s="2"/>
      <c r="R3607" s="2"/>
      <c r="S3607" s="2"/>
      <c r="T3607" s="2"/>
      <c r="U3607" s="2"/>
      <c r="V3607" s="2"/>
      <c r="W3607" s="2"/>
      <c r="X3607" s="2"/>
      <c r="Y3607" s="2"/>
    </row>
    <row r="3608" spans="1:25" x14ac:dyDescent="0.2">
      <c r="A3608">
        <v>6238</v>
      </c>
      <c r="B3608" t="s">
        <v>7482</v>
      </c>
      <c r="C3608" t="s">
        <v>18</v>
      </c>
      <c r="D3608" t="s">
        <v>7483</v>
      </c>
      <c r="E3608" t="s">
        <v>7484</v>
      </c>
      <c r="F3608" t="s">
        <v>205</v>
      </c>
      <c r="G3608" t="s">
        <v>88</v>
      </c>
      <c r="H3608" t="b">
        <v>1</v>
      </c>
      <c r="I3608" t="b">
        <v>1</v>
      </c>
      <c r="L3608" t="b">
        <v>1</v>
      </c>
      <c r="M3608" t="s">
        <v>7485</v>
      </c>
      <c r="N3608" t="s">
        <v>7486</v>
      </c>
    </row>
    <row r="3609" spans="1:25" x14ac:dyDescent="0.2">
      <c r="A3609">
        <v>6239</v>
      </c>
      <c r="B3609" t="s">
        <v>7482</v>
      </c>
      <c r="C3609" t="s">
        <v>18</v>
      </c>
      <c r="D3609" t="s">
        <v>7487</v>
      </c>
      <c r="E3609" t="s">
        <v>7488</v>
      </c>
      <c r="F3609" t="s">
        <v>205</v>
      </c>
      <c r="G3609" t="s">
        <v>2278</v>
      </c>
      <c r="H3609" t="b">
        <v>0</v>
      </c>
      <c r="I3609" t="b">
        <v>0</v>
      </c>
      <c r="L3609" t="b">
        <v>0</v>
      </c>
    </row>
    <row r="3610" spans="1:25" x14ac:dyDescent="0.2">
      <c r="A3610">
        <v>6240</v>
      </c>
      <c r="B3610" t="s">
        <v>7482</v>
      </c>
      <c r="C3610" t="s">
        <v>18</v>
      </c>
      <c r="D3610" t="s">
        <v>7489</v>
      </c>
      <c r="E3610" t="s">
        <v>7490</v>
      </c>
      <c r="F3610" t="s">
        <v>205</v>
      </c>
      <c r="G3610" t="s">
        <v>62</v>
      </c>
      <c r="H3610" t="b">
        <v>0</v>
      </c>
      <c r="I3610" t="b">
        <v>0</v>
      </c>
      <c r="L3610" t="b">
        <v>0</v>
      </c>
    </row>
    <row r="3611" spans="1:25" x14ac:dyDescent="0.2">
      <c r="A3611">
        <v>6241</v>
      </c>
      <c r="B3611" t="s">
        <v>7482</v>
      </c>
      <c r="C3611" t="s">
        <v>18</v>
      </c>
      <c r="D3611" t="s">
        <v>7491</v>
      </c>
      <c r="E3611" t="s">
        <v>7492</v>
      </c>
      <c r="F3611" t="s">
        <v>205</v>
      </c>
      <c r="G3611" t="s">
        <v>2278</v>
      </c>
      <c r="H3611" t="b">
        <v>0</v>
      </c>
      <c r="I3611" t="b">
        <v>0</v>
      </c>
      <c r="L3611" t="b">
        <v>0</v>
      </c>
    </row>
    <row r="3612" spans="1:25" x14ac:dyDescent="0.2">
      <c r="A3612">
        <v>6242</v>
      </c>
      <c r="B3612" t="s">
        <v>7482</v>
      </c>
      <c r="C3612" t="s">
        <v>18</v>
      </c>
      <c r="D3612" t="s">
        <v>7493</v>
      </c>
      <c r="E3612" t="s">
        <v>7494</v>
      </c>
      <c r="F3612" t="s">
        <v>205</v>
      </c>
      <c r="G3612" t="s">
        <v>2278</v>
      </c>
      <c r="H3612" t="b">
        <v>0</v>
      </c>
      <c r="I3612" t="b">
        <v>0</v>
      </c>
      <c r="L3612" t="b">
        <v>0</v>
      </c>
    </row>
    <row r="3614" spans="1:25" x14ac:dyDescent="0.2">
      <c r="A3614" s="2">
        <v>6251</v>
      </c>
      <c r="B3614" s="2" t="s">
        <v>7495</v>
      </c>
      <c r="C3614" s="2" t="s">
        <v>13</v>
      </c>
      <c r="D3614" s="2" t="s">
        <v>7496</v>
      </c>
      <c r="E3614" s="2" t="s">
        <v>7497</v>
      </c>
      <c r="F3614" s="2" t="s">
        <v>205</v>
      </c>
      <c r="G3614" s="2" t="s">
        <v>88</v>
      </c>
      <c r="H3614" s="2"/>
      <c r="I3614" s="2"/>
      <c r="J3614" s="2"/>
      <c r="K3614" s="2"/>
      <c r="L3614" s="2"/>
      <c r="M3614" s="2"/>
      <c r="N3614" s="2"/>
      <c r="O3614" s="2"/>
      <c r="P3614" s="2"/>
      <c r="Q3614" s="2"/>
      <c r="R3614" s="2"/>
      <c r="S3614" s="2"/>
      <c r="T3614" s="2"/>
      <c r="U3614" s="2"/>
      <c r="V3614" s="2"/>
      <c r="W3614" s="2"/>
      <c r="X3614" s="2"/>
      <c r="Y3614" s="2"/>
    </row>
    <row r="3615" spans="1:25" x14ac:dyDescent="0.2">
      <c r="A3615">
        <v>6252</v>
      </c>
      <c r="B3615" t="s">
        <v>7495</v>
      </c>
      <c r="C3615" t="s">
        <v>18</v>
      </c>
      <c r="D3615" t="s">
        <v>7496</v>
      </c>
      <c r="E3615" t="s">
        <v>7497</v>
      </c>
      <c r="F3615" t="s">
        <v>7498</v>
      </c>
      <c r="G3615" t="s">
        <v>88</v>
      </c>
      <c r="H3615" t="b">
        <v>1</v>
      </c>
      <c r="I3615" t="b">
        <v>1</v>
      </c>
      <c r="L3615" t="b">
        <v>1</v>
      </c>
      <c r="M3615" t="s">
        <v>7499</v>
      </c>
      <c r="N3615" t="s">
        <v>745</v>
      </c>
    </row>
    <row r="3616" spans="1:25" x14ac:dyDescent="0.2">
      <c r="A3616">
        <v>6253</v>
      </c>
      <c r="B3616" t="s">
        <v>7495</v>
      </c>
      <c r="C3616" t="s">
        <v>18</v>
      </c>
      <c r="D3616" t="s">
        <v>7500</v>
      </c>
      <c r="E3616" t="s">
        <v>7501</v>
      </c>
      <c r="F3616" t="s">
        <v>82</v>
      </c>
      <c r="G3616" t="s">
        <v>88</v>
      </c>
      <c r="H3616" t="b">
        <v>1</v>
      </c>
      <c r="I3616" t="b">
        <v>1</v>
      </c>
      <c r="L3616" t="b">
        <v>1</v>
      </c>
    </row>
    <row r="3617" spans="1:25" x14ac:dyDescent="0.2">
      <c r="A3617">
        <v>6254</v>
      </c>
      <c r="B3617" t="s">
        <v>7495</v>
      </c>
      <c r="C3617" t="s">
        <v>18</v>
      </c>
      <c r="D3617" t="s">
        <v>7502</v>
      </c>
      <c r="E3617" t="s">
        <v>7503</v>
      </c>
      <c r="F3617" t="s">
        <v>200</v>
      </c>
      <c r="G3617" t="s">
        <v>2278</v>
      </c>
      <c r="H3617" t="b">
        <v>0</v>
      </c>
      <c r="I3617" t="b">
        <v>0</v>
      </c>
      <c r="L3617" t="b">
        <v>0</v>
      </c>
    </row>
    <row r="3618" spans="1:25" x14ac:dyDescent="0.2">
      <c r="A3618">
        <v>6255</v>
      </c>
      <c r="B3618" t="s">
        <v>7495</v>
      </c>
      <c r="C3618" t="s">
        <v>18</v>
      </c>
      <c r="D3618" t="s">
        <v>7504</v>
      </c>
      <c r="E3618" t="s">
        <v>7505</v>
      </c>
      <c r="F3618" t="s">
        <v>174</v>
      </c>
      <c r="G3618" t="s">
        <v>2278</v>
      </c>
      <c r="H3618" t="b">
        <v>0</v>
      </c>
      <c r="I3618" t="b">
        <v>0</v>
      </c>
      <c r="L3618" t="b">
        <v>0</v>
      </c>
    </row>
    <row r="3619" spans="1:25" x14ac:dyDescent="0.2">
      <c r="A3619">
        <v>6256</v>
      </c>
      <c r="B3619" t="s">
        <v>7495</v>
      </c>
      <c r="C3619" t="s">
        <v>18</v>
      </c>
      <c r="D3619" t="s">
        <v>7506</v>
      </c>
      <c r="E3619" t="s">
        <v>7507</v>
      </c>
      <c r="F3619" t="s">
        <v>200</v>
      </c>
      <c r="G3619" t="s">
        <v>2278</v>
      </c>
      <c r="H3619" t="b">
        <v>0</v>
      </c>
      <c r="I3619" t="b">
        <v>0</v>
      </c>
      <c r="L3619" t="b">
        <v>0</v>
      </c>
    </row>
    <row r="3621" spans="1:25" x14ac:dyDescent="0.2">
      <c r="A3621" s="2">
        <v>6258</v>
      </c>
      <c r="B3621" s="2" t="s">
        <v>7508</v>
      </c>
      <c r="C3621" s="2" t="s">
        <v>13</v>
      </c>
      <c r="D3621" s="2" t="s">
        <v>7509</v>
      </c>
      <c r="E3621" s="2" t="s">
        <v>7510</v>
      </c>
      <c r="F3621" s="2" t="s">
        <v>248</v>
      </c>
      <c r="G3621" s="2" t="s">
        <v>17</v>
      </c>
      <c r="H3621" s="2"/>
      <c r="I3621" s="2"/>
      <c r="J3621" s="2"/>
      <c r="K3621" s="2"/>
      <c r="L3621" s="2"/>
      <c r="M3621" s="2"/>
      <c r="N3621" s="2"/>
      <c r="O3621" s="2"/>
      <c r="P3621" s="2"/>
      <c r="Q3621" s="2"/>
      <c r="R3621" s="2"/>
      <c r="S3621" s="2"/>
      <c r="T3621" s="2"/>
      <c r="U3621" s="2"/>
      <c r="V3621" s="2"/>
      <c r="W3621" s="2"/>
      <c r="X3621" s="2"/>
      <c r="Y3621" s="2"/>
    </row>
    <row r="3622" spans="1:25" x14ac:dyDescent="0.2">
      <c r="A3622">
        <v>6259</v>
      </c>
      <c r="B3622" t="s">
        <v>7508</v>
      </c>
      <c r="C3622" t="s">
        <v>18</v>
      </c>
      <c r="D3622" t="s">
        <v>7509</v>
      </c>
      <c r="E3622" t="s">
        <v>7511</v>
      </c>
      <c r="F3622" t="s">
        <v>248</v>
      </c>
      <c r="G3622" t="s">
        <v>17</v>
      </c>
      <c r="H3622" t="b">
        <v>1</v>
      </c>
      <c r="I3622" t="b">
        <v>1</v>
      </c>
      <c r="L3622" t="b">
        <v>1</v>
      </c>
      <c r="M3622" t="s">
        <v>7512</v>
      </c>
      <c r="N3622" t="s">
        <v>7513</v>
      </c>
    </row>
    <row r="3623" spans="1:25" x14ac:dyDescent="0.2">
      <c r="A3623">
        <v>6260</v>
      </c>
      <c r="B3623" t="s">
        <v>7508</v>
      </c>
      <c r="C3623" t="s">
        <v>18</v>
      </c>
      <c r="D3623" t="s">
        <v>7514</v>
      </c>
      <c r="E3623" t="s">
        <v>416</v>
      </c>
      <c r="F3623" t="s">
        <v>31</v>
      </c>
      <c r="G3623" t="s">
        <v>17</v>
      </c>
      <c r="H3623" t="b">
        <v>0</v>
      </c>
      <c r="I3623" t="b">
        <v>0</v>
      </c>
      <c r="L3623" t="b">
        <v>0</v>
      </c>
      <c r="M3623" t="s">
        <v>7515</v>
      </c>
      <c r="N3623" t="s">
        <v>7516</v>
      </c>
    </row>
    <row r="3624" spans="1:25" x14ac:dyDescent="0.2">
      <c r="A3624">
        <v>6261</v>
      </c>
      <c r="B3624" t="s">
        <v>7508</v>
      </c>
      <c r="C3624" t="s">
        <v>18</v>
      </c>
      <c r="D3624" t="s">
        <v>7517</v>
      </c>
      <c r="E3624" t="s">
        <v>3867</v>
      </c>
      <c r="F3624" t="s">
        <v>31</v>
      </c>
      <c r="G3624" t="s">
        <v>17</v>
      </c>
      <c r="H3624" t="b">
        <v>0</v>
      </c>
      <c r="I3624" t="b">
        <v>0</v>
      </c>
      <c r="L3624" t="b">
        <v>0</v>
      </c>
      <c r="M3624" t="s">
        <v>7518</v>
      </c>
      <c r="N3624" t="s">
        <v>7519</v>
      </c>
    </row>
    <row r="3625" spans="1:25" x14ac:dyDescent="0.2">
      <c r="A3625">
        <v>6262</v>
      </c>
      <c r="B3625" t="s">
        <v>7508</v>
      </c>
      <c r="C3625" t="s">
        <v>18</v>
      </c>
      <c r="D3625" t="s">
        <v>7520</v>
      </c>
      <c r="E3625" t="s">
        <v>7521</v>
      </c>
      <c r="F3625" t="s">
        <v>23</v>
      </c>
      <c r="G3625" t="s">
        <v>17</v>
      </c>
      <c r="H3625" t="b">
        <v>0</v>
      </c>
      <c r="I3625" t="b">
        <v>0</v>
      </c>
      <c r="L3625" t="b">
        <v>0</v>
      </c>
      <c r="M3625" t="s">
        <v>7522</v>
      </c>
      <c r="N3625" t="s">
        <v>7523</v>
      </c>
      <c r="O3625" t="s">
        <v>7524</v>
      </c>
      <c r="P3625" t="s">
        <v>7525</v>
      </c>
    </row>
    <row r="3626" spans="1:25" x14ac:dyDescent="0.2">
      <c r="A3626">
        <v>6263</v>
      </c>
      <c r="B3626" t="s">
        <v>7508</v>
      </c>
      <c r="C3626" t="s">
        <v>18</v>
      </c>
      <c r="D3626" t="s">
        <v>7526</v>
      </c>
      <c r="E3626" t="s">
        <v>7527</v>
      </c>
      <c r="F3626" t="s">
        <v>168</v>
      </c>
      <c r="G3626" t="s">
        <v>17</v>
      </c>
      <c r="H3626" t="b">
        <v>0</v>
      </c>
      <c r="I3626" t="b">
        <v>0</v>
      </c>
      <c r="L3626" t="b">
        <v>0</v>
      </c>
    </row>
    <row r="3628" spans="1:25" x14ac:dyDescent="0.2">
      <c r="A3628" s="2">
        <v>6265</v>
      </c>
      <c r="B3628" s="2" t="s">
        <v>7528</v>
      </c>
      <c r="C3628" s="2" t="s">
        <v>13</v>
      </c>
      <c r="D3628" s="2" t="s">
        <v>1973</v>
      </c>
      <c r="E3628" s="2" t="s">
        <v>1974</v>
      </c>
      <c r="F3628" s="2" t="s">
        <v>168</v>
      </c>
      <c r="G3628" s="2" t="s">
        <v>17</v>
      </c>
      <c r="H3628" s="2"/>
      <c r="I3628" s="2"/>
      <c r="J3628" s="2"/>
      <c r="K3628" s="2"/>
      <c r="L3628" s="2"/>
      <c r="M3628" s="2"/>
      <c r="N3628" s="2"/>
      <c r="O3628" s="2"/>
      <c r="P3628" s="2"/>
      <c r="Q3628" s="2"/>
      <c r="R3628" s="2"/>
      <c r="S3628" s="2"/>
      <c r="T3628" s="2"/>
      <c r="U3628" s="2"/>
      <c r="V3628" s="2"/>
      <c r="W3628" s="2"/>
      <c r="X3628" s="2"/>
      <c r="Y3628" s="2"/>
    </row>
    <row r="3629" spans="1:25" x14ac:dyDescent="0.2">
      <c r="A3629">
        <v>6266</v>
      </c>
      <c r="B3629" t="s">
        <v>7528</v>
      </c>
      <c r="C3629" t="s">
        <v>18</v>
      </c>
      <c r="D3629" t="s">
        <v>1973</v>
      </c>
      <c r="E3629" t="s">
        <v>1974</v>
      </c>
      <c r="F3629" t="s">
        <v>168</v>
      </c>
      <c r="G3629" t="s">
        <v>17</v>
      </c>
      <c r="H3629" t="b">
        <v>1</v>
      </c>
      <c r="K3629" t="b">
        <v>1</v>
      </c>
      <c r="L3629" t="b">
        <v>1</v>
      </c>
      <c r="M3629" t="s">
        <v>1975</v>
      </c>
      <c r="N3629" t="s">
        <v>1976</v>
      </c>
      <c r="O3629" t="s">
        <v>1977</v>
      </c>
      <c r="P3629" t="s">
        <v>1978</v>
      </c>
    </row>
    <row r="3630" spans="1:25" x14ac:dyDescent="0.2">
      <c r="A3630">
        <v>6267</v>
      </c>
      <c r="B3630" t="s">
        <v>7528</v>
      </c>
      <c r="C3630" t="s">
        <v>18</v>
      </c>
      <c r="D3630" t="s">
        <v>6074</v>
      </c>
      <c r="E3630" t="s">
        <v>384</v>
      </c>
      <c r="F3630" t="s">
        <v>23</v>
      </c>
      <c r="G3630" t="s">
        <v>17</v>
      </c>
      <c r="H3630" t="b">
        <v>0</v>
      </c>
      <c r="K3630" t="b">
        <v>0</v>
      </c>
      <c r="L3630" t="b">
        <v>0</v>
      </c>
      <c r="M3630" t="s">
        <v>6076</v>
      </c>
    </row>
    <row r="3631" spans="1:25" x14ac:dyDescent="0.2">
      <c r="A3631">
        <v>6268</v>
      </c>
      <c r="B3631" t="s">
        <v>7528</v>
      </c>
      <c r="C3631" t="s">
        <v>18</v>
      </c>
      <c r="D3631" t="s">
        <v>673</v>
      </c>
      <c r="E3631" t="s">
        <v>674</v>
      </c>
      <c r="F3631" t="s">
        <v>168</v>
      </c>
      <c r="G3631" t="s">
        <v>17</v>
      </c>
      <c r="H3631" t="b">
        <v>0</v>
      </c>
      <c r="K3631" t="b">
        <v>0</v>
      </c>
      <c r="L3631" t="b">
        <v>0</v>
      </c>
      <c r="M3631" t="s">
        <v>675</v>
      </c>
      <c r="N3631" t="s">
        <v>676</v>
      </c>
    </row>
    <row r="3632" spans="1:25" x14ac:dyDescent="0.2">
      <c r="A3632">
        <v>6269</v>
      </c>
      <c r="B3632" t="s">
        <v>7528</v>
      </c>
      <c r="C3632" t="s">
        <v>18</v>
      </c>
      <c r="D3632" t="s">
        <v>984</v>
      </c>
      <c r="E3632" t="s">
        <v>985</v>
      </c>
      <c r="F3632" t="s">
        <v>159</v>
      </c>
      <c r="G3632" t="s">
        <v>17</v>
      </c>
      <c r="H3632" t="b">
        <v>0</v>
      </c>
      <c r="K3632" t="b">
        <v>0</v>
      </c>
      <c r="L3632" t="b">
        <v>0</v>
      </c>
      <c r="M3632" t="s">
        <v>986</v>
      </c>
      <c r="N3632" t="s">
        <v>987</v>
      </c>
    </row>
    <row r="3633" spans="1:25" x14ac:dyDescent="0.2">
      <c r="A3633">
        <v>6270</v>
      </c>
      <c r="B3633" t="s">
        <v>7528</v>
      </c>
      <c r="C3633" t="s">
        <v>18</v>
      </c>
      <c r="D3633" t="s">
        <v>6077</v>
      </c>
      <c r="E3633" t="s">
        <v>935</v>
      </c>
      <c r="F3633" t="s">
        <v>174</v>
      </c>
      <c r="G3633" t="s">
        <v>17</v>
      </c>
      <c r="H3633" t="b">
        <v>0</v>
      </c>
      <c r="K3633" t="b">
        <v>0</v>
      </c>
      <c r="L3633" t="b">
        <v>0</v>
      </c>
      <c r="M3633" t="s">
        <v>6078</v>
      </c>
      <c r="N3633" t="s">
        <v>6079</v>
      </c>
    </row>
    <row r="3635" spans="1:25" x14ac:dyDescent="0.2">
      <c r="A3635" s="2">
        <v>6272</v>
      </c>
      <c r="B3635" s="2" t="s">
        <v>7529</v>
      </c>
      <c r="C3635" s="2" t="s">
        <v>13</v>
      </c>
      <c r="D3635" s="2" t="s">
        <v>7530</v>
      </c>
      <c r="E3635" s="2" t="s">
        <v>7531</v>
      </c>
      <c r="F3635" s="2" t="s">
        <v>151</v>
      </c>
      <c r="G3635" s="2" t="s">
        <v>24</v>
      </c>
      <c r="H3635" s="2"/>
      <c r="I3635" s="2"/>
      <c r="J3635" s="2"/>
      <c r="K3635" s="2"/>
      <c r="L3635" s="2"/>
      <c r="M3635" s="2"/>
      <c r="N3635" s="2"/>
      <c r="O3635" s="2"/>
      <c r="P3635" s="2"/>
      <c r="Q3635" s="2"/>
      <c r="R3635" s="2"/>
      <c r="S3635" s="2"/>
      <c r="T3635" s="2"/>
      <c r="U3635" s="2"/>
      <c r="V3635" s="2"/>
      <c r="W3635" s="2"/>
      <c r="X3635" s="2"/>
      <c r="Y3635" s="2"/>
    </row>
    <row r="3636" spans="1:25" x14ac:dyDescent="0.2">
      <c r="A3636">
        <v>6273</v>
      </c>
      <c r="B3636" t="s">
        <v>7529</v>
      </c>
      <c r="C3636" t="s">
        <v>18</v>
      </c>
      <c r="D3636" t="s">
        <v>7530</v>
      </c>
      <c r="E3636" t="s">
        <v>7531</v>
      </c>
      <c r="F3636" t="s">
        <v>151</v>
      </c>
      <c r="G3636" t="s">
        <v>24</v>
      </c>
      <c r="H3636" t="b">
        <v>1</v>
      </c>
      <c r="K3636" t="b">
        <v>1</v>
      </c>
      <c r="L3636" t="b">
        <v>1</v>
      </c>
      <c r="M3636" t="s">
        <v>7532</v>
      </c>
      <c r="N3636" t="s">
        <v>7533</v>
      </c>
    </row>
    <row r="3637" spans="1:25" x14ac:dyDescent="0.2">
      <c r="A3637">
        <v>6274</v>
      </c>
      <c r="B3637" t="s">
        <v>7529</v>
      </c>
      <c r="C3637" t="s">
        <v>18</v>
      </c>
      <c r="D3637" t="s">
        <v>7534</v>
      </c>
      <c r="E3637" t="s">
        <v>7535</v>
      </c>
      <c r="F3637" t="s">
        <v>151</v>
      </c>
      <c r="G3637" t="s">
        <v>280</v>
      </c>
      <c r="H3637" t="b">
        <v>0</v>
      </c>
      <c r="K3637" t="b">
        <v>0</v>
      </c>
      <c r="L3637" t="b">
        <v>0</v>
      </c>
    </row>
    <row r="3638" spans="1:25" x14ac:dyDescent="0.2">
      <c r="A3638">
        <v>6275</v>
      </c>
      <c r="B3638" t="s">
        <v>7529</v>
      </c>
      <c r="C3638" t="s">
        <v>18</v>
      </c>
      <c r="D3638" t="s">
        <v>7536</v>
      </c>
      <c r="E3638" t="s">
        <v>7537</v>
      </c>
      <c r="F3638" t="s">
        <v>151</v>
      </c>
      <c r="G3638" t="s">
        <v>134</v>
      </c>
      <c r="H3638" t="b">
        <v>0</v>
      </c>
      <c r="K3638" t="b">
        <v>0</v>
      </c>
      <c r="L3638" t="b">
        <v>0</v>
      </c>
    </row>
    <row r="3639" spans="1:25" x14ac:dyDescent="0.2">
      <c r="A3639">
        <v>6276</v>
      </c>
      <c r="B3639" t="s">
        <v>7529</v>
      </c>
      <c r="C3639" t="s">
        <v>18</v>
      </c>
      <c r="D3639" t="s">
        <v>157</v>
      </c>
      <c r="E3639" t="s">
        <v>158</v>
      </c>
      <c r="F3639" t="s">
        <v>160</v>
      </c>
      <c r="G3639" t="s">
        <v>161</v>
      </c>
      <c r="H3639" t="b">
        <v>0</v>
      </c>
      <c r="K3639" t="b">
        <v>0</v>
      </c>
      <c r="L3639" t="b">
        <v>0</v>
      </c>
      <c r="M3639" t="s">
        <v>6201</v>
      </c>
      <c r="N3639" t="s">
        <v>6202</v>
      </c>
    </row>
    <row r="3640" spans="1:25" x14ac:dyDescent="0.2">
      <c r="A3640">
        <v>6277</v>
      </c>
      <c r="B3640" t="s">
        <v>7529</v>
      </c>
      <c r="C3640" t="s">
        <v>18</v>
      </c>
      <c r="D3640" t="s">
        <v>7538</v>
      </c>
      <c r="E3640" t="s">
        <v>7539</v>
      </c>
      <c r="F3640" t="s">
        <v>151</v>
      </c>
      <c r="G3640" t="s">
        <v>280</v>
      </c>
      <c r="H3640" t="b">
        <v>0</v>
      </c>
      <c r="K3640" t="b">
        <v>0</v>
      </c>
      <c r="L3640" t="b">
        <v>0</v>
      </c>
    </row>
    <row r="3642" spans="1:25" x14ac:dyDescent="0.2">
      <c r="A3642" s="2">
        <v>6279</v>
      </c>
      <c r="B3642" s="2" t="s">
        <v>7540</v>
      </c>
      <c r="C3642" s="2" t="s">
        <v>13</v>
      </c>
      <c r="D3642" s="2" t="s">
        <v>7541</v>
      </c>
      <c r="E3642" s="2" t="s">
        <v>7542</v>
      </c>
      <c r="F3642" s="2" t="s">
        <v>78</v>
      </c>
      <c r="G3642" s="2" t="s">
        <v>88</v>
      </c>
      <c r="H3642" s="2"/>
      <c r="I3642" s="2"/>
      <c r="J3642" s="2"/>
      <c r="K3642" s="2"/>
      <c r="L3642" s="2"/>
      <c r="M3642" s="2"/>
      <c r="N3642" s="2"/>
      <c r="O3642" s="2"/>
      <c r="P3642" s="2"/>
      <c r="Q3642" s="2"/>
      <c r="R3642" s="2"/>
      <c r="S3642" s="2"/>
      <c r="T3642" s="2"/>
      <c r="U3642" s="2"/>
      <c r="V3642" s="2"/>
      <c r="W3642" s="2"/>
      <c r="X3642" s="2"/>
      <c r="Y3642" s="2"/>
    </row>
    <row r="3643" spans="1:25" x14ac:dyDescent="0.2">
      <c r="A3643">
        <v>6280</v>
      </c>
      <c r="B3643" t="s">
        <v>7540</v>
      </c>
      <c r="C3643" t="s">
        <v>18</v>
      </c>
      <c r="D3643" t="s">
        <v>7541</v>
      </c>
      <c r="E3643" t="s">
        <v>3505</v>
      </c>
      <c r="F3643" t="s">
        <v>78</v>
      </c>
      <c r="G3643" t="s">
        <v>88</v>
      </c>
      <c r="H3643" t="b">
        <v>1</v>
      </c>
      <c r="I3643" t="b">
        <v>1</v>
      </c>
      <c r="L3643" t="b">
        <v>1</v>
      </c>
      <c r="M3643" t="s">
        <v>7543</v>
      </c>
    </row>
    <row r="3644" spans="1:25" x14ac:dyDescent="0.2">
      <c r="A3644">
        <v>6281</v>
      </c>
      <c r="B3644" t="s">
        <v>7540</v>
      </c>
      <c r="C3644" t="s">
        <v>18</v>
      </c>
      <c r="D3644" t="s">
        <v>7544</v>
      </c>
      <c r="E3644" t="s">
        <v>7545</v>
      </c>
      <c r="F3644" t="s">
        <v>78</v>
      </c>
      <c r="G3644" t="s">
        <v>130</v>
      </c>
      <c r="H3644" t="b">
        <v>0</v>
      </c>
      <c r="I3644" t="b">
        <v>0</v>
      </c>
      <c r="L3644" t="b">
        <v>0</v>
      </c>
      <c r="M3644" t="s">
        <v>7546</v>
      </c>
    </row>
    <row r="3645" spans="1:25" x14ac:dyDescent="0.2">
      <c r="A3645">
        <v>6282</v>
      </c>
      <c r="B3645" t="s">
        <v>7540</v>
      </c>
      <c r="C3645" t="s">
        <v>18</v>
      </c>
      <c r="D3645" t="s">
        <v>7547</v>
      </c>
      <c r="E3645" t="s">
        <v>3035</v>
      </c>
      <c r="F3645" t="s">
        <v>78</v>
      </c>
      <c r="G3645" t="s">
        <v>88</v>
      </c>
      <c r="H3645" t="b">
        <v>1</v>
      </c>
      <c r="I3645" t="b">
        <v>1</v>
      </c>
      <c r="L3645" t="b">
        <v>1</v>
      </c>
      <c r="M3645" t="s">
        <v>7548</v>
      </c>
    </row>
    <row r="3646" spans="1:25" x14ac:dyDescent="0.2">
      <c r="A3646">
        <v>6283</v>
      </c>
      <c r="B3646" t="s">
        <v>7540</v>
      </c>
      <c r="C3646" t="s">
        <v>18</v>
      </c>
      <c r="D3646" t="s">
        <v>7549</v>
      </c>
      <c r="E3646" t="s">
        <v>5927</v>
      </c>
      <c r="F3646" t="s">
        <v>159</v>
      </c>
      <c r="G3646" t="s">
        <v>134</v>
      </c>
      <c r="H3646" t="b">
        <v>0</v>
      </c>
      <c r="I3646" t="b">
        <v>0</v>
      </c>
      <c r="L3646" t="b">
        <v>0</v>
      </c>
      <c r="M3646" t="s">
        <v>7550</v>
      </c>
      <c r="N3646" t="s">
        <v>7551</v>
      </c>
    </row>
    <row r="3647" spans="1:25" x14ac:dyDescent="0.2">
      <c r="A3647">
        <v>6284</v>
      </c>
      <c r="B3647" t="s">
        <v>7540</v>
      </c>
      <c r="C3647" t="s">
        <v>18</v>
      </c>
      <c r="D3647" t="s">
        <v>7552</v>
      </c>
      <c r="E3647" t="s">
        <v>7553</v>
      </c>
      <c r="F3647" t="s">
        <v>78</v>
      </c>
      <c r="G3647" t="s">
        <v>134</v>
      </c>
      <c r="H3647" t="b">
        <v>0</v>
      </c>
      <c r="I3647" t="b">
        <v>0</v>
      </c>
      <c r="L3647" t="b">
        <v>0</v>
      </c>
      <c r="M3647" t="s">
        <v>7554</v>
      </c>
    </row>
    <row r="3649" spans="1:25" x14ac:dyDescent="0.2">
      <c r="A3649" s="2">
        <v>6293</v>
      </c>
      <c r="B3649" s="2" t="s">
        <v>7555</v>
      </c>
      <c r="C3649" s="2" t="s">
        <v>13</v>
      </c>
      <c r="D3649" s="2" t="s">
        <v>7556</v>
      </c>
      <c r="E3649" s="2" t="s">
        <v>7557</v>
      </c>
      <c r="F3649" s="2" t="s">
        <v>78</v>
      </c>
      <c r="G3649" s="2" t="s">
        <v>62</v>
      </c>
      <c r="H3649" s="2"/>
      <c r="I3649" s="2"/>
      <c r="J3649" s="2"/>
      <c r="K3649" s="2"/>
      <c r="L3649" s="2"/>
      <c r="M3649" s="2"/>
      <c r="N3649" s="2"/>
      <c r="O3649" s="2"/>
      <c r="P3649" s="2"/>
      <c r="Q3649" s="2"/>
      <c r="R3649" s="2"/>
      <c r="S3649" s="2"/>
      <c r="T3649" s="2"/>
      <c r="U3649" s="2"/>
      <c r="V3649" s="2"/>
      <c r="W3649" s="2"/>
      <c r="X3649" s="2"/>
      <c r="Y3649" s="2"/>
    </row>
    <row r="3650" spans="1:25" x14ac:dyDescent="0.2">
      <c r="A3650">
        <v>6294</v>
      </c>
      <c r="B3650" t="s">
        <v>7555</v>
      </c>
      <c r="C3650" t="s">
        <v>18</v>
      </c>
      <c r="D3650" t="s">
        <v>7556</v>
      </c>
      <c r="E3650" t="s">
        <v>7558</v>
      </c>
      <c r="F3650" t="s">
        <v>78</v>
      </c>
      <c r="G3650" t="s">
        <v>62</v>
      </c>
      <c r="H3650" t="b">
        <v>1</v>
      </c>
      <c r="I3650" t="b">
        <v>1</v>
      </c>
      <c r="L3650" t="b">
        <v>1</v>
      </c>
      <c r="M3650" t="s">
        <v>7559</v>
      </c>
      <c r="N3650" t="s">
        <v>7560</v>
      </c>
      <c r="O3650" t="s">
        <v>7561</v>
      </c>
    </row>
    <row r="3651" spans="1:25" x14ac:dyDescent="0.2">
      <c r="A3651">
        <v>6295</v>
      </c>
      <c r="B3651" t="s">
        <v>7555</v>
      </c>
      <c r="C3651" t="s">
        <v>18</v>
      </c>
      <c r="D3651" t="s">
        <v>7562</v>
      </c>
      <c r="E3651" t="s">
        <v>7351</v>
      </c>
      <c r="F3651" t="s">
        <v>78</v>
      </c>
      <c r="G3651" t="s">
        <v>62</v>
      </c>
      <c r="H3651" t="b">
        <v>1</v>
      </c>
      <c r="I3651" t="b">
        <v>1</v>
      </c>
      <c r="L3651" t="b">
        <v>1</v>
      </c>
      <c r="M3651" t="s">
        <v>7563</v>
      </c>
    </row>
    <row r="3652" spans="1:25" x14ac:dyDescent="0.2">
      <c r="A3652">
        <v>6296</v>
      </c>
      <c r="B3652" t="s">
        <v>7555</v>
      </c>
      <c r="C3652" t="s">
        <v>18</v>
      </c>
      <c r="D3652" t="s">
        <v>7564</v>
      </c>
      <c r="E3652" t="s">
        <v>7565</v>
      </c>
      <c r="F3652" t="s">
        <v>78</v>
      </c>
      <c r="G3652" t="s">
        <v>62</v>
      </c>
      <c r="H3652" t="b">
        <v>0</v>
      </c>
      <c r="I3652" t="b">
        <v>0</v>
      </c>
      <c r="L3652" t="b">
        <v>0</v>
      </c>
      <c r="M3652" t="s">
        <v>7566</v>
      </c>
    </row>
    <row r="3653" spans="1:25" x14ac:dyDescent="0.2">
      <c r="A3653">
        <v>6297</v>
      </c>
      <c r="B3653" t="s">
        <v>7555</v>
      </c>
      <c r="C3653" t="s">
        <v>18</v>
      </c>
      <c r="D3653" t="s">
        <v>7567</v>
      </c>
      <c r="E3653" t="s">
        <v>7568</v>
      </c>
      <c r="F3653" t="s">
        <v>78</v>
      </c>
      <c r="G3653" t="s">
        <v>62</v>
      </c>
      <c r="H3653" t="b">
        <v>0</v>
      </c>
      <c r="I3653" t="b">
        <v>0</v>
      </c>
      <c r="L3653" t="b">
        <v>0</v>
      </c>
      <c r="M3653" t="s">
        <v>7569</v>
      </c>
    </row>
    <row r="3654" spans="1:25" x14ac:dyDescent="0.2">
      <c r="A3654">
        <v>6298</v>
      </c>
      <c r="B3654" t="s">
        <v>7555</v>
      </c>
      <c r="C3654" t="s">
        <v>18</v>
      </c>
      <c r="D3654" t="s">
        <v>7570</v>
      </c>
      <c r="E3654" t="s">
        <v>1092</v>
      </c>
      <c r="F3654" t="s">
        <v>78</v>
      </c>
      <c r="G3654" t="s">
        <v>62</v>
      </c>
      <c r="H3654" t="b">
        <v>0</v>
      </c>
      <c r="I3654" t="b">
        <v>0</v>
      </c>
      <c r="L3654" t="b">
        <v>0</v>
      </c>
    </row>
    <row r="3656" spans="1:25" x14ac:dyDescent="0.2">
      <c r="A3656" s="2">
        <v>6307</v>
      </c>
      <c r="B3656" s="2" t="s">
        <v>7571</v>
      </c>
      <c r="C3656" s="2" t="s">
        <v>13</v>
      </c>
      <c r="D3656" s="2" t="s">
        <v>7572</v>
      </c>
      <c r="E3656" s="2" t="s">
        <v>7573</v>
      </c>
      <c r="F3656" s="2" t="s">
        <v>78</v>
      </c>
      <c r="G3656" s="2" t="s">
        <v>130</v>
      </c>
      <c r="H3656" s="2"/>
      <c r="I3656" s="2"/>
      <c r="J3656" s="2"/>
      <c r="K3656" s="2"/>
      <c r="L3656" s="2"/>
      <c r="M3656" s="2"/>
      <c r="N3656" s="2"/>
      <c r="O3656" s="2"/>
      <c r="P3656" s="2"/>
      <c r="Q3656" s="2"/>
      <c r="R3656" s="2"/>
      <c r="S3656" s="2"/>
      <c r="T3656" s="2"/>
      <c r="U3656" s="2"/>
      <c r="V3656" s="2"/>
      <c r="W3656" s="2"/>
      <c r="X3656" s="2"/>
      <c r="Y3656" s="2"/>
    </row>
    <row r="3657" spans="1:25" x14ac:dyDescent="0.2">
      <c r="A3657">
        <v>6308</v>
      </c>
      <c r="B3657" t="s">
        <v>7571</v>
      </c>
      <c r="C3657" t="s">
        <v>18</v>
      </c>
      <c r="D3657" t="s">
        <v>7572</v>
      </c>
      <c r="E3657" t="s">
        <v>7573</v>
      </c>
      <c r="F3657" t="s">
        <v>78</v>
      </c>
      <c r="G3657" t="s">
        <v>7574</v>
      </c>
      <c r="H3657" t="b">
        <v>1</v>
      </c>
      <c r="I3657" t="b">
        <v>1</v>
      </c>
      <c r="L3657" t="b">
        <v>1</v>
      </c>
      <c r="M3657" t="s">
        <v>7575</v>
      </c>
      <c r="N3657" t="s">
        <v>7576</v>
      </c>
    </row>
    <row r="3658" spans="1:25" x14ac:dyDescent="0.2">
      <c r="A3658">
        <v>6309</v>
      </c>
      <c r="B3658" t="s">
        <v>7571</v>
      </c>
      <c r="C3658" t="s">
        <v>18</v>
      </c>
      <c r="D3658" t="s">
        <v>7577</v>
      </c>
      <c r="E3658" t="s">
        <v>7578</v>
      </c>
      <c r="F3658" t="s">
        <v>78</v>
      </c>
      <c r="G3658" t="s">
        <v>130</v>
      </c>
      <c r="H3658" t="b">
        <v>0</v>
      </c>
      <c r="I3658" t="b">
        <v>0</v>
      </c>
      <c r="L3658" t="b">
        <v>0</v>
      </c>
    </row>
    <row r="3659" spans="1:25" x14ac:dyDescent="0.2">
      <c r="A3659">
        <v>6310</v>
      </c>
      <c r="B3659" t="s">
        <v>7571</v>
      </c>
      <c r="C3659" t="s">
        <v>18</v>
      </c>
      <c r="D3659" t="s">
        <v>7579</v>
      </c>
      <c r="E3659" t="s">
        <v>7580</v>
      </c>
      <c r="F3659" t="s">
        <v>78</v>
      </c>
      <c r="G3659" t="s">
        <v>130</v>
      </c>
      <c r="H3659" t="b">
        <v>0</v>
      </c>
      <c r="I3659" t="b">
        <v>0</v>
      </c>
      <c r="L3659" t="b">
        <v>0</v>
      </c>
    </row>
    <row r="3660" spans="1:25" x14ac:dyDescent="0.2">
      <c r="A3660">
        <v>6311</v>
      </c>
      <c r="B3660" t="s">
        <v>7571</v>
      </c>
      <c r="C3660" t="s">
        <v>18</v>
      </c>
      <c r="D3660" t="s">
        <v>7581</v>
      </c>
      <c r="E3660" t="s">
        <v>7582</v>
      </c>
      <c r="F3660" t="s">
        <v>78</v>
      </c>
      <c r="G3660" t="s">
        <v>130</v>
      </c>
      <c r="H3660" t="b">
        <v>0</v>
      </c>
      <c r="I3660" t="b">
        <v>0</v>
      </c>
      <c r="L3660" t="b">
        <v>0</v>
      </c>
    </row>
    <row r="3661" spans="1:25" x14ac:dyDescent="0.2">
      <c r="A3661">
        <v>6312</v>
      </c>
      <c r="B3661" t="s">
        <v>7571</v>
      </c>
      <c r="C3661" t="s">
        <v>18</v>
      </c>
      <c r="D3661" t="s">
        <v>7583</v>
      </c>
      <c r="E3661" t="s">
        <v>7584</v>
      </c>
      <c r="F3661" t="s">
        <v>78</v>
      </c>
      <c r="G3661" t="s">
        <v>252</v>
      </c>
      <c r="H3661" t="b">
        <v>0</v>
      </c>
      <c r="I3661" t="b">
        <v>0</v>
      </c>
      <c r="L3661" t="b">
        <v>0</v>
      </c>
      <c r="M3661" t="s">
        <v>7585</v>
      </c>
      <c r="N3661" t="s">
        <v>7586</v>
      </c>
    </row>
    <row r="3663" spans="1:25" x14ac:dyDescent="0.2">
      <c r="A3663" s="2">
        <v>6321</v>
      </c>
      <c r="B3663" s="2" t="s">
        <v>7587</v>
      </c>
      <c r="C3663" s="2" t="s">
        <v>13</v>
      </c>
      <c r="D3663" s="2" t="s">
        <v>3694</v>
      </c>
      <c r="E3663" s="2" t="s">
        <v>7588</v>
      </c>
      <c r="F3663" s="2" t="s">
        <v>78</v>
      </c>
      <c r="G3663" s="2" t="s">
        <v>130</v>
      </c>
      <c r="H3663" s="2"/>
      <c r="I3663" s="2"/>
      <c r="J3663" s="2"/>
      <c r="K3663" s="2"/>
      <c r="L3663" s="2"/>
      <c r="M3663" s="2"/>
      <c r="N3663" s="2"/>
      <c r="O3663" s="2"/>
      <c r="P3663" s="2"/>
      <c r="Q3663" s="2"/>
      <c r="R3663" s="2"/>
      <c r="S3663" s="2"/>
      <c r="T3663" s="2"/>
      <c r="U3663" s="2"/>
      <c r="V3663" s="2"/>
      <c r="W3663" s="2"/>
      <c r="X3663" s="2"/>
      <c r="Y3663" s="2"/>
    </row>
    <row r="3664" spans="1:25" x14ac:dyDescent="0.2">
      <c r="A3664">
        <v>6322</v>
      </c>
      <c r="B3664" t="s">
        <v>7587</v>
      </c>
      <c r="C3664" t="s">
        <v>18</v>
      </c>
      <c r="D3664" t="s">
        <v>3694</v>
      </c>
      <c r="E3664" t="s">
        <v>3695</v>
      </c>
      <c r="F3664" t="s">
        <v>78</v>
      </c>
      <c r="G3664" t="s">
        <v>130</v>
      </c>
      <c r="H3664" t="b">
        <v>1</v>
      </c>
      <c r="K3664" t="b">
        <v>1</v>
      </c>
      <c r="L3664" t="b">
        <v>1</v>
      </c>
      <c r="M3664" t="s">
        <v>3696</v>
      </c>
      <c r="N3664" t="s">
        <v>3697</v>
      </c>
    </row>
    <row r="3665" spans="1:25" x14ac:dyDescent="0.2">
      <c r="A3665">
        <v>6323</v>
      </c>
      <c r="B3665" t="s">
        <v>7587</v>
      </c>
      <c r="C3665" t="s">
        <v>18</v>
      </c>
      <c r="D3665" t="s">
        <v>3700</v>
      </c>
      <c r="E3665" t="s">
        <v>3701</v>
      </c>
      <c r="F3665" t="s">
        <v>78</v>
      </c>
      <c r="G3665" t="s">
        <v>130</v>
      </c>
      <c r="H3665" t="b">
        <v>1</v>
      </c>
      <c r="K3665" t="b">
        <v>1</v>
      </c>
      <c r="L3665" t="b">
        <v>1</v>
      </c>
      <c r="M3665" t="s">
        <v>3702</v>
      </c>
    </row>
    <row r="3666" spans="1:25" x14ac:dyDescent="0.2">
      <c r="A3666">
        <v>6324</v>
      </c>
      <c r="B3666" t="s">
        <v>7587</v>
      </c>
      <c r="C3666" t="s">
        <v>18</v>
      </c>
      <c r="D3666" t="s">
        <v>7589</v>
      </c>
      <c r="E3666" t="s">
        <v>7590</v>
      </c>
      <c r="F3666" t="s">
        <v>78</v>
      </c>
      <c r="G3666" t="s">
        <v>130</v>
      </c>
      <c r="H3666" t="b">
        <v>0</v>
      </c>
      <c r="K3666" t="b">
        <v>0</v>
      </c>
      <c r="L3666" t="b">
        <v>0</v>
      </c>
      <c r="M3666" t="s">
        <v>7591</v>
      </c>
      <c r="N3666" t="s">
        <v>7592</v>
      </c>
    </row>
    <row r="3667" spans="1:25" x14ac:dyDescent="0.2">
      <c r="A3667">
        <v>6325</v>
      </c>
      <c r="B3667" t="s">
        <v>7587</v>
      </c>
      <c r="C3667" t="s">
        <v>18</v>
      </c>
      <c r="D3667" t="s">
        <v>7593</v>
      </c>
      <c r="E3667" t="s">
        <v>7594</v>
      </c>
      <c r="F3667" t="s">
        <v>78</v>
      </c>
      <c r="G3667" t="s">
        <v>1047</v>
      </c>
      <c r="H3667" t="b">
        <v>0</v>
      </c>
      <c r="K3667" t="b">
        <v>0</v>
      </c>
      <c r="L3667" t="b">
        <v>0</v>
      </c>
      <c r="M3667" t="s">
        <v>7595</v>
      </c>
      <c r="N3667" t="s">
        <v>7596</v>
      </c>
      <c r="O3667" t="s">
        <v>7597</v>
      </c>
      <c r="P3667" t="s">
        <v>7598</v>
      </c>
    </row>
    <row r="3668" spans="1:25" x14ac:dyDescent="0.2">
      <c r="A3668">
        <v>6326</v>
      </c>
      <c r="B3668" t="s">
        <v>7587</v>
      </c>
      <c r="C3668" t="s">
        <v>18</v>
      </c>
      <c r="D3668" t="s">
        <v>3703</v>
      </c>
      <c r="E3668" t="s">
        <v>3704</v>
      </c>
      <c r="F3668" t="s">
        <v>148</v>
      </c>
      <c r="G3668" t="s">
        <v>252</v>
      </c>
      <c r="H3668" t="b">
        <v>0</v>
      </c>
      <c r="K3668" t="b">
        <v>0</v>
      </c>
      <c r="L3668" t="b">
        <v>0</v>
      </c>
      <c r="M3668" t="s">
        <v>3705</v>
      </c>
      <c r="N3668" t="s">
        <v>3706</v>
      </c>
    </row>
    <row r="3670" spans="1:25" x14ac:dyDescent="0.2">
      <c r="A3670" s="2">
        <v>6335</v>
      </c>
      <c r="B3670" s="2" t="s">
        <v>7599</v>
      </c>
      <c r="C3670" s="2" t="s">
        <v>13</v>
      </c>
      <c r="D3670" s="2" t="s">
        <v>4980</v>
      </c>
      <c r="E3670" s="2" t="s">
        <v>7600</v>
      </c>
      <c r="F3670" s="2" t="s">
        <v>369</v>
      </c>
      <c r="G3670" s="2" t="s">
        <v>134</v>
      </c>
      <c r="H3670" s="2"/>
      <c r="I3670" s="2"/>
      <c r="J3670" s="2"/>
      <c r="K3670" s="2"/>
      <c r="L3670" s="2"/>
      <c r="M3670" s="2"/>
      <c r="N3670" s="2"/>
      <c r="O3670" s="2"/>
      <c r="P3670" s="2"/>
      <c r="Q3670" s="2"/>
      <c r="R3670" s="2"/>
      <c r="S3670" s="2"/>
      <c r="T3670" s="2"/>
      <c r="U3670" s="2"/>
      <c r="V3670" s="2"/>
      <c r="W3670" s="2"/>
      <c r="X3670" s="2"/>
      <c r="Y3670" s="2"/>
    </row>
    <row r="3671" spans="1:25" x14ac:dyDescent="0.2">
      <c r="A3671">
        <v>6336</v>
      </c>
      <c r="B3671" t="s">
        <v>7599</v>
      </c>
      <c r="C3671" t="s">
        <v>18</v>
      </c>
      <c r="D3671" t="s">
        <v>4980</v>
      </c>
      <c r="E3671" t="s">
        <v>1038</v>
      </c>
      <c r="F3671" t="s">
        <v>369</v>
      </c>
      <c r="G3671" t="s">
        <v>134</v>
      </c>
      <c r="H3671" t="b">
        <v>1</v>
      </c>
      <c r="I3671" t="b">
        <v>1</v>
      </c>
      <c r="L3671" t="b">
        <v>1</v>
      </c>
      <c r="M3671" t="s">
        <v>4981</v>
      </c>
    </row>
    <row r="3672" spans="1:25" x14ac:dyDescent="0.2">
      <c r="A3672">
        <v>6337</v>
      </c>
      <c r="B3672" t="s">
        <v>7599</v>
      </c>
      <c r="C3672" t="s">
        <v>18</v>
      </c>
      <c r="D3672" t="s">
        <v>7593</v>
      </c>
      <c r="E3672" t="s">
        <v>7594</v>
      </c>
      <c r="F3672" t="s">
        <v>78</v>
      </c>
      <c r="G3672" t="s">
        <v>1047</v>
      </c>
      <c r="H3672" t="b">
        <v>0</v>
      </c>
      <c r="I3672" t="b">
        <v>0</v>
      </c>
      <c r="L3672" t="b">
        <v>0</v>
      </c>
      <c r="M3672" t="s">
        <v>7595</v>
      </c>
      <c r="N3672" t="s">
        <v>7596</v>
      </c>
      <c r="O3672" t="s">
        <v>7597</v>
      </c>
      <c r="P3672" t="s">
        <v>7598</v>
      </c>
    </row>
    <row r="3673" spans="1:25" x14ac:dyDescent="0.2">
      <c r="A3673">
        <v>6338</v>
      </c>
      <c r="B3673" t="s">
        <v>7599</v>
      </c>
      <c r="C3673" t="s">
        <v>18</v>
      </c>
      <c r="D3673" t="s">
        <v>7601</v>
      </c>
      <c r="E3673" t="s">
        <v>7602</v>
      </c>
      <c r="F3673" t="s">
        <v>1617</v>
      </c>
      <c r="G3673" t="s">
        <v>134</v>
      </c>
      <c r="H3673" t="b">
        <v>0</v>
      </c>
      <c r="I3673" t="b">
        <v>0</v>
      </c>
      <c r="L3673" t="b">
        <v>0</v>
      </c>
      <c r="M3673" t="s">
        <v>7603</v>
      </c>
    </row>
    <row r="3674" spans="1:25" x14ac:dyDescent="0.2">
      <c r="A3674">
        <v>6339</v>
      </c>
      <c r="B3674" t="s">
        <v>7599</v>
      </c>
      <c r="C3674" t="s">
        <v>18</v>
      </c>
      <c r="D3674" t="s">
        <v>7604</v>
      </c>
      <c r="E3674" t="s">
        <v>7605</v>
      </c>
      <c r="F3674" t="s">
        <v>151</v>
      </c>
      <c r="G3674" t="s">
        <v>134</v>
      </c>
      <c r="H3674" t="b">
        <v>0</v>
      </c>
      <c r="I3674" t="b">
        <v>0</v>
      </c>
      <c r="L3674" t="b">
        <v>0</v>
      </c>
      <c r="M3674" t="s">
        <v>7606</v>
      </c>
      <c r="N3674" t="s">
        <v>7607</v>
      </c>
    </row>
    <row r="3675" spans="1:25" x14ac:dyDescent="0.2">
      <c r="A3675">
        <v>6340</v>
      </c>
      <c r="B3675" t="s">
        <v>7599</v>
      </c>
      <c r="C3675" t="s">
        <v>18</v>
      </c>
      <c r="D3675" t="s">
        <v>5618</v>
      </c>
      <c r="E3675" t="s">
        <v>5619</v>
      </c>
      <c r="F3675" t="s">
        <v>151</v>
      </c>
      <c r="G3675" t="s">
        <v>134</v>
      </c>
      <c r="H3675" t="b">
        <v>0</v>
      </c>
      <c r="I3675" t="b">
        <v>0</v>
      </c>
      <c r="L3675" t="b">
        <v>0</v>
      </c>
      <c r="M3675" t="s">
        <v>5620</v>
      </c>
    </row>
    <row r="3677" spans="1:25" x14ac:dyDescent="0.2">
      <c r="A3677" s="2">
        <v>6342</v>
      </c>
      <c r="B3677" s="2" t="s">
        <v>7608</v>
      </c>
      <c r="C3677" s="2" t="s">
        <v>13</v>
      </c>
      <c r="D3677" s="2" t="s">
        <v>7609</v>
      </c>
      <c r="E3677" s="2" t="s">
        <v>7610</v>
      </c>
      <c r="F3677" s="2" t="s">
        <v>45</v>
      </c>
      <c r="G3677" s="2" t="s">
        <v>17</v>
      </c>
      <c r="H3677" s="2"/>
      <c r="I3677" s="2"/>
      <c r="J3677" s="2"/>
      <c r="K3677" s="2"/>
      <c r="L3677" s="2"/>
      <c r="M3677" s="2"/>
      <c r="N3677" s="2"/>
      <c r="O3677" s="2"/>
      <c r="P3677" s="2"/>
      <c r="Q3677" s="2"/>
      <c r="R3677" s="2"/>
      <c r="S3677" s="2"/>
      <c r="T3677" s="2"/>
      <c r="U3677" s="2"/>
      <c r="V3677" s="2"/>
      <c r="W3677" s="2"/>
      <c r="X3677" s="2"/>
      <c r="Y3677" s="2"/>
    </row>
    <row r="3678" spans="1:25" x14ac:dyDescent="0.2">
      <c r="A3678">
        <v>6343</v>
      </c>
      <c r="B3678" t="s">
        <v>7608</v>
      </c>
      <c r="C3678" t="s">
        <v>18</v>
      </c>
      <c r="D3678" t="s">
        <v>7609</v>
      </c>
      <c r="E3678" t="s">
        <v>7611</v>
      </c>
      <c r="F3678" t="s">
        <v>45</v>
      </c>
      <c r="G3678" t="s">
        <v>17</v>
      </c>
      <c r="H3678" t="b">
        <v>1</v>
      </c>
      <c r="I3678" t="b">
        <v>1</v>
      </c>
      <c r="L3678" t="b">
        <v>1</v>
      </c>
      <c r="M3678" t="s">
        <v>7612</v>
      </c>
      <c r="N3678" t="s">
        <v>7613</v>
      </c>
    </row>
    <row r="3679" spans="1:25" x14ac:dyDescent="0.2">
      <c r="A3679">
        <v>6344</v>
      </c>
      <c r="B3679" t="s">
        <v>7608</v>
      </c>
      <c r="C3679" t="s">
        <v>18</v>
      </c>
      <c r="D3679" t="s">
        <v>7614</v>
      </c>
      <c r="E3679" t="s">
        <v>7615</v>
      </c>
      <c r="F3679" t="s">
        <v>670</v>
      </c>
      <c r="G3679" t="s">
        <v>17</v>
      </c>
      <c r="H3679" t="b">
        <v>0</v>
      </c>
      <c r="I3679" t="b">
        <v>0</v>
      </c>
      <c r="L3679" t="b">
        <v>0</v>
      </c>
      <c r="M3679" t="s">
        <v>7616</v>
      </c>
    </row>
    <row r="3680" spans="1:25" x14ac:dyDescent="0.2">
      <c r="A3680">
        <v>6345</v>
      </c>
      <c r="B3680" t="s">
        <v>7608</v>
      </c>
      <c r="C3680" t="s">
        <v>18</v>
      </c>
      <c r="D3680" t="s">
        <v>7617</v>
      </c>
      <c r="E3680" t="s">
        <v>7618</v>
      </c>
      <c r="F3680" t="s">
        <v>122</v>
      </c>
      <c r="G3680" t="s">
        <v>17</v>
      </c>
      <c r="H3680" t="b">
        <v>0</v>
      </c>
      <c r="I3680" t="b">
        <v>0</v>
      </c>
      <c r="L3680" t="b">
        <v>0</v>
      </c>
      <c r="M3680" t="s">
        <v>7619</v>
      </c>
      <c r="N3680" t="s">
        <v>7620</v>
      </c>
    </row>
    <row r="3681" spans="1:25" x14ac:dyDescent="0.2">
      <c r="A3681">
        <v>6346</v>
      </c>
      <c r="B3681" t="s">
        <v>7608</v>
      </c>
      <c r="C3681" t="s">
        <v>18</v>
      </c>
      <c r="D3681" t="s">
        <v>7621</v>
      </c>
      <c r="E3681" t="s">
        <v>7622</v>
      </c>
      <c r="F3681" t="s">
        <v>168</v>
      </c>
      <c r="G3681" t="s">
        <v>17</v>
      </c>
      <c r="H3681" t="b">
        <v>0</v>
      </c>
      <c r="I3681" t="b">
        <v>0</v>
      </c>
      <c r="L3681" t="b">
        <v>0</v>
      </c>
      <c r="M3681" t="s">
        <v>7623</v>
      </c>
      <c r="N3681" t="s">
        <v>7624</v>
      </c>
    </row>
    <row r="3682" spans="1:25" x14ac:dyDescent="0.2">
      <c r="A3682">
        <v>6347</v>
      </c>
      <c r="B3682" t="s">
        <v>7608</v>
      </c>
      <c r="C3682" t="s">
        <v>18</v>
      </c>
      <c r="D3682" t="s">
        <v>2635</v>
      </c>
      <c r="E3682" t="s">
        <v>2636</v>
      </c>
      <c r="F3682" t="s">
        <v>670</v>
      </c>
      <c r="G3682" t="s">
        <v>17</v>
      </c>
      <c r="H3682" t="b">
        <v>0</v>
      </c>
      <c r="I3682" t="b">
        <v>0</v>
      </c>
      <c r="L3682" t="b">
        <v>0</v>
      </c>
      <c r="M3682" t="s">
        <v>2637</v>
      </c>
      <c r="N3682" t="s">
        <v>2638</v>
      </c>
    </row>
    <row r="3684" spans="1:25" x14ac:dyDescent="0.2">
      <c r="A3684" s="2">
        <v>6363</v>
      </c>
      <c r="B3684" s="2" t="s">
        <v>7625</v>
      </c>
      <c r="C3684" s="2" t="s">
        <v>13</v>
      </c>
      <c r="D3684" s="2" t="s">
        <v>7626</v>
      </c>
      <c r="E3684" s="2" t="s">
        <v>7627</v>
      </c>
      <c r="F3684" s="2" t="s">
        <v>270</v>
      </c>
      <c r="G3684" s="2" t="s">
        <v>638</v>
      </c>
      <c r="H3684" s="2"/>
      <c r="I3684" s="2"/>
      <c r="J3684" s="2"/>
      <c r="K3684" s="2"/>
      <c r="L3684" s="2"/>
      <c r="M3684" s="2"/>
      <c r="N3684" s="2"/>
      <c r="O3684" s="2"/>
      <c r="P3684" s="2"/>
      <c r="Q3684" s="2"/>
      <c r="R3684" s="2"/>
      <c r="S3684" s="2"/>
      <c r="T3684" s="2"/>
      <c r="U3684" s="2"/>
      <c r="V3684" s="2"/>
      <c r="W3684" s="2"/>
      <c r="X3684" s="2"/>
      <c r="Y3684" s="2"/>
    </row>
    <row r="3685" spans="1:25" x14ac:dyDescent="0.2">
      <c r="A3685">
        <v>6364</v>
      </c>
      <c r="B3685" t="s">
        <v>7625</v>
      </c>
      <c r="C3685" t="s">
        <v>18</v>
      </c>
      <c r="D3685" t="s">
        <v>7069</v>
      </c>
      <c r="E3685" t="s">
        <v>7070</v>
      </c>
      <c r="F3685" t="s">
        <v>270</v>
      </c>
      <c r="G3685" t="s">
        <v>638</v>
      </c>
      <c r="H3685" t="b">
        <v>1</v>
      </c>
      <c r="K3685" t="b">
        <v>1</v>
      </c>
      <c r="L3685" t="b">
        <v>1</v>
      </c>
      <c r="M3685" t="s">
        <v>7071</v>
      </c>
      <c r="N3685" t="s">
        <v>7072</v>
      </c>
    </row>
    <row r="3686" spans="1:25" x14ac:dyDescent="0.2">
      <c r="A3686">
        <v>6365</v>
      </c>
      <c r="B3686" t="s">
        <v>7625</v>
      </c>
      <c r="C3686" t="s">
        <v>18</v>
      </c>
      <c r="D3686" t="s">
        <v>7060</v>
      </c>
      <c r="E3686" t="s">
        <v>7062</v>
      </c>
      <c r="F3686" t="s">
        <v>159</v>
      </c>
      <c r="G3686" t="s">
        <v>638</v>
      </c>
      <c r="H3686" t="b">
        <v>0</v>
      </c>
      <c r="K3686" t="b">
        <v>0</v>
      </c>
      <c r="L3686" t="b">
        <v>0</v>
      </c>
      <c r="M3686" t="s">
        <v>7063</v>
      </c>
      <c r="N3686" t="s">
        <v>7064</v>
      </c>
    </row>
    <row r="3687" spans="1:25" x14ac:dyDescent="0.2">
      <c r="A3687">
        <v>6366</v>
      </c>
      <c r="B3687" t="s">
        <v>7625</v>
      </c>
      <c r="C3687" t="s">
        <v>18</v>
      </c>
      <c r="D3687" t="s">
        <v>6673</v>
      </c>
      <c r="E3687" t="s">
        <v>6674</v>
      </c>
      <c r="F3687" t="s">
        <v>270</v>
      </c>
      <c r="G3687" t="s">
        <v>32</v>
      </c>
      <c r="H3687" t="b">
        <v>0</v>
      </c>
      <c r="K3687" t="b">
        <v>0</v>
      </c>
      <c r="L3687" t="b">
        <v>0</v>
      </c>
      <c r="M3687" t="s">
        <v>6675</v>
      </c>
      <c r="N3687" t="s">
        <v>6676</v>
      </c>
      <c r="O3687" t="s">
        <v>6677</v>
      </c>
      <c r="P3687" t="s">
        <v>6678</v>
      </c>
    </row>
    <row r="3688" spans="1:25" x14ac:dyDescent="0.2">
      <c r="A3688">
        <v>6367</v>
      </c>
      <c r="B3688" t="s">
        <v>7625</v>
      </c>
      <c r="C3688" t="s">
        <v>18</v>
      </c>
      <c r="D3688" t="s">
        <v>604</v>
      </c>
      <c r="E3688" t="s">
        <v>605</v>
      </c>
      <c r="F3688" t="s">
        <v>151</v>
      </c>
      <c r="G3688" t="s">
        <v>24</v>
      </c>
      <c r="H3688" t="b">
        <v>0</v>
      </c>
      <c r="K3688" t="b">
        <v>0</v>
      </c>
      <c r="L3688" t="b">
        <v>0</v>
      </c>
      <c r="M3688" t="s">
        <v>606</v>
      </c>
      <c r="N3688" t="s">
        <v>607</v>
      </c>
    </row>
    <row r="3689" spans="1:25" x14ac:dyDescent="0.2">
      <c r="A3689">
        <v>6368</v>
      </c>
      <c r="B3689" t="s">
        <v>7625</v>
      </c>
      <c r="C3689" t="s">
        <v>18</v>
      </c>
      <c r="D3689" t="s">
        <v>6724</v>
      </c>
      <c r="E3689" t="s">
        <v>6725</v>
      </c>
      <c r="F3689" t="s">
        <v>456</v>
      </c>
      <c r="G3689" t="s">
        <v>88</v>
      </c>
      <c r="H3689" t="b">
        <v>0</v>
      </c>
      <c r="K3689" t="b">
        <v>0</v>
      </c>
      <c r="L3689" t="b">
        <v>0</v>
      </c>
    </row>
    <row r="3691" spans="1:25" x14ac:dyDescent="0.2">
      <c r="A3691" s="2">
        <v>6398</v>
      </c>
      <c r="B3691" s="2" t="s">
        <v>7628</v>
      </c>
      <c r="C3691" s="2" t="s">
        <v>13</v>
      </c>
      <c r="D3691" s="2" t="s">
        <v>7629</v>
      </c>
      <c r="E3691" s="2" t="s">
        <v>7630</v>
      </c>
      <c r="F3691" s="2" t="s">
        <v>20</v>
      </c>
      <c r="G3691" s="2" t="s">
        <v>17</v>
      </c>
      <c r="H3691" s="2"/>
      <c r="I3691" s="2"/>
      <c r="J3691" s="2"/>
      <c r="K3691" s="2"/>
      <c r="L3691" s="2"/>
      <c r="M3691" s="2"/>
      <c r="N3691" s="2"/>
      <c r="O3691" s="2"/>
      <c r="P3691" s="2"/>
      <c r="Q3691" s="2"/>
      <c r="R3691" s="2"/>
      <c r="S3691" s="2"/>
      <c r="T3691" s="2"/>
      <c r="U3691" s="2"/>
      <c r="V3691" s="2"/>
      <c r="W3691" s="2"/>
      <c r="X3691" s="2"/>
      <c r="Y3691" s="2"/>
    </row>
    <row r="3692" spans="1:25" x14ac:dyDescent="0.2">
      <c r="A3692">
        <v>6399</v>
      </c>
      <c r="B3692" t="s">
        <v>7628</v>
      </c>
      <c r="C3692" t="s">
        <v>18</v>
      </c>
      <c r="D3692" t="s">
        <v>7629</v>
      </c>
      <c r="E3692" t="s">
        <v>7630</v>
      </c>
      <c r="F3692" t="s">
        <v>20</v>
      </c>
      <c r="G3692" t="s">
        <v>17</v>
      </c>
      <c r="H3692" t="b">
        <v>1</v>
      </c>
      <c r="K3692" t="b">
        <v>1</v>
      </c>
      <c r="L3692" t="b">
        <v>1</v>
      </c>
      <c r="M3692" t="s">
        <v>7631</v>
      </c>
      <c r="N3692" t="s">
        <v>745</v>
      </c>
    </row>
    <row r="3693" spans="1:25" x14ac:dyDescent="0.2">
      <c r="A3693">
        <v>6400</v>
      </c>
      <c r="B3693" t="s">
        <v>7628</v>
      </c>
      <c r="C3693" t="s">
        <v>18</v>
      </c>
      <c r="D3693" t="s">
        <v>6093</v>
      </c>
      <c r="E3693" t="s">
        <v>6094</v>
      </c>
      <c r="F3693" t="s">
        <v>20</v>
      </c>
      <c r="G3693" t="s">
        <v>17</v>
      </c>
      <c r="H3693" t="b">
        <v>0</v>
      </c>
      <c r="K3693" t="b">
        <v>0</v>
      </c>
      <c r="L3693" t="b">
        <v>0</v>
      </c>
      <c r="M3693" t="s">
        <v>6095</v>
      </c>
      <c r="N3693" t="s">
        <v>6096</v>
      </c>
    </row>
    <row r="3694" spans="1:25" x14ac:dyDescent="0.2">
      <c r="A3694">
        <v>6401</v>
      </c>
      <c r="B3694" t="s">
        <v>7628</v>
      </c>
      <c r="C3694" t="s">
        <v>18</v>
      </c>
      <c r="D3694" t="s">
        <v>7632</v>
      </c>
      <c r="E3694" t="s">
        <v>7633</v>
      </c>
      <c r="F3694" t="s">
        <v>7634</v>
      </c>
      <c r="G3694" t="s">
        <v>17</v>
      </c>
      <c r="H3694" t="b">
        <v>0</v>
      </c>
      <c r="K3694" t="b">
        <v>0</v>
      </c>
      <c r="L3694" t="b">
        <v>0</v>
      </c>
      <c r="M3694" t="s">
        <v>7635</v>
      </c>
      <c r="N3694" t="s">
        <v>7636</v>
      </c>
    </row>
    <row r="3695" spans="1:25" x14ac:dyDescent="0.2">
      <c r="A3695">
        <v>6402</v>
      </c>
      <c r="B3695" t="s">
        <v>7628</v>
      </c>
      <c r="C3695" t="s">
        <v>18</v>
      </c>
      <c r="D3695" t="s">
        <v>6526</v>
      </c>
      <c r="E3695" t="s">
        <v>6527</v>
      </c>
      <c r="F3695" t="s">
        <v>20</v>
      </c>
      <c r="G3695" t="s">
        <v>17</v>
      </c>
      <c r="H3695" t="b">
        <v>0</v>
      </c>
      <c r="K3695" t="b">
        <v>0</v>
      </c>
      <c r="L3695" t="b">
        <v>0</v>
      </c>
      <c r="M3695" t="s">
        <v>6528</v>
      </c>
    </row>
    <row r="3696" spans="1:25" x14ac:dyDescent="0.2">
      <c r="A3696">
        <v>6403</v>
      </c>
      <c r="B3696" t="s">
        <v>7628</v>
      </c>
      <c r="C3696" t="s">
        <v>18</v>
      </c>
      <c r="D3696" t="s">
        <v>6522</v>
      </c>
      <c r="E3696" t="s">
        <v>6523</v>
      </c>
      <c r="F3696" t="s">
        <v>20</v>
      </c>
      <c r="G3696" t="s">
        <v>17</v>
      </c>
      <c r="H3696" t="b">
        <v>0</v>
      </c>
      <c r="K3696" t="b">
        <v>0</v>
      </c>
      <c r="L3696" t="b">
        <v>0</v>
      </c>
      <c r="M3696" t="s">
        <v>6524</v>
      </c>
      <c r="N3696" t="s">
        <v>6525</v>
      </c>
    </row>
    <row r="3698" spans="1:25" x14ac:dyDescent="0.2">
      <c r="A3698" s="2">
        <v>6405</v>
      </c>
      <c r="B3698" s="2" t="s">
        <v>7637</v>
      </c>
      <c r="C3698" s="2" t="s">
        <v>13</v>
      </c>
      <c r="D3698" s="2" t="s">
        <v>7638</v>
      </c>
      <c r="E3698" s="2" t="s">
        <v>7639</v>
      </c>
      <c r="F3698" s="2" t="s">
        <v>174</v>
      </c>
      <c r="G3698" s="2" t="s">
        <v>62</v>
      </c>
      <c r="H3698" s="2"/>
      <c r="I3698" s="2"/>
      <c r="J3698" s="2"/>
      <c r="K3698" s="2"/>
      <c r="L3698" s="2"/>
      <c r="M3698" s="2"/>
      <c r="N3698" s="2"/>
      <c r="O3698" s="2"/>
      <c r="P3698" s="2"/>
      <c r="Q3698" s="2"/>
      <c r="R3698" s="2"/>
      <c r="S3698" s="2"/>
      <c r="T3698" s="2"/>
      <c r="U3698" s="2"/>
      <c r="V3698" s="2"/>
      <c r="W3698" s="2"/>
      <c r="X3698" s="2"/>
      <c r="Y3698" s="2"/>
    </row>
    <row r="3699" spans="1:25" x14ac:dyDescent="0.2">
      <c r="A3699">
        <v>6406</v>
      </c>
      <c r="B3699" t="s">
        <v>7637</v>
      </c>
      <c r="C3699" t="s">
        <v>18</v>
      </c>
      <c r="D3699" t="s">
        <v>7638</v>
      </c>
      <c r="E3699" t="s">
        <v>7639</v>
      </c>
      <c r="F3699" t="s">
        <v>174</v>
      </c>
      <c r="G3699" t="s">
        <v>62</v>
      </c>
      <c r="H3699" t="b">
        <v>1</v>
      </c>
      <c r="K3699" t="b">
        <v>1</v>
      </c>
      <c r="L3699" t="b">
        <v>1</v>
      </c>
      <c r="M3699" t="s">
        <v>7640</v>
      </c>
      <c r="N3699" t="s">
        <v>7641</v>
      </c>
    </row>
    <row r="3700" spans="1:25" x14ac:dyDescent="0.2">
      <c r="A3700">
        <v>6407</v>
      </c>
      <c r="B3700" t="s">
        <v>7637</v>
      </c>
      <c r="C3700" t="s">
        <v>18</v>
      </c>
      <c r="D3700" t="s">
        <v>7642</v>
      </c>
      <c r="E3700" t="s">
        <v>7643</v>
      </c>
      <c r="F3700" t="s">
        <v>23</v>
      </c>
      <c r="G3700" t="s">
        <v>62</v>
      </c>
      <c r="H3700" t="b">
        <v>0</v>
      </c>
      <c r="K3700" t="b">
        <v>0</v>
      </c>
      <c r="L3700" t="b">
        <v>0</v>
      </c>
      <c r="M3700" t="s">
        <v>7644</v>
      </c>
      <c r="N3700" t="s">
        <v>7645</v>
      </c>
    </row>
    <row r="3701" spans="1:25" x14ac:dyDescent="0.2">
      <c r="A3701">
        <v>6408</v>
      </c>
      <c r="B3701" t="s">
        <v>7637</v>
      </c>
      <c r="C3701" t="s">
        <v>18</v>
      </c>
      <c r="D3701" t="s">
        <v>7646</v>
      </c>
      <c r="E3701" t="s">
        <v>7647</v>
      </c>
      <c r="F3701" t="s">
        <v>174</v>
      </c>
      <c r="G3701" t="s">
        <v>62</v>
      </c>
      <c r="H3701" t="b">
        <v>0</v>
      </c>
      <c r="K3701" t="b">
        <v>0</v>
      </c>
      <c r="L3701" t="b">
        <v>0</v>
      </c>
    </row>
    <row r="3702" spans="1:25" x14ac:dyDescent="0.2">
      <c r="A3702">
        <v>6409</v>
      </c>
      <c r="B3702" t="s">
        <v>7637</v>
      </c>
      <c r="C3702" t="s">
        <v>18</v>
      </c>
      <c r="D3702" t="s">
        <v>1288</v>
      </c>
      <c r="E3702" t="s">
        <v>1289</v>
      </c>
      <c r="F3702" t="s">
        <v>122</v>
      </c>
      <c r="G3702" t="s">
        <v>1290</v>
      </c>
      <c r="H3702" t="b">
        <v>0</v>
      </c>
      <c r="K3702" t="b">
        <v>0</v>
      </c>
      <c r="L3702" t="b">
        <v>0</v>
      </c>
    </row>
    <row r="3703" spans="1:25" x14ac:dyDescent="0.2">
      <c r="A3703">
        <v>6410</v>
      </c>
      <c r="B3703" t="s">
        <v>7637</v>
      </c>
      <c r="C3703" t="s">
        <v>18</v>
      </c>
      <c r="D3703" t="s">
        <v>1291</v>
      </c>
      <c r="E3703" t="s">
        <v>1292</v>
      </c>
      <c r="F3703" t="s">
        <v>122</v>
      </c>
      <c r="G3703" t="s">
        <v>1290</v>
      </c>
      <c r="H3703" t="b">
        <v>0</v>
      </c>
      <c r="K3703" t="b">
        <v>0</v>
      </c>
      <c r="L3703" t="b">
        <v>0</v>
      </c>
    </row>
    <row r="3705" spans="1:25" x14ac:dyDescent="0.2">
      <c r="A3705" s="2">
        <v>6419</v>
      </c>
      <c r="B3705" s="2" t="s">
        <v>7648</v>
      </c>
      <c r="C3705" s="2" t="s">
        <v>13</v>
      </c>
      <c r="D3705" s="2" t="s">
        <v>7649</v>
      </c>
      <c r="E3705" s="2" t="s">
        <v>7650</v>
      </c>
      <c r="F3705" s="2" t="s">
        <v>78</v>
      </c>
      <c r="G3705" s="2" t="s">
        <v>252</v>
      </c>
      <c r="H3705" s="2"/>
      <c r="I3705" s="2"/>
      <c r="J3705" s="2"/>
      <c r="K3705" s="2"/>
      <c r="L3705" s="2"/>
      <c r="M3705" s="2"/>
      <c r="N3705" s="2"/>
      <c r="O3705" s="2"/>
      <c r="P3705" s="2"/>
      <c r="Q3705" s="2"/>
      <c r="R3705" s="2"/>
      <c r="S3705" s="2"/>
      <c r="T3705" s="2"/>
      <c r="U3705" s="2"/>
      <c r="V3705" s="2"/>
      <c r="W3705" s="2"/>
      <c r="X3705" s="2"/>
      <c r="Y3705" s="2"/>
    </row>
    <row r="3706" spans="1:25" x14ac:dyDescent="0.2">
      <c r="A3706">
        <v>6420</v>
      </c>
      <c r="B3706" t="s">
        <v>7648</v>
      </c>
      <c r="C3706" t="s">
        <v>18</v>
      </c>
      <c r="D3706" t="s">
        <v>7649</v>
      </c>
      <c r="E3706" t="s">
        <v>7650</v>
      </c>
      <c r="F3706" t="s">
        <v>78</v>
      </c>
      <c r="G3706" t="s">
        <v>252</v>
      </c>
      <c r="H3706" t="b">
        <v>1</v>
      </c>
      <c r="K3706" t="b">
        <v>1</v>
      </c>
      <c r="L3706" t="b">
        <v>1</v>
      </c>
      <c r="M3706" t="s">
        <v>7651</v>
      </c>
      <c r="N3706" t="s">
        <v>7652</v>
      </c>
    </row>
    <row r="3707" spans="1:25" x14ac:dyDescent="0.2">
      <c r="A3707">
        <v>6421</v>
      </c>
      <c r="B3707" t="s">
        <v>7648</v>
      </c>
      <c r="C3707" t="s">
        <v>18</v>
      </c>
      <c r="D3707" t="s">
        <v>7653</v>
      </c>
      <c r="E3707" t="s">
        <v>7654</v>
      </c>
      <c r="F3707" t="s">
        <v>78</v>
      </c>
      <c r="G3707" t="s">
        <v>252</v>
      </c>
      <c r="H3707" t="b">
        <v>0</v>
      </c>
      <c r="K3707" t="b">
        <v>0</v>
      </c>
      <c r="L3707" t="b">
        <v>0</v>
      </c>
      <c r="M3707" t="s">
        <v>7655</v>
      </c>
      <c r="N3707" t="s">
        <v>7656</v>
      </c>
    </row>
    <row r="3708" spans="1:25" x14ac:dyDescent="0.2">
      <c r="A3708">
        <v>6422</v>
      </c>
      <c r="B3708" t="s">
        <v>7648</v>
      </c>
      <c r="C3708" t="s">
        <v>18</v>
      </c>
      <c r="D3708" t="s">
        <v>7657</v>
      </c>
      <c r="E3708" t="s">
        <v>2573</v>
      </c>
      <c r="F3708" t="s">
        <v>78</v>
      </c>
      <c r="G3708" t="s">
        <v>252</v>
      </c>
      <c r="H3708" t="b">
        <v>0</v>
      </c>
      <c r="K3708" t="b">
        <v>0</v>
      </c>
      <c r="L3708" t="b">
        <v>0</v>
      </c>
    </row>
    <row r="3709" spans="1:25" x14ac:dyDescent="0.2">
      <c r="A3709">
        <v>6423</v>
      </c>
      <c r="B3709" t="s">
        <v>7648</v>
      </c>
      <c r="C3709" t="s">
        <v>18</v>
      </c>
      <c r="D3709" t="s">
        <v>7658</v>
      </c>
      <c r="E3709" t="s">
        <v>7659</v>
      </c>
      <c r="F3709" t="s">
        <v>78</v>
      </c>
      <c r="G3709" t="s">
        <v>17</v>
      </c>
      <c r="H3709" t="b">
        <v>0</v>
      </c>
      <c r="K3709" t="b">
        <v>0</v>
      </c>
      <c r="L3709" t="b">
        <v>0</v>
      </c>
    </row>
    <row r="3710" spans="1:25" x14ac:dyDescent="0.2">
      <c r="A3710">
        <v>6424</v>
      </c>
      <c r="B3710" t="s">
        <v>7648</v>
      </c>
      <c r="C3710" t="s">
        <v>18</v>
      </c>
      <c r="D3710" t="s">
        <v>7660</v>
      </c>
      <c r="E3710" t="s">
        <v>7661</v>
      </c>
      <c r="F3710" t="s">
        <v>78</v>
      </c>
      <c r="G3710" t="s">
        <v>17</v>
      </c>
      <c r="H3710" t="b">
        <v>0</v>
      </c>
      <c r="K3710" t="b">
        <v>0</v>
      </c>
      <c r="L3710" t="b">
        <v>0</v>
      </c>
    </row>
    <row r="3712" spans="1:25" x14ac:dyDescent="0.2">
      <c r="A3712" s="2">
        <v>644</v>
      </c>
      <c r="B3712" s="2" t="s">
        <v>7662</v>
      </c>
      <c r="C3712" s="2" t="s">
        <v>13</v>
      </c>
      <c r="D3712" s="2" t="s">
        <v>7663</v>
      </c>
      <c r="E3712" s="2" t="s">
        <v>7664</v>
      </c>
      <c r="F3712" s="2" t="s">
        <v>369</v>
      </c>
      <c r="G3712" s="2" t="s">
        <v>17</v>
      </c>
      <c r="H3712" s="2"/>
      <c r="I3712" s="2"/>
      <c r="J3712" s="2"/>
      <c r="K3712" s="2"/>
      <c r="L3712" s="2"/>
      <c r="M3712" s="2"/>
      <c r="N3712" s="2"/>
      <c r="O3712" s="2"/>
      <c r="P3712" s="2"/>
      <c r="Q3712" s="2"/>
      <c r="R3712" s="2"/>
      <c r="S3712" s="2"/>
      <c r="T3712" s="2"/>
      <c r="U3712" s="2"/>
      <c r="V3712" s="2"/>
      <c r="W3712" s="2"/>
      <c r="X3712" s="2"/>
      <c r="Y3712" s="2"/>
    </row>
    <row r="3713" spans="1:25" x14ac:dyDescent="0.2">
      <c r="A3713">
        <v>645</v>
      </c>
      <c r="B3713" t="s">
        <v>7662</v>
      </c>
      <c r="C3713" t="s">
        <v>18</v>
      </c>
      <c r="D3713" t="s">
        <v>7663</v>
      </c>
      <c r="E3713" t="s">
        <v>7664</v>
      </c>
      <c r="F3713" t="s">
        <v>369</v>
      </c>
      <c r="G3713" t="s">
        <v>17</v>
      </c>
      <c r="H3713" t="b">
        <v>1</v>
      </c>
      <c r="I3713" t="b">
        <v>1</v>
      </c>
      <c r="L3713" t="b">
        <v>1</v>
      </c>
      <c r="M3713" t="s">
        <v>7665</v>
      </c>
      <c r="N3713" t="s">
        <v>7666</v>
      </c>
    </row>
    <row r="3714" spans="1:25" x14ac:dyDescent="0.2">
      <c r="A3714">
        <v>646</v>
      </c>
      <c r="B3714" t="s">
        <v>7662</v>
      </c>
      <c r="C3714" t="s">
        <v>18</v>
      </c>
      <c r="D3714" t="s">
        <v>890</v>
      </c>
      <c r="E3714" t="s">
        <v>891</v>
      </c>
      <c r="F3714" t="s">
        <v>369</v>
      </c>
      <c r="G3714" t="s">
        <v>17</v>
      </c>
      <c r="H3714" t="b">
        <v>0</v>
      </c>
      <c r="I3714" t="b">
        <v>0</v>
      </c>
      <c r="L3714" t="b">
        <v>0</v>
      </c>
      <c r="M3714" t="s">
        <v>892</v>
      </c>
    </row>
    <row r="3715" spans="1:25" x14ac:dyDescent="0.2">
      <c r="A3715">
        <v>647</v>
      </c>
      <c r="B3715" t="s">
        <v>7662</v>
      </c>
      <c r="C3715" t="s">
        <v>18</v>
      </c>
      <c r="D3715" t="s">
        <v>6297</v>
      </c>
      <c r="E3715" t="s">
        <v>6298</v>
      </c>
      <c r="F3715" t="s">
        <v>369</v>
      </c>
      <c r="G3715" t="s">
        <v>17</v>
      </c>
      <c r="H3715" t="b">
        <v>0</v>
      </c>
      <c r="I3715" t="b">
        <v>0</v>
      </c>
      <c r="L3715" t="b">
        <v>0</v>
      </c>
    </row>
    <row r="3716" spans="1:25" x14ac:dyDescent="0.2">
      <c r="A3716">
        <v>648</v>
      </c>
      <c r="B3716" t="s">
        <v>7662</v>
      </c>
      <c r="C3716" t="s">
        <v>18</v>
      </c>
      <c r="D3716" t="s">
        <v>4550</v>
      </c>
      <c r="E3716" t="s">
        <v>4551</v>
      </c>
      <c r="F3716" t="s">
        <v>369</v>
      </c>
      <c r="G3716" t="s">
        <v>17</v>
      </c>
      <c r="H3716" t="b">
        <v>0</v>
      </c>
      <c r="I3716" t="b">
        <v>0</v>
      </c>
      <c r="L3716" t="b">
        <v>0</v>
      </c>
      <c r="M3716" t="s">
        <v>4552</v>
      </c>
    </row>
    <row r="3717" spans="1:25" x14ac:dyDescent="0.2">
      <c r="A3717">
        <v>649</v>
      </c>
      <c r="B3717" t="s">
        <v>7662</v>
      </c>
      <c r="C3717" t="s">
        <v>18</v>
      </c>
      <c r="D3717" t="s">
        <v>7667</v>
      </c>
      <c r="E3717" t="s">
        <v>7668</v>
      </c>
      <c r="F3717" t="s">
        <v>369</v>
      </c>
      <c r="G3717" t="s">
        <v>17</v>
      </c>
      <c r="H3717" t="b">
        <v>0</v>
      </c>
      <c r="I3717" t="b">
        <v>0</v>
      </c>
      <c r="L3717" t="b">
        <v>0</v>
      </c>
    </row>
    <row r="3719" spans="1:25" x14ac:dyDescent="0.2">
      <c r="A3719" s="2">
        <v>6461</v>
      </c>
      <c r="B3719" s="2" t="s">
        <v>7669</v>
      </c>
      <c r="C3719" s="2" t="s">
        <v>13</v>
      </c>
      <c r="D3719" s="2" t="s">
        <v>7670</v>
      </c>
      <c r="E3719" s="2" t="s">
        <v>7671</v>
      </c>
      <c r="F3719" s="2" t="s">
        <v>151</v>
      </c>
      <c r="G3719" s="2" t="s">
        <v>134</v>
      </c>
      <c r="H3719" s="2"/>
      <c r="I3719" s="2"/>
      <c r="J3719" s="2"/>
      <c r="K3719" s="2"/>
      <c r="L3719" s="2"/>
      <c r="M3719" s="2"/>
      <c r="N3719" s="2"/>
      <c r="O3719" s="2"/>
      <c r="P3719" s="2"/>
      <c r="Q3719" s="2"/>
      <c r="R3719" s="2"/>
      <c r="S3719" s="2"/>
      <c r="T3719" s="2"/>
      <c r="U3719" s="2"/>
      <c r="V3719" s="2"/>
      <c r="W3719" s="2"/>
      <c r="X3719" s="2"/>
      <c r="Y3719" s="2"/>
    </row>
    <row r="3720" spans="1:25" x14ac:dyDescent="0.2">
      <c r="A3720">
        <v>6462</v>
      </c>
      <c r="B3720" t="s">
        <v>7669</v>
      </c>
      <c r="C3720" t="s">
        <v>18</v>
      </c>
      <c r="D3720" t="s">
        <v>7670</v>
      </c>
      <c r="E3720" t="s">
        <v>7671</v>
      </c>
      <c r="F3720" t="s">
        <v>151</v>
      </c>
      <c r="G3720" t="s">
        <v>134</v>
      </c>
      <c r="H3720" t="b">
        <v>1</v>
      </c>
      <c r="K3720" t="b">
        <v>1</v>
      </c>
      <c r="L3720" t="b">
        <v>1</v>
      </c>
      <c r="M3720" t="s">
        <v>7672</v>
      </c>
      <c r="N3720" t="s">
        <v>7673</v>
      </c>
    </row>
    <row r="3721" spans="1:25" x14ac:dyDescent="0.2">
      <c r="A3721">
        <v>6463</v>
      </c>
      <c r="B3721" t="s">
        <v>7669</v>
      </c>
      <c r="C3721" t="s">
        <v>18</v>
      </c>
      <c r="D3721" t="s">
        <v>7604</v>
      </c>
      <c r="E3721" t="s">
        <v>7605</v>
      </c>
      <c r="F3721" t="s">
        <v>151</v>
      </c>
      <c r="G3721" t="s">
        <v>134</v>
      </c>
      <c r="H3721" t="b">
        <v>0</v>
      </c>
      <c r="K3721" t="b">
        <v>0</v>
      </c>
      <c r="L3721" t="b">
        <v>0</v>
      </c>
      <c r="M3721" t="s">
        <v>7606</v>
      </c>
      <c r="N3721" t="s">
        <v>7607</v>
      </c>
    </row>
    <row r="3722" spans="1:25" x14ac:dyDescent="0.2">
      <c r="A3722">
        <v>6464</v>
      </c>
      <c r="B3722" t="s">
        <v>7669</v>
      </c>
      <c r="C3722" t="s">
        <v>18</v>
      </c>
      <c r="D3722" t="s">
        <v>1720</v>
      </c>
      <c r="E3722" t="s">
        <v>1721</v>
      </c>
      <c r="F3722" t="s">
        <v>596</v>
      </c>
      <c r="G3722" t="s">
        <v>134</v>
      </c>
      <c r="H3722" t="b">
        <v>0</v>
      </c>
      <c r="K3722" t="b">
        <v>0</v>
      </c>
      <c r="L3722" t="b">
        <v>0</v>
      </c>
      <c r="M3722" t="s">
        <v>1722</v>
      </c>
      <c r="N3722" t="s">
        <v>1723</v>
      </c>
    </row>
    <row r="3723" spans="1:25" x14ac:dyDescent="0.2">
      <c r="A3723">
        <v>6465</v>
      </c>
      <c r="B3723" t="s">
        <v>7669</v>
      </c>
      <c r="C3723" t="s">
        <v>18</v>
      </c>
      <c r="D3723" t="s">
        <v>1728</v>
      </c>
      <c r="E3723" t="s">
        <v>1729</v>
      </c>
      <c r="F3723" t="s">
        <v>248</v>
      </c>
      <c r="G3723" t="s">
        <v>134</v>
      </c>
      <c r="H3723" t="b">
        <v>0</v>
      </c>
      <c r="K3723" t="b">
        <v>0</v>
      </c>
      <c r="L3723" t="b">
        <v>0</v>
      </c>
      <c r="M3723" t="s">
        <v>1730</v>
      </c>
      <c r="N3723" t="s">
        <v>745</v>
      </c>
    </row>
    <row r="3724" spans="1:25" x14ac:dyDescent="0.2">
      <c r="A3724">
        <v>6466</v>
      </c>
      <c r="B3724" t="s">
        <v>7669</v>
      </c>
      <c r="C3724" t="s">
        <v>18</v>
      </c>
      <c r="D3724" t="s">
        <v>1724</v>
      </c>
      <c r="E3724" t="s">
        <v>1725</v>
      </c>
      <c r="F3724" t="s">
        <v>168</v>
      </c>
      <c r="G3724" t="s">
        <v>134</v>
      </c>
      <c r="H3724" t="b">
        <v>0</v>
      </c>
      <c r="K3724" t="b">
        <v>0</v>
      </c>
      <c r="L3724" t="b">
        <v>0</v>
      </c>
      <c r="M3724" t="s">
        <v>1726</v>
      </c>
      <c r="N3724" t="s">
        <v>1727</v>
      </c>
    </row>
    <row r="3726" spans="1:25" x14ac:dyDescent="0.2">
      <c r="A3726" s="2">
        <v>6468</v>
      </c>
      <c r="B3726" s="2" t="s">
        <v>7674</v>
      </c>
      <c r="C3726" s="2" t="s">
        <v>13</v>
      </c>
      <c r="D3726" s="2" t="s">
        <v>7675</v>
      </c>
      <c r="E3726" s="2" t="s">
        <v>7676</v>
      </c>
      <c r="F3726" s="2" t="s">
        <v>16</v>
      </c>
      <c r="G3726" s="2" t="s">
        <v>17</v>
      </c>
      <c r="H3726" s="2"/>
      <c r="I3726" s="2"/>
      <c r="J3726" s="2"/>
      <c r="K3726" s="2"/>
      <c r="L3726" s="2"/>
      <c r="M3726" s="2"/>
      <c r="N3726" s="2"/>
      <c r="O3726" s="2"/>
      <c r="P3726" s="2"/>
      <c r="Q3726" s="2"/>
      <c r="R3726" s="2"/>
      <c r="S3726" s="2"/>
      <c r="T3726" s="2"/>
      <c r="U3726" s="2"/>
      <c r="V3726" s="2"/>
      <c r="W3726" s="2"/>
      <c r="X3726" s="2"/>
      <c r="Y3726" s="2"/>
    </row>
    <row r="3727" spans="1:25" x14ac:dyDescent="0.2">
      <c r="A3727">
        <v>6469</v>
      </c>
      <c r="B3727" t="s">
        <v>7674</v>
      </c>
      <c r="C3727" t="s">
        <v>18</v>
      </c>
      <c r="D3727" t="s">
        <v>7675</v>
      </c>
      <c r="E3727" t="s">
        <v>595</v>
      </c>
      <c r="F3727" t="s">
        <v>16</v>
      </c>
      <c r="G3727" t="s">
        <v>17</v>
      </c>
      <c r="H3727" t="b">
        <v>1</v>
      </c>
      <c r="I3727" t="b">
        <v>1</v>
      </c>
      <c r="L3727" t="b">
        <v>1</v>
      </c>
      <c r="M3727" t="s">
        <v>7677</v>
      </c>
      <c r="N3727" t="s">
        <v>7678</v>
      </c>
    </row>
    <row r="3728" spans="1:25" x14ac:dyDescent="0.2">
      <c r="A3728">
        <v>6470</v>
      </c>
      <c r="B3728" t="s">
        <v>7674</v>
      </c>
      <c r="C3728" t="s">
        <v>18</v>
      </c>
      <c r="D3728" t="s">
        <v>7679</v>
      </c>
      <c r="E3728" t="s">
        <v>1612</v>
      </c>
      <c r="F3728" t="s">
        <v>16</v>
      </c>
      <c r="G3728" t="s">
        <v>17</v>
      </c>
      <c r="H3728" t="b">
        <v>1</v>
      </c>
      <c r="I3728" t="b">
        <v>1</v>
      </c>
      <c r="L3728" t="b">
        <v>1</v>
      </c>
      <c r="M3728" t="s">
        <v>7680</v>
      </c>
      <c r="N3728" t="s">
        <v>7681</v>
      </c>
    </row>
    <row r="3729" spans="1:25" x14ac:dyDescent="0.2">
      <c r="A3729">
        <v>6471</v>
      </c>
      <c r="B3729" t="s">
        <v>7674</v>
      </c>
      <c r="C3729" t="s">
        <v>18</v>
      </c>
      <c r="D3729" t="s">
        <v>7682</v>
      </c>
      <c r="E3729" t="s">
        <v>7683</v>
      </c>
      <c r="F3729" t="s">
        <v>122</v>
      </c>
      <c r="G3729" t="s">
        <v>17</v>
      </c>
      <c r="H3729" t="b">
        <v>0</v>
      </c>
      <c r="I3729" t="b">
        <v>0</v>
      </c>
      <c r="L3729" t="b">
        <v>0</v>
      </c>
      <c r="M3729" t="s">
        <v>7684</v>
      </c>
      <c r="N3729" t="s">
        <v>7685</v>
      </c>
    </row>
    <row r="3730" spans="1:25" x14ac:dyDescent="0.2">
      <c r="A3730">
        <v>6472</v>
      </c>
      <c r="B3730" t="s">
        <v>7674</v>
      </c>
      <c r="C3730" t="s">
        <v>18</v>
      </c>
      <c r="D3730" t="s">
        <v>7686</v>
      </c>
      <c r="E3730" t="s">
        <v>7687</v>
      </c>
      <c r="F3730" t="s">
        <v>168</v>
      </c>
      <c r="G3730" t="s">
        <v>17</v>
      </c>
      <c r="H3730" t="b">
        <v>0</v>
      </c>
      <c r="I3730" t="b">
        <v>0</v>
      </c>
      <c r="L3730" t="b">
        <v>0</v>
      </c>
    </row>
    <row r="3731" spans="1:25" x14ac:dyDescent="0.2">
      <c r="A3731">
        <v>6473</v>
      </c>
      <c r="B3731" t="s">
        <v>7674</v>
      </c>
      <c r="C3731" t="s">
        <v>18</v>
      </c>
      <c r="D3731" t="s">
        <v>7688</v>
      </c>
      <c r="E3731" t="s">
        <v>7689</v>
      </c>
      <c r="F3731" t="s">
        <v>168</v>
      </c>
      <c r="G3731" t="s">
        <v>17</v>
      </c>
      <c r="H3731" t="b">
        <v>0</v>
      </c>
      <c r="I3731" t="b">
        <v>0</v>
      </c>
      <c r="L3731" t="b">
        <v>0</v>
      </c>
      <c r="M3731" t="s">
        <v>7690</v>
      </c>
    </row>
    <row r="3733" spans="1:25" x14ac:dyDescent="0.2">
      <c r="A3733" s="2">
        <v>6475</v>
      </c>
      <c r="B3733" s="2" t="s">
        <v>7691</v>
      </c>
      <c r="C3733" s="2" t="s">
        <v>13</v>
      </c>
      <c r="D3733" s="2" t="s">
        <v>7692</v>
      </c>
      <c r="E3733" s="2" t="s">
        <v>7693</v>
      </c>
      <c r="F3733" s="2" t="s">
        <v>248</v>
      </c>
      <c r="G3733" s="2" t="s">
        <v>17</v>
      </c>
      <c r="H3733" s="2"/>
      <c r="I3733" s="2"/>
      <c r="J3733" s="2"/>
      <c r="K3733" s="2"/>
      <c r="L3733" s="2"/>
      <c r="M3733" s="2"/>
      <c r="N3733" s="2"/>
      <c r="O3733" s="2"/>
      <c r="P3733" s="2"/>
      <c r="Q3733" s="2"/>
      <c r="R3733" s="2"/>
      <c r="S3733" s="2"/>
      <c r="T3733" s="2"/>
      <c r="U3733" s="2"/>
      <c r="V3733" s="2"/>
      <c r="W3733" s="2"/>
      <c r="X3733" s="2"/>
      <c r="Y3733" s="2"/>
    </row>
    <row r="3734" spans="1:25" x14ac:dyDescent="0.2">
      <c r="A3734">
        <v>6476</v>
      </c>
      <c r="B3734" t="s">
        <v>7691</v>
      </c>
      <c r="C3734" t="s">
        <v>18</v>
      </c>
      <c r="D3734" t="s">
        <v>7694</v>
      </c>
      <c r="E3734" t="s">
        <v>7695</v>
      </c>
      <c r="F3734" t="s">
        <v>248</v>
      </c>
      <c r="G3734" t="s">
        <v>17</v>
      </c>
      <c r="H3734" t="b">
        <v>1</v>
      </c>
      <c r="I3734" t="b">
        <v>1</v>
      </c>
      <c r="L3734" t="b">
        <v>1</v>
      </c>
      <c r="M3734" t="s">
        <v>7696</v>
      </c>
      <c r="N3734" t="s">
        <v>7697</v>
      </c>
    </row>
    <row r="3735" spans="1:25" x14ac:dyDescent="0.2">
      <c r="A3735">
        <v>6477</v>
      </c>
      <c r="B3735" t="s">
        <v>7691</v>
      </c>
      <c r="C3735" t="s">
        <v>18</v>
      </c>
      <c r="D3735" t="s">
        <v>7520</v>
      </c>
      <c r="E3735" t="s">
        <v>7521</v>
      </c>
      <c r="F3735" t="s">
        <v>23</v>
      </c>
      <c r="G3735" t="s">
        <v>17</v>
      </c>
      <c r="H3735" t="b">
        <v>0</v>
      </c>
      <c r="I3735" t="b">
        <v>0</v>
      </c>
      <c r="L3735" t="b">
        <v>0</v>
      </c>
      <c r="M3735" t="s">
        <v>7522</v>
      </c>
      <c r="N3735" t="s">
        <v>7523</v>
      </c>
      <c r="O3735" t="s">
        <v>7524</v>
      </c>
      <c r="P3735" t="s">
        <v>7525</v>
      </c>
    </row>
    <row r="3736" spans="1:25" x14ac:dyDescent="0.2">
      <c r="A3736">
        <v>6478</v>
      </c>
      <c r="B3736" t="s">
        <v>7691</v>
      </c>
      <c r="C3736" t="s">
        <v>18</v>
      </c>
      <c r="D3736" t="s">
        <v>7698</v>
      </c>
      <c r="E3736" t="s">
        <v>4672</v>
      </c>
      <c r="F3736" t="s">
        <v>248</v>
      </c>
      <c r="G3736" t="s">
        <v>17</v>
      </c>
      <c r="H3736" t="b">
        <v>0</v>
      </c>
      <c r="I3736" t="b">
        <v>0</v>
      </c>
      <c r="L3736" t="b">
        <v>0</v>
      </c>
    </row>
    <row r="3737" spans="1:25" x14ac:dyDescent="0.2">
      <c r="A3737">
        <v>6479</v>
      </c>
      <c r="B3737" t="s">
        <v>7691</v>
      </c>
      <c r="C3737" t="s">
        <v>18</v>
      </c>
      <c r="D3737" t="s">
        <v>7699</v>
      </c>
      <c r="E3737" t="s">
        <v>7700</v>
      </c>
      <c r="F3737" t="s">
        <v>248</v>
      </c>
      <c r="G3737" t="s">
        <v>17</v>
      </c>
      <c r="H3737" t="b">
        <v>0</v>
      </c>
      <c r="I3737" t="b">
        <v>0</v>
      </c>
      <c r="L3737" t="b">
        <v>0</v>
      </c>
    </row>
    <row r="3738" spans="1:25" x14ac:dyDescent="0.2">
      <c r="A3738">
        <v>6480</v>
      </c>
      <c r="B3738" t="s">
        <v>7691</v>
      </c>
      <c r="C3738" t="s">
        <v>18</v>
      </c>
      <c r="D3738" t="s">
        <v>7701</v>
      </c>
      <c r="E3738" t="s">
        <v>2958</v>
      </c>
      <c r="F3738" t="s">
        <v>174</v>
      </c>
      <c r="G3738" t="s">
        <v>17</v>
      </c>
      <c r="H3738" t="b">
        <v>0</v>
      </c>
      <c r="I3738" t="b">
        <v>0</v>
      </c>
      <c r="L3738" t="b">
        <v>0</v>
      </c>
      <c r="M3738" t="s">
        <v>7702</v>
      </c>
    </row>
    <row r="3740" spans="1:25" x14ac:dyDescent="0.2">
      <c r="A3740" s="2">
        <v>6489</v>
      </c>
      <c r="B3740" s="2" t="s">
        <v>7703</v>
      </c>
      <c r="C3740" s="2" t="s">
        <v>13</v>
      </c>
      <c r="D3740" s="2" t="s">
        <v>7704</v>
      </c>
      <c r="E3740" s="2" t="s">
        <v>7705</v>
      </c>
      <c r="F3740" s="2" t="s">
        <v>670</v>
      </c>
      <c r="G3740" s="2" t="s">
        <v>17</v>
      </c>
      <c r="H3740" s="2"/>
      <c r="I3740" s="2"/>
      <c r="J3740" s="2"/>
      <c r="K3740" s="2"/>
      <c r="L3740" s="2"/>
      <c r="M3740" s="2"/>
      <c r="N3740" s="2"/>
      <c r="O3740" s="2"/>
      <c r="P3740" s="2"/>
      <c r="Q3740" s="2"/>
      <c r="R3740" s="2"/>
      <c r="S3740" s="2"/>
      <c r="T3740" s="2"/>
      <c r="U3740" s="2"/>
      <c r="V3740" s="2"/>
      <c r="W3740" s="2"/>
      <c r="X3740" s="2"/>
      <c r="Y3740" s="2"/>
    </row>
    <row r="3741" spans="1:25" x14ac:dyDescent="0.2">
      <c r="A3741">
        <v>6490</v>
      </c>
      <c r="B3741" t="s">
        <v>7703</v>
      </c>
      <c r="C3741" t="s">
        <v>18</v>
      </c>
      <c r="D3741" t="s">
        <v>7704</v>
      </c>
      <c r="E3741" t="s">
        <v>7706</v>
      </c>
      <c r="F3741" t="s">
        <v>670</v>
      </c>
      <c r="G3741" t="s">
        <v>17</v>
      </c>
      <c r="H3741" t="b">
        <v>1</v>
      </c>
      <c r="I3741" t="b">
        <v>1</v>
      </c>
      <c r="L3741" t="b">
        <v>1</v>
      </c>
    </row>
    <row r="3742" spans="1:25" x14ac:dyDescent="0.2">
      <c r="A3742">
        <v>6491</v>
      </c>
      <c r="B3742" t="s">
        <v>7703</v>
      </c>
      <c r="C3742" t="s">
        <v>18</v>
      </c>
      <c r="D3742" t="s">
        <v>7707</v>
      </c>
      <c r="E3742" t="s">
        <v>4850</v>
      </c>
      <c r="F3742" t="s">
        <v>670</v>
      </c>
      <c r="G3742" t="s">
        <v>17</v>
      </c>
      <c r="H3742" t="b">
        <v>1</v>
      </c>
      <c r="I3742" t="b">
        <v>1</v>
      </c>
      <c r="L3742" t="b">
        <v>1</v>
      </c>
      <c r="M3742" t="s">
        <v>7708</v>
      </c>
      <c r="N3742" t="s">
        <v>7709</v>
      </c>
    </row>
    <row r="3743" spans="1:25" x14ac:dyDescent="0.2">
      <c r="A3743">
        <v>6492</v>
      </c>
      <c r="B3743" t="s">
        <v>7703</v>
      </c>
      <c r="C3743" t="s">
        <v>18</v>
      </c>
      <c r="D3743" t="s">
        <v>2108</v>
      </c>
      <c r="E3743" t="s">
        <v>2109</v>
      </c>
      <c r="F3743" t="s">
        <v>27</v>
      </c>
      <c r="G3743" t="s">
        <v>17</v>
      </c>
      <c r="H3743" t="b">
        <v>0</v>
      </c>
      <c r="I3743" t="b">
        <v>0</v>
      </c>
      <c r="L3743" t="b">
        <v>0</v>
      </c>
      <c r="M3743" t="s">
        <v>2110</v>
      </c>
      <c r="N3743" t="s">
        <v>2111</v>
      </c>
    </row>
    <row r="3744" spans="1:25" x14ac:dyDescent="0.2">
      <c r="A3744">
        <v>6493</v>
      </c>
      <c r="B3744" t="s">
        <v>7703</v>
      </c>
      <c r="C3744" t="s">
        <v>18</v>
      </c>
      <c r="D3744" t="s">
        <v>7710</v>
      </c>
      <c r="E3744" t="s">
        <v>7711</v>
      </c>
      <c r="F3744" t="s">
        <v>78</v>
      </c>
      <c r="G3744" t="s">
        <v>62</v>
      </c>
      <c r="H3744" t="b">
        <v>0</v>
      </c>
      <c r="I3744" t="b">
        <v>0</v>
      </c>
      <c r="L3744" t="b">
        <v>0</v>
      </c>
      <c r="M3744" t="s">
        <v>7712</v>
      </c>
    </row>
    <row r="3745" spans="1:25" x14ac:dyDescent="0.2">
      <c r="A3745">
        <v>6494</v>
      </c>
      <c r="B3745" t="s">
        <v>7703</v>
      </c>
      <c r="C3745" t="s">
        <v>18</v>
      </c>
      <c r="D3745" t="s">
        <v>2112</v>
      </c>
      <c r="E3745" t="s">
        <v>2113</v>
      </c>
      <c r="F3745" t="s">
        <v>78</v>
      </c>
      <c r="G3745" t="s">
        <v>17</v>
      </c>
      <c r="H3745" t="b">
        <v>0</v>
      </c>
      <c r="I3745" t="b">
        <v>0</v>
      </c>
      <c r="L3745" t="b">
        <v>0</v>
      </c>
      <c r="M3745" t="s">
        <v>2114</v>
      </c>
    </row>
    <row r="3747" spans="1:25" x14ac:dyDescent="0.2">
      <c r="A3747" s="2">
        <v>6496</v>
      </c>
      <c r="B3747" s="2" t="s">
        <v>7713</v>
      </c>
      <c r="C3747" s="2" t="s">
        <v>13</v>
      </c>
      <c r="D3747" s="2" t="s">
        <v>7714</v>
      </c>
      <c r="E3747" s="2" t="s">
        <v>7715</v>
      </c>
      <c r="F3747" s="2" t="s">
        <v>78</v>
      </c>
      <c r="G3747" s="2" t="s">
        <v>17</v>
      </c>
      <c r="H3747" s="2"/>
      <c r="I3747" s="2"/>
      <c r="J3747" s="2"/>
      <c r="K3747" s="2"/>
      <c r="L3747" s="2"/>
      <c r="M3747" s="2"/>
      <c r="N3747" s="2"/>
      <c r="O3747" s="2"/>
      <c r="P3747" s="2"/>
      <c r="Q3747" s="2"/>
      <c r="R3747" s="2"/>
      <c r="S3747" s="2"/>
      <c r="T3747" s="2"/>
      <c r="U3747" s="2"/>
      <c r="V3747" s="2"/>
      <c r="W3747" s="2"/>
      <c r="X3747" s="2"/>
      <c r="Y3747" s="2"/>
    </row>
    <row r="3748" spans="1:25" x14ac:dyDescent="0.2">
      <c r="A3748">
        <v>6497</v>
      </c>
      <c r="B3748" t="s">
        <v>7713</v>
      </c>
      <c r="C3748" t="s">
        <v>18</v>
      </c>
      <c r="D3748" t="s">
        <v>7714</v>
      </c>
      <c r="E3748" t="s">
        <v>7715</v>
      </c>
      <c r="F3748" t="s">
        <v>78</v>
      </c>
      <c r="G3748" t="s">
        <v>17</v>
      </c>
      <c r="H3748" t="b">
        <v>1</v>
      </c>
      <c r="I3748" t="b">
        <v>1</v>
      </c>
      <c r="L3748" t="b">
        <v>1</v>
      </c>
      <c r="M3748" t="s">
        <v>7716</v>
      </c>
      <c r="N3748" t="s">
        <v>7717</v>
      </c>
    </row>
    <row r="3749" spans="1:25" x14ac:dyDescent="0.2">
      <c r="A3749">
        <v>6498</v>
      </c>
      <c r="B3749" t="s">
        <v>7713</v>
      </c>
      <c r="C3749" t="s">
        <v>18</v>
      </c>
      <c r="D3749" t="s">
        <v>7718</v>
      </c>
      <c r="E3749" t="s">
        <v>7719</v>
      </c>
      <c r="F3749" t="s">
        <v>78</v>
      </c>
      <c r="G3749" t="s">
        <v>17</v>
      </c>
      <c r="H3749" t="b">
        <v>0</v>
      </c>
      <c r="I3749" t="b">
        <v>0</v>
      </c>
      <c r="L3749" t="b">
        <v>0</v>
      </c>
      <c r="M3749" t="s">
        <v>7720</v>
      </c>
      <c r="N3749" t="s">
        <v>7721</v>
      </c>
    </row>
    <row r="3750" spans="1:25" x14ac:dyDescent="0.2">
      <c r="A3750">
        <v>6499</v>
      </c>
      <c r="B3750" t="s">
        <v>7713</v>
      </c>
      <c r="C3750" t="s">
        <v>18</v>
      </c>
      <c r="D3750" t="s">
        <v>4279</v>
      </c>
      <c r="E3750" t="s">
        <v>4280</v>
      </c>
      <c r="F3750" t="s">
        <v>78</v>
      </c>
      <c r="G3750" t="s">
        <v>17</v>
      </c>
      <c r="H3750" t="b">
        <v>0</v>
      </c>
      <c r="I3750" t="b">
        <v>0</v>
      </c>
      <c r="L3750" t="b">
        <v>0</v>
      </c>
    </row>
    <row r="3751" spans="1:25" x14ac:dyDescent="0.2">
      <c r="A3751">
        <v>6500</v>
      </c>
      <c r="B3751" t="s">
        <v>7713</v>
      </c>
      <c r="C3751" t="s">
        <v>18</v>
      </c>
      <c r="D3751" t="s">
        <v>7722</v>
      </c>
      <c r="E3751" t="s">
        <v>7723</v>
      </c>
      <c r="F3751" t="s">
        <v>78</v>
      </c>
      <c r="G3751" t="s">
        <v>17</v>
      </c>
      <c r="H3751" t="b">
        <v>0</v>
      </c>
      <c r="I3751" t="b">
        <v>0</v>
      </c>
      <c r="L3751" t="b">
        <v>0</v>
      </c>
      <c r="M3751" t="s">
        <v>7724</v>
      </c>
      <c r="N3751" t="s">
        <v>7725</v>
      </c>
    </row>
    <row r="3752" spans="1:25" x14ac:dyDescent="0.2">
      <c r="A3752">
        <v>6501</v>
      </c>
      <c r="B3752" t="s">
        <v>7713</v>
      </c>
      <c r="C3752" t="s">
        <v>18</v>
      </c>
      <c r="D3752" t="s">
        <v>7614</v>
      </c>
      <c r="E3752" t="s">
        <v>7615</v>
      </c>
      <c r="F3752" t="s">
        <v>670</v>
      </c>
      <c r="G3752" t="s">
        <v>17</v>
      </c>
      <c r="H3752" t="b">
        <v>0</v>
      </c>
      <c r="I3752" t="b">
        <v>0</v>
      </c>
      <c r="L3752" t="b">
        <v>0</v>
      </c>
      <c r="M3752" t="s">
        <v>7616</v>
      </c>
    </row>
    <row r="3754" spans="1:25" x14ac:dyDescent="0.2">
      <c r="A3754" s="2">
        <v>651</v>
      </c>
      <c r="B3754" s="2" t="s">
        <v>7726</v>
      </c>
      <c r="C3754" s="2" t="s">
        <v>13</v>
      </c>
      <c r="D3754" s="2" t="s">
        <v>217</v>
      </c>
      <c r="E3754" s="2" t="s">
        <v>218</v>
      </c>
      <c r="F3754" s="2" t="s">
        <v>78</v>
      </c>
      <c r="G3754" s="2" t="s">
        <v>17</v>
      </c>
      <c r="H3754" s="2"/>
      <c r="I3754" s="2"/>
      <c r="J3754" s="2"/>
      <c r="K3754" s="2"/>
      <c r="L3754" s="2"/>
      <c r="M3754" s="2"/>
      <c r="N3754" s="2"/>
      <c r="O3754" s="2"/>
      <c r="P3754" s="2"/>
      <c r="Q3754" s="2"/>
      <c r="R3754" s="2"/>
      <c r="S3754" s="2"/>
      <c r="T3754" s="2"/>
      <c r="U3754" s="2"/>
      <c r="V3754" s="2"/>
      <c r="W3754" s="2"/>
      <c r="X3754" s="2"/>
      <c r="Y3754" s="2"/>
    </row>
    <row r="3755" spans="1:25" x14ac:dyDescent="0.2">
      <c r="A3755">
        <v>652</v>
      </c>
      <c r="B3755" t="s">
        <v>7726</v>
      </c>
      <c r="C3755" t="s">
        <v>18</v>
      </c>
      <c r="D3755" t="s">
        <v>217</v>
      </c>
      <c r="E3755" t="s">
        <v>218</v>
      </c>
      <c r="F3755" t="s">
        <v>78</v>
      </c>
      <c r="G3755" t="s">
        <v>17</v>
      </c>
      <c r="H3755" t="b">
        <v>1</v>
      </c>
      <c r="K3755" t="b">
        <v>1</v>
      </c>
      <c r="L3755" t="b">
        <v>1</v>
      </c>
      <c r="M3755" t="s">
        <v>7727</v>
      </c>
      <c r="N3755" t="s">
        <v>7728</v>
      </c>
    </row>
    <row r="3756" spans="1:25" x14ac:dyDescent="0.2">
      <c r="A3756">
        <v>653</v>
      </c>
      <c r="B3756" t="s">
        <v>7726</v>
      </c>
      <c r="C3756" t="s">
        <v>18</v>
      </c>
      <c r="D3756" t="s">
        <v>215</v>
      </c>
      <c r="E3756" t="s">
        <v>216</v>
      </c>
      <c r="F3756" t="s">
        <v>78</v>
      </c>
      <c r="G3756" t="s">
        <v>17</v>
      </c>
      <c r="H3756" t="b">
        <v>0</v>
      </c>
      <c r="K3756" t="b">
        <v>0</v>
      </c>
      <c r="L3756" t="b">
        <v>0</v>
      </c>
      <c r="M3756" t="s">
        <v>7729</v>
      </c>
      <c r="N3756" t="s">
        <v>7730</v>
      </c>
    </row>
    <row r="3757" spans="1:25" x14ac:dyDescent="0.2">
      <c r="A3757">
        <v>654</v>
      </c>
      <c r="B3757" t="s">
        <v>7726</v>
      </c>
      <c r="C3757" t="s">
        <v>18</v>
      </c>
      <c r="D3757" t="s">
        <v>7731</v>
      </c>
      <c r="E3757" t="s">
        <v>7732</v>
      </c>
      <c r="F3757" t="s">
        <v>31</v>
      </c>
      <c r="G3757" t="s">
        <v>17</v>
      </c>
      <c r="H3757" t="b">
        <v>0</v>
      </c>
      <c r="K3757" t="b">
        <v>0</v>
      </c>
      <c r="L3757" t="b">
        <v>0</v>
      </c>
      <c r="M3757" t="s">
        <v>7733</v>
      </c>
      <c r="N3757" t="s">
        <v>7734</v>
      </c>
      <c r="O3757" t="s">
        <v>7735</v>
      </c>
    </row>
    <row r="3758" spans="1:25" x14ac:dyDescent="0.2">
      <c r="A3758">
        <v>655</v>
      </c>
      <c r="B3758" t="s">
        <v>7726</v>
      </c>
      <c r="C3758" t="s">
        <v>18</v>
      </c>
      <c r="D3758" t="s">
        <v>213</v>
      </c>
      <c r="E3758" t="s">
        <v>214</v>
      </c>
      <c r="F3758" t="s">
        <v>78</v>
      </c>
      <c r="G3758" t="s">
        <v>17</v>
      </c>
      <c r="H3758" t="b">
        <v>0</v>
      </c>
      <c r="K3758" t="b">
        <v>0</v>
      </c>
      <c r="L3758" t="b">
        <v>0</v>
      </c>
      <c r="M3758" t="s">
        <v>7736</v>
      </c>
      <c r="N3758" t="s">
        <v>745</v>
      </c>
    </row>
    <row r="3759" spans="1:25" x14ac:dyDescent="0.2">
      <c r="A3759">
        <v>656</v>
      </c>
      <c r="B3759" t="s">
        <v>7726</v>
      </c>
      <c r="C3759" t="s">
        <v>18</v>
      </c>
      <c r="D3759" t="s">
        <v>7737</v>
      </c>
      <c r="E3759" t="s">
        <v>7738</v>
      </c>
      <c r="F3759" t="s">
        <v>168</v>
      </c>
      <c r="G3759" t="s">
        <v>17</v>
      </c>
      <c r="H3759" t="b">
        <v>0</v>
      </c>
      <c r="K3759" t="b">
        <v>0</v>
      </c>
      <c r="L3759" t="b">
        <v>0</v>
      </c>
      <c r="M3759" t="s">
        <v>7739</v>
      </c>
    </row>
    <row r="3761" spans="1:25" x14ac:dyDescent="0.2">
      <c r="A3761" s="2">
        <v>6510</v>
      </c>
      <c r="B3761" s="2" t="s">
        <v>7740</v>
      </c>
      <c r="C3761" s="2" t="s">
        <v>13</v>
      </c>
      <c r="D3761" s="2" t="s">
        <v>7741</v>
      </c>
      <c r="E3761" s="2" t="s">
        <v>5569</v>
      </c>
      <c r="F3761" s="2" t="s">
        <v>670</v>
      </c>
      <c r="G3761" s="2" t="s">
        <v>345</v>
      </c>
      <c r="H3761" s="2"/>
      <c r="I3761" s="2"/>
      <c r="J3761" s="2"/>
      <c r="K3761" s="2"/>
      <c r="L3761" s="2"/>
      <c r="M3761" s="2"/>
      <c r="N3761" s="2"/>
      <c r="O3761" s="2"/>
      <c r="P3761" s="2"/>
      <c r="Q3761" s="2"/>
      <c r="R3761" s="2"/>
      <c r="S3761" s="2"/>
      <c r="T3761" s="2"/>
      <c r="U3761" s="2"/>
      <c r="V3761" s="2"/>
      <c r="W3761" s="2"/>
      <c r="X3761" s="2"/>
      <c r="Y3761" s="2"/>
    </row>
    <row r="3762" spans="1:25" x14ac:dyDescent="0.2">
      <c r="A3762">
        <v>6511</v>
      </c>
      <c r="B3762" t="s">
        <v>7740</v>
      </c>
      <c r="C3762" t="s">
        <v>18</v>
      </c>
      <c r="D3762" t="s">
        <v>7741</v>
      </c>
      <c r="E3762" t="s">
        <v>5569</v>
      </c>
      <c r="F3762" t="s">
        <v>670</v>
      </c>
      <c r="G3762" t="s">
        <v>345</v>
      </c>
      <c r="H3762" t="b">
        <v>1</v>
      </c>
      <c r="I3762" t="b">
        <v>1</v>
      </c>
      <c r="L3762" t="b">
        <v>1</v>
      </c>
      <c r="M3762" t="s">
        <v>7742</v>
      </c>
      <c r="N3762" t="s">
        <v>7743</v>
      </c>
      <c r="O3762" t="s">
        <v>7744</v>
      </c>
      <c r="P3762" t="s">
        <v>7745</v>
      </c>
    </row>
    <row r="3763" spans="1:25" x14ac:dyDescent="0.2">
      <c r="A3763">
        <v>6512</v>
      </c>
      <c r="B3763" t="s">
        <v>7740</v>
      </c>
      <c r="C3763" t="s">
        <v>18</v>
      </c>
      <c r="D3763" t="s">
        <v>2766</v>
      </c>
      <c r="E3763" t="s">
        <v>2767</v>
      </c>
      <c r="F3763" t="s">
        <v>151</v>
      </c>
      <c r="G3763" t="s">
        <v>24</v>
      </c>
      <c r="H3763" t="b">
        <v>0</v>
      </c>
      <c r="I3763" t="b">
        <v>0</v>
      </c>
      <c r="L3763" t="b">
        <v>0</v>
      </c>
      <c r="M3763" t="s">
        <v>2768</v>
      </c>
      <c r="N3763" t="s">
        <v>2769</v>
      </c>
      <c r="O3763" t="s">
        <v>2770</v>
      </c>
    </row>
    <row r="3764" spans="1:25" x14ac:dyDescent="0.2">
      <c r="A3764">
        <v>6513</v>
      </c>
      <c r="B3764" t="s">
        <v>7740</v>
      </c>
      <c r="C3764" t="s">
        <v>18</v>
      </c>
      <c r="D3764" t="s">
        <v>7746</v>
      </c>
      <c r="E3764" t="s">
        <v>7747</v>
      </c>
      <c r="F3764" t="s">
        <v>159</v>
      </c>
      <c r="G3764" t="s">
        <v>345</v>
      </c>
      <c r="H3764" t="b">
        <v>0</v>
      </c>
      <c r="I3764" t="b">
        <v>0</v>
      </c>
      <c r="L3764" t="b">
        <v>0</v>
      </c>
      <c r="M3764" t="s">
        <v>7748</v>
      </c>
      <c r="N3764" t="s">
        <v>7749</v>
      </c>
      <c r="O3764" t="s">
        <v>7750</v>
      </c>
      <c r="P3764" t="s">
        <v>7751</v>
      </c>
    </row>
    <row r="3765" spans="1:25" x14ac:dyDescent="0.2">
      <c r="A3765">
        <v>6514</v>
      </c>
      <c r="B3765" t="s">
        <v>7740</v>
      </c>
      <c r="C3765" t="s">
        <v>18</v>
      </c>
      <c r="D3765" t="s">
        <v>2708</v>
      </c>
      <c r="E3765" t="s">
        <v>2709</v>
      </c>
      <c r="F3765" t="s">
        <v>159</v>
      </c>
      <c r="G3765" t="s">
        <v>345</v>
      </c>
      <c r="H3765" t="b">
        <v>0</v>
      </c>
      <c r="I3765" t="b">
        <v>0</v>
      </c>
      <c r="L3765" t="b">
        <v>0</v>
      </c>
      <c r="M3765" t="s">
        <v>2710</v>
      </c>
      <c r="N3765" t="s">
        <v>2711</v>
      </c>
    </row>
    <row r="3766" spans="1:25" x14ac:dyDescent="0.2">
      <c r="A3766">
        <v>6515</v>
      </c>
      <c r="B3766" t="s">
        <v>7740</v>
      </c>
      <c r="C3766" t="s">
        <v>18</v>
      </c>
      <c r="D3766" t="s">
        <v>7752</v>
      </c>
      <c r="E3766" t="s">
        <v>7753</v>
      </c>
      <c r="F3766" t="s">
        <v>159</v>
      </c>
      <c r="G3766" t="s">
        <v>345</v>
      </c>
      <c r="H3766" t="b">
        <v>0</v>
      </c>
      <c r="I3766" t="b">
        <v>0</v>
      </c>
      <c r="L3766" t="b">
        <v>0</v>
      </c>
      <c r="M3766" t="s">
        <v>7754</v>
      </c>
      <c r="N3766" t="s">
        <v>7755</v>
      </c>
      <c r="O3766" t="s">
        <v>7756</v>
      </c>
      <c r="P3766" t="s">
        <v>7757</v>
      </c>
    </row>
    <row r="3768" spans="1:25" x14ac:dyDescent="0.2">
      <c r="A3768" s="2">
        <v>6517</v>
      </c>
      <c r="B3768" s="2" t="s">
        <v>7758</v>
      </c>
      <c r="C3768" s="2" t="s">
        <v>13</v>
      </c>
      <c r="D3768" s="2" t="s">
        <v>7759</v>
      </c>
      <c r="E3768" s="2" t="s">
        <v>7760</v>
      </c>
      <c r="F3768" s="2" t="s">
        <v>122</v>
      </c>
      <c r="G3768" s="2" t="s">
        <v>24</v>
      </c>
      <c r="H3768" s="2"/>
      <c r="I3768" s="2"/>
      <c r="J3768" s="2"/>
      <c r="K3768" s="2"/>
      <c r="L3768" s="2"/>
      <c r="M3768" s="2"/>
      <c r="N3768" s="2"/>
      <c r="O3768" s="2"/>
      <c r="P3768" s="2"/>
      <c r="Q3768" s="2"/>
      <c r="R3768" s="2"/>
      <c r="S3768" s="2"/>
      <c r="T3768" s="2"/>
      <c r="U3768" s="2"/>
      <c r="V3768" s="2"/>
      <c r="W3768" s="2"/>
      <c r="X3768" s="2"/>
      <c r="Y3768" s="2"/>
    </row>
    <row r="3769" spans="1:25" x14ac:dyDescent="0.2">
      <c r="A3769">
        <v>6518</v>
      </c>
      <c r="B3769" t="s">
        <v>7758</v>
      </c>
      <c r="C3769" t="s">
        <v>18</v>
      </c>
      <c r="D3769" t="s">
        <v>7759</v>
      </c>
      <c r="E3769" t="s">
        <v>7761</v>
      </c>
      <c r="F3769" t="s">
        <v>122</v>
      </c>
      <c r="G3769" t="s">
        <v>24</v>
      </c>
      <c r="H3769" t="b">
        <v>1</v>
      </c>
      <c r="I3769" t="b">
        <v>1</v>
      </c>
      <c r="L3769" t="b">
        <v>1</v>
      </c>
      <c r="M3769" t="s">
        <v>7762</v>
      </c>
    </row>
    <row r="3770" spans="1:25" x14ac:dyDescent="0.2">
      <c r="A3770">
        <v>6519</v>
      </c>
      <c r="B3770" t="s">
        <v>7758</v>
      </c>
      <c r="C3770" t="s">
        <v>18</v>
      </c>
      <c r="D3770" t="s">
        <v>7763</v>
      </c>
      <c r="E3770" t="s">
        <v>441</v>
      </c>
      <c r="F3770" t="s">
        <v>122</v>
      </c>
      <c r="G3770" t="s">
        <v>24</v>
      </c>
      <c r="H3770" t="b">
        <v>1</v>
      </c>
      <c r="I3770" t="b">
        <v>1</v>
      </c>
      <c r="L3770" t="b">
        <v>1</v>
      </c>
      <c r="M3770" t="s">
        <v>7764</v>
      </c>
    </row>
    <row r="3771" spans="1:25" x14ac:dyDescent="0.2">
      <c r="A3771">
        <v>6520</v>
      </c>
      <c r="B3771" t="s">
        <v>7758</v>
      </c>
      <c r="C3771" t="s">
        <v>18</v>
      </c>
      <c r="D3771" t="s">
        <v>3671</v>
      </c>
      <c r="E3771" t="s">
        <v>3672</v>
      </c>
      <c r="F3771" t="s">
        <v>122</v>
      </c>
      <c r="G3771" t="s">
        <v>17</v>
      </c>
      <c r="H3771" t="b">
        <v>0</v>
      </c>
      <c r="I3771" t="b">
        <v>0</v>
      </c>
      <c r="L3771" t="b">
        <v>0</v>
      </c>
      <c r="M3771" t="s">
        <v>3673</v>
      </c>
    </row>
    <row r="3772" spans="1:25" x14ac:dyDescent="0.2">
      <c r="A3772">
        <v>6521</v>
      </c>
      <c r="B3772" t="s">
        <v>7758</v>
      </c>
      <c r="C3772" t="s">
        <v>18</v>
      </c>
      <c r="D3772" t="s">
        <v>7765</v>
      </c>
      <c r="E3772" t="s">
        <v>5336</v>
      </c>
      <c r="F3772" t="s">
        <v>78</v>
      </c>
      <c r="G3772" t="s">
        <v>17</v>
      </c>
      <c r="H3772" t="b">
        <v>0</v>
      </c>
      <c r="I3772" t="b">
        <v>0</v>
      </c>
      <c r="L3772" t="b">
        <v>0</v>
      </c>
      <c r="M3772" t="s">
        <v>7766</v>
      </c>
    </row>
    <row r="3773" spans="1:25" x14ac:dyDescent="0.2">
      <c r="A3773">
        <v>6522</v>
      </c>
      <c r="B3773" t="s">
        <v>7758</v>
      </c>
      <c r="C3773" t="s">
        <v>18</v>
      </c>
      <c r="D3773" t="s">
        <v>7767</v>
      </c>
      <c r="E3773" t="s">
        <v>7768</v>
      </c>
      <c r="F3773" t="s">
        <v>151</v>
      </c>
      <c r="G3773" t="s">
        <v>24</v>
      </c>
      <c r="H3773" t="b">
        <v>0</v>
      </c>
      <c r="I3773" t="b">
        <v>0</v>
      </c>
      <c r="L3773" t="b">
        <v>0</v>
      </c>
      <c r="M3773" t="s">
        <v>7769</v>
      </c>
    </row>
    <row r="3775" spans="1:25" x14ac:dyDescent="0.2">
      <c r="A3775" s="2">
        <v>6531</v>
      </c>
      <c r="B3775" s="2" t="s">
        <v>7770</v>
      </c>
      <c r="C3775" s="2" t="s">
        <v>13</v>
      </c>
      <c r="D3775" s="2" t="s">
        <v>6147</v>
      </c>
      <c r="E3775" s="2" t="s">
        <v>6148</v>
      </c>
      <c r="F3775" s="2" t="s">
        <v>78</v>
      </c>
      <c r="G3775" s="2" t="s">
        <v>280</v>
      </c>
      <c r="H3775" s="2"/>
      <c r="I3775" s="2"/>
      <c r="J3775" s="2"/>
      <c r="K3775" s="2"/>
      <c r="L3775" s="2"/>
      <c r="M3775" s="2"/>
      <c r="N3775" s="2"/>
      <c r="O3775" s="2"/>
      <c r="P3775" s="2"/>
      <c r="Q3775" s="2"/>
      <c r="R3775" s="2"/>
      <c r="S3775" s="2"/>
      <c r="T3775" s="2"/>
      <c r="U3775" s="2"/>
      <c r="V3775" s="2"/>
      <c r="W3775" s="2"/>
      <c r="X3775" s="2"/>
      <c r="Y3775" s="2"/>
    </row>
    <row r="3776" spans="1:25" x14ac:dyDescent="0.2">
      <c r="A3776">
        <v>6532</v>
      </c>
      <c r="B3776" t="s">
        <v>7770</v>
      </c>
      <c r="C3776" t="s">
        <v>18</v>
      </c>
      <c r="D3776" t="s">
        <v>6147</v>
      </c>
      <c r="E3776" t="s">
        <v>6148</v>
      </c>
      <c r="F3776" t="s">
        <v>78</v>
      </c>
      <c r="G3776" t="s">
        <v>280</v>
      </c>
      <c r="H3776" t="b">
        <v>1</v>
      </c>
      <c r="I3776" t="b">
        <v>1</v>
      </c>
      <c r="L3776" t="b">
        <v>1</v>
      </c>
      <c r="M3776" t="s">
        <v>6149</v>
      </c>
      <c r="N3776" t="s">
        <v>6150</v>
      </c>
    </row>
    <row r="3777" spans="1:25" x14ac:dyDescent="0.2">
      <c r="A3777">
        <v>6533</v>
      </c>
      <c r="B3777" t="s">
        <v>7770</v>
      </c>
      <c r="C3777" t="s">
        <v>18</v>
      </c>
      <c r="D3777" t="s">
        <v>7771</v>
      </c>
      <c r="E3777" t="s">
        <v>7772</v>
      </c>
      <c r="F3777" t="s">
        <v>78</v>
      </c>
      <c r="G3777" t="s">
        <v>88</v>
      </c>
      <c r="H3777" t="b">
        <v>0</v>
      </c>
      <c r="I3777" t="b">
        <v>0</v>
      </c>
      <c r="L3777" t="b">
        <v>0</v>
      </c>
      <c r="M3777" t="s">
        <v>7773</v>
      </c>
      <c r="N3777" t="s">
        <v>7774</v>
      </c>
    </row>
    <row r="3778" spans="1:25" x14ac:dyDescent="0.2">
      <c r="A3778">
        <v>6534</v>
      </c>
      <c r="B3778" t="s">
        <v>7770</v>
      </c>
      <c r="C3778" t="s">
        <v>18</v>
      </c>
      <c r="D3778" t="s">
        <v>3329</v>
      </c>
      <c r="E3778" t="s">
        <v>3330</v>
      </c>
      <c r="F3778" t="s">
        <v>78</v>
      </c>
      <c r="G3778" t="s">
        <v>280</v>
      </c>
      <c r="H3778" t="b">
        <v>0</v>
      </c>
      <c r="I3778" t="b">
        <v>0</v>
      </c>
      <c r="L3778" t="b">
        <v>0</v>
      </c>
      <c r="M3778" t="s">
        <v>3331</v>
      </c>
      <c r="N3778" t="s">
        <v>3332</v>
      </c>
      <c r="O3778" t="s">
        <v>3333</v>
      </c>
      <c r="P3778" t="s">
        <v>3334</v>
      </c>
    </row>
    <row r="3779" spans="1:25" x14ac:dyDescent="0.2">
      <c r="A3779">
        <v>6535</v>
      </c>
      <c r="B3779" t="s">
        <v>7770</v>
      </c>
      <c r="C3779" t="s">
        <v>18</v>
      </c>
      <c r="D3779" t="s">
        <v>7775</v>
      </c>
      <c r="E3779" t="s">
        <v>7776</v>
      </c>
      <c r="F3779" t="s">
        <v>78</v>
      </c>
      <c r="G3779" t="s">
        <v>280</v>
      </c>
      <c r="H3779" t="b">
        <v>0</v>
      </c>
      <c r="I3779" t="b">
        <v>0</v>
      </c>
      <c r="L3779" t="b">
        <v>0</v>
      </c>
    </row>
    <row r="3780" spans="1:25" x14ac:dyDescent="0.2">
      <c r="A3780">
        <v>6536</v>
      </c>
      <c r="B3780" t="s">
        <v>7770</v>
      </c>
      <c r="C3780" t="s">
        <v>18</v>
      </c>
      <c r="D3780" t="s">
        <v>7777</v>
      </c>
      <c r="E3780" t="s">
        <v>7778</v>
      </c>
      <c r="F3780" t="s">
        <v>78</v>
      </c>
      <c r="G3780" t="s">
        <v>280</v>
      </c>
      <c r="H3780" t="b">
        <v>0</v>
      </c>
      <c r="I3780" t="b">
        <v>0</v>
      </c>
      <c r="L3780" t="b">
        <v>0</v>
      </c>
    </row>
    <row r="3782" spans="1:25" x14ac:dyDescent="0.2">
      <c r="A3782" s="2">
        <v>6538</v>
      </c>
      <c r="B3782" s="2" t="s">
        <v>7779</v>
      </c>
      <c r="C3782" s="2" t="s">
        <v>13</v>
      </c>
      <c r="D3782" s="2" t="s">
        <v>7780</v>
      </c>
      <c r="E3782" s="2" t="s">
        <v>7781</v>
      </c>
      <c r="F3782" s="2" t="s">
        <v>151</v>
      </c>
      <c r="G3782" s="2" t="s">
        <v>7782</v>
      </c>
      <c r="H3782" s="2"/>
      <c r="I3782" s="2"/>
      <c r="J3782" s="2"/>
      <c r="K3782" s="2"/>
      <c r="L3782" s="2"/>
      <c r="M3782" s="2"/>
      <c r="N3782" s="2"/>
      <c r="O3782" s="2"/>
      <c r="P3782" s="2"/>
      <c r="Q3782" s="2"/>
      <c r="R3782" s="2"/>
      <c r="S3782" s="2"/>
      <c r="T3782" s="2"/>
      <c r="U3782" s="2"/>
      <c r="V3782" s="2"/>
      <c r="W3782" s="2"/>
      <c r="X3782" s="2"/>
      <c r="Y3782" s="2"/>
    </row>
    <row r="3783" spans="1:25" x14ac:dyDescent="0.2">
      <c r="A3783">
        <v>6539</v>
      </c>
      <c r="B3783" t="s">
        <v>7779</v>
      </c>
      <c r="C3783" t="s">
        <v>18</v>
      </c>
      <c r="D3783" t="s">
        <v>7780</v>
      </c>
      <c r="E3783" t="s">
        <v>7781</v>
      </c>
      <c r="F3783" t="s">
        <v>151</v>
      </c>
      <c r="G3783" t="s">
        <v>7783</v>
      </c>
      <c r="H3783" t="b">
        <v>1</v>
      </c>
      <c r="K3783" t="b">
        <v>1</v>
      </c>
      <c r="L3783" t="b">
        <v>1</v>
      </c>
      <c r="M3783" t="s">
        <v>7784</v>
      </c>
      <c r="N3783" t="s">
        <v>7785</v>
      </c>
    </row>
    <row r="3784" spans="1:25" x14ac:dyDescent="0.2">
      <c r="A3784">
        <v>6540</v>
      </c>
      <c r="B3784" t="s">
        <v>7779</v>
      </c>
      <c r="C3784" t="s">
        <v>18</v>
      </c>
      <c r="D3784" t="s">
        <v>7786</v>
      </c>
      <c r="E3784" t="s">
        <v>7787</v>
      </c>
      <c r="F3784" t="s">
        <v>45</v>
      </c>
      <c r="G3784" t="s">
        <v>32</v>
      </c>
      <c r="H3784" t="b">
        <v>0</v>
      </c>
      <c r="K3784" t="b">
        <v>0</v>
      </c>
      <c r="L3784" t="b">
        <v>0</v>
      </c>
    </row>
    <row r="3785" spans="1:25" x14ac:dyDescent="0.2">
      <c r="A3785">
        <v>6541</v>
      </c>
      <c r="B3785" t="s">
        <v>7779</v>
      </c>
      <c r="C3785" t="s">
        <v>18</v>
      </c>
      <c r="D3785" t="s">
        <v>7788</v>
      </c>
      <c r="E3785" t="s">
        <v>3541</v>
      </c>
      <c r="F3785" t="s">
        <v>45</v>
      </c>
      <c r="G3785" t="s">
        <v>32</v>
      </c>
      <c r="H3785" t="b">
        <v>0</v>
      </c>
      <c r="K3785" t="b">
        <v>0</v>
      </c>
      <c r="L3785" t="b">
        <v>0</v>
      </c>
    </row>
    <row r="3786" spans="1:25" x14ac:dyDescent="0.2">
      <c r="A3786">
        <v>6542</v>
      </c>
      <c r="B3786" t="s">
        <v>7779</v>
      </c>
      <c r="C3786" t="s">
        <v>18</v>
      </c>
      <c r="D3786" t="s">
        <v>7789</v>
      </c>
      <c r="E3786" t="s">
        <v>7790</v>
      </c>
      <c r="F3786" t="s">
        <v>45</v>
      </c>
      <c r="G3786" t="s">
        <v>7783</v>
      </c>
      <c r="H3786" t="b">
        <v>0</v>
      </c>
      <c r="K3786" t="b">
        <v>0</v>
      </c>
      <c r="L3786" t="b">
        <v>0</v>
      </c>
    </row>
    <row r="3787" spans="1:25" x14ac:dyDescent="0.2">
      <c r="A3787">
        <v>6543</v>
      </c>
      <c r="B3787" t="s">
        <v>7779</v>
      </c>
      <c r="C3787" t="s">
        <v>18</v>
      </c>
      <c r="D3787" t="s">
        <v>7791</v>
      </c>
      <c r="E3787" t="s">
        <v>7792</v>
      </c>
      <c r="F3787" t="s">
        <v>78</v>
      </c>
      <c r="G3787" t="s">
        <v>32</v>
      </c>
      <c r="H3787" t="b">
        <v>0</v>
      </c>
      <c r="K3787" t="b">
        <v>0</v>
      </c>
      <c r="L3787" t="b">
        <v>0</v>
      </c>
      <c r="M3787" t="s">
        <v>7793</v>
      </c>
      <c r="N3787" t="s">
        <v>7794</v>
      </c>
    </row>
    <row r="3789" spans="1:25" x14ac:dyDescent="0.2">
      <c r="A3789" s="2">
        <v>6545</v>
      </c>
      <c r="B3789" s="2" t="s">
        <v>7795</v>
      </c>
      <c r="C3789" s="2" t="s">
        <v>13</v>
      </c>
      <c r="D3789" s="2" t="s">
        <v>7796</v>
      </c>
      <c r="E3789" s="2" t="s">
        <v>7797</v>
      </c>
      <c r="F3789" s="2" t="s">
        <v>122</v>
      </c>
      <c r="G3789" s="2" t="s">
        <v>2050</v>
      </c>
      <c r="H3789" s="2"/>
      <c r="I3789" s="2"/>
      <c r="J3789" s="2"/>
      <c r="K3789" s="2"/>
      <c r="L3789" s="2"/>
      <c r="M3789" s="2"/>
      <c r="N3789" s="2"/>
      <c r="O3789" s="2"/>
      <c r="P3789" s="2"/>
      <c r="Q3789" s="2"/>
      <c r="R3789" s="2"/>
      <c r="S3789" s="2"/>
      <c r="T3789" s="2"/>
      <c r="U3789" s="2"/>
      <c r="V3789" s="2"/>
      <c r="W3789" s="2"/>
      <c r="X3789" s="2"/>
      <c r="Y3789" s="2"/>
    </row>
    <row r="3790" spans="1:25" x14ac:dyDescent="0.2">
      <c r="A3790">
        <v>6546</v>
      </c>
      <c r="B3790" t="s">
        <v>7795</v>
      </c>
      <c r="C3790" t="s">
        <v>18</v>
      </c>
      <c r="D3790" t="s">
        <v>7796</v>
      </c>
      <c r="E3790" t="s">
        <v>381</v>
      </c>
      <c r="F3790" t="s">
        <v>122</v>
      </c>
      <c r="G3790" t="s">
        <v>2050</v>
      </c>
      <c r="H3790" t="b">
        <v>1</v>
      </c>
      <c r="I3790" t="b">
        <v>1</v>
      </c>
      <c r="L3790" t="b">
        <v>1</v>
      </c>
      <c r="M3790" t="s">
        <v>7798</v>
      </c>
      <c r="N3790" t="s">
        <v>7799</v>
      </c>
    </row>
    <row r="3791" spans="1:25" x14ac:dyDescent="0.2">
      <c r="A3791">
        <v>6547</v>
      </c>
      <c r="B3791" t="s">
        <v>7795</v>
      </c>
      <c r="C3791" t="s">
        <v>18</v>
      </c>
      <c r="D3791" t="s">
        <v>7800</v>
      </c>
      <c r="E3791" t="s">
        <v>7801</v>
      </c>
      <c r="F3791" t="s">
        <v>122</v>
      </c>
      <c r="G3791" t="s">
        <v>2050</v>
      </c>
      <c r="H3791" t="b">
        <v>1</v>
      </c>
      <c r="I3791" t="b">
        <v>1</v>
      </c>
      <c r="L3791" t="b">
        <v>1</v>
      </c>
      <c r="M3791" t="s">
        <v>7802</v>
      </c>
      <c r="N3791" t="s">
        <v>7803</v>
      </c>
    </row>
    <row r="3792" spans="1:25" x14ac:dyDescent="0.2">
      <c r="A3792">
        <v>6548</v>
      </c>
      <c r="B3792" t="s">
        <v>7795</v>
      </c>
      <c r="C3792" t="s">
        <v>18</v>
      </c>
      <c r="D3792" t="s">
        <v>7804</v>
      </c>
      <c r="E3792" t="s">
        <v>7805</v>
      </c>
      <c r="F3792" t="s">
        <v>122</v>
      </c>
      <c r="G3792" t="s">
        <v>2050</v>
      </c>
      <c r="H3792" t="b">
        <v>0</v>
      </c>
      <c r="I3792" t="b">
        <v>1</v>
      </c>
      <c r="L3792" t="b">
        <v>1</v>
      </c>
    </row>
    <row r="3793" spans="1:25" x14ac:dyDescent="0.2">
      <c r="A3793">
        <v>6549</v>
      </c>
      <c r="B3793" t="s">
        <v>7795</v>
      </c>
      <c r="C3793" t="s">
        <v>18</v>
      </c>
      <c r="D3793" t="s">
        <v>256</v>
      </c>
      <c r="E3793" t="s">
        <v>257</v>
      </c>
      <c r="F3793" t="s">
        <v>248</v>
      </c>
      <c r="G3793" t="s">
        <v>24</v>
      </c>
      <c r="H3793" t="b">
        <v>0</v>
      </c>
      <c r="I3793" t="b">
        <v>0</v>
      </c>
      <c r="L3793" t="b">
        <v>0</v>
      </c>
    </row>
    <row r="3794" spans="1:25" x14ac:dyDescent="0.2">
      <c r="A3794">
        <v>6550</v>
      </c>
      <c r="B3794" t="s">
        <v>7795</v>
      </c>
      <c r="C3794" t="s">
        <v>18</v>
      </c>
      <c r="D3794" t="s">
        <v>7806</v>
      </c>
      <c r="E3794" t="s">
        <v>7807</v>
      </c>
      <c r="F3794" t="s">
        <v>122</v>
      </c>
      <c r="G3794" t="s">
        <v>252</v>
      </c>
      <c r="H3794" t="b">
        <v>0</v>
      </c>
      <c r="I3794" t="b">
        <v>0</v>
      </c>
      <c r="L3794" t="b">
        <v>0</v>
      </c>
      <c r="M3794" t="s">
        <v>7808</v>
      </c>
      <c r="N3794" t="s">
        <v>745</v>
      </c>
    </row>
    <row r="3796" spans="1:25" x14ac:dyDescent="0.2">
      <c r="A3796" s="2">
        <v>6559</v>
      </c>
      <c r="B3796" s="2" t="s">
        <v>7809</v>
      </c>
      <c r="C3796" s="2" t="s">
        <v>13</v>
      </c>
      <c r="D3796" s="2" t="s">
        <v>7810</v>
      </c>
      <c r="E3796" s="2" t="s">
        <v>7811</v>
      </c>
      <c r="F3796" s="2" t="s">
        <v>78</v>
      </c>
      <c r="G3796" s="2" t="s">
        <v>17</v>
      </c>
      <c r="H3796" s="2"/>
      <c r="I3796" s="2"/>
      <c r="J3796" s="2"/>
      <c r="K3796" s="2"/>
      <c r="L3796" s="2"/>
      <c r="M3796" s="2"/>
      <c r="N3796" s="2"/>
      <c r="O3796" s="2"/>
      <c r="P3796" s="2"/>
      <c r="Q3796" s="2"/>
      <c r="R3796" s="2"/>
      <c r="S3796" s="2"/>
      <c r="T3796" s="2"/>
      <c r="U3796" s="2"/>
      <c r="V3796" s="2"/>
      <c r="W3796" s="2"/>
      <c r="X3796" s="2"/>
      <c r="Y3796" s="2"/>
    </row>
    <row r="3797" spans="1:25" x14ac:dyDescent="0.2">
      <c r="A3797">
        <v>6560</v>
      </c>
      <c r="B3797" t="s">
        <v>7809</v>
      </c>
      <c r="C3797" t="s">
        <v>18</v>
      </c>
      <c r="D3797" t="s">
        <v>7812</v>
      </c>
      <c r="E3797" t="s">
        <v>3263</v>
      </c>
      <c r="F3797" t="s">
        <v>78</v>
      </c>
      <c r="G3797" t="s">
        <v>17</v>
      </c>
      <c r="H3797" t="b">
        <v>1</v>
      </c>
      <c r="I3797" t="b">
        <v>1</v>
      </c>
      <c r="L3797" t="b">
        <v>1</v>
      </c>
      <c r="M3797" t="s">
        <v>7813</v>
      </c>
      <c r="N3797" t="s">
        <v>7814</v>
      </c>
    </row>
    <row r="3798" spans="1:25" x14ac:dyDescent="0.2">
      <c r="A3798">
        <v>6561</v>
      </c>
      <c r="B3798" t="s">
        <v>7809</v>
      </c>
      <c r="C3798" t="s">
        <v>18</v>
      </c>
      <c r="D3798" t="s">
        <v>7815</v>
      </c>
      <c r="E3798" t="s">
        <v>7816</v>
      </c>
      <c r="F3798" t="s">
        <v>78</v>
      </c>
      <c r="G3798" t="s">
        <v>17</v>
      </c>
      <c r="H3798" t="b">
        <v>0</v>
      </c>
      <c r="I3798" t="b">
        <v>0</v>
      </c>
      <c r="L3798" t="b">
        <v>0</v>
      </c>
      <c r="M3798" t="s">
        <v>7817</v>
      </c>
      <c r="N3798" t="s">
        <v>7818</v>
      </c>
    </row>
    <row r="3799" spans="1:25" x14ac:dyDescent="0.2">
      <c r="A3799">
        <v>6562</v>
      </c>
      <c r="B3799" t="s">
        <v>7809</v>
      </c>
      <c r="C3799" t="s">
        <v>18</v>
      </c>
      <c r="D3799" t="s">
        <v>1911</v>
      </c>
      <c r="E3799" t="s">
        <v>1912</v>
      </c>
      <c r="F3799" t="s">
        <v>78</v>
      </c>
      <c r="G3799" t="s">
        <v>17</v>
      </c>
      <c r="H3799" t="b">
        <v>0</v>
      </c>
      <c r="I3799" t="b">
        <v>0</v>
      </c>
      <c r="L3799" t="b">
        <v>0</v>
      </c>
      <c r="M3799" t="s">
        <v>1913</v>
      </c>
    </row>
    <row r="3800" spans="1:25" x14ac:dyDescent="0.2">
      <c r="A3800">
        <v>6563</v>
      </c>
      <c r="B3800" t="s">
        <v>7809</v>
      </c>
      <c r="C3800" t="s">
        <v>18</v>
      </c>
      <c r="D3800" t="s">
        <v>5213</v>
      </c>
      <c r="E3800" t="s">
        <v>5214</v>
      </c>
      <c r="F3800" t="s">
        <v>5215</v>
      </c>
      <c r="G3800" t="s">
        <v>17</v>
      </c>
      <c r="H3800" t="b">
        <v>0</v>
      </c>
      <c r="I3800" t="b">
        <v>0</v>
      </c>
      <c r="L3800" t="b">
        <v>0</v>
      </c>
      <c r="M3800" t="s">
        <v>5216</v>
      </c>
      <c r="N3800" t="s">
        <v>5217</v>
      </c>
    </row>
    <row r="3801" spans="1:25" x14ac:dyDescent="0.2">
      <c r="A3801">
        <v>6564</v>
      </c>
      <c r="B3801" t="s">
        <v>7809</v>
      </c>
      <c r="C3801" t="s">
        <v>18</v>
      </c>
      <c r="D3801" t="s">
        <v>496</v>
      </c>
      <c r="E3801" t="s">
        <v>497</v>
      </c>
      <c r="F3801" t="s">
        <v>78</v>
      </c>
      <c r="G3801" t="s">
        <v>17</v>
      </c>
      <c r="H3801" t="b">
        <v>0</v>
      </c>
      <c r="I3801" t="b">
        <v>0</v>
      </c>
      <c r="L3801" t="b">
        <v>0</v>
      </c>
      <c r="M3801" t="s">
        <v>498</v>
      </c>
    </row>
    <row r="3803" spans="1:25" x14ac:dyDescent="0.2">
      <c r="A3803" s="2">
        <v>6566</v>
      </c>
      <c r="B3803" s="2" t="s">
        <v>7819</v>
      </c>
      <c r="C3803" s="2" t="s">
        <v>13</v>
      </c>
      <c r="D3803" s="2" t="s">
        <v>7820</v>
      </c>
      <c r="E3803" s="2" t="s">
        <v>7821</v>
      </c>
      <c r="F3803" s="2" t="s">
        <v>122</v>
      </c>
      <c r="G3803" s="2" t="s">
        <v>17</v>
      </c>
      <c r="H3803" s="2"/>
      <c r="I3803" s="2"/>
      <c r="J3803" s="2"/>
      <c r="K3803" s="2"/>
      <c r="L3803" s="2"/>
      <c r="M3803" s="2"/>
      <c r="N3803" s="2"/>
      <c r="O3803" s="2"/>
      <c r="P3803" s="2"/>
      <c r="Q3803" s="2"/>
      <c r="R3803" s="2"/>
      <c r="S3803" s="2"/>
      <c r="T3803" s="2"/>
      <c r="U3803" s="2"/>
      <c r="V3803" s="2"/>
      <c r="W3803" s="2"/>
      <c r="X3803" s="2"/>
      <c r="Y3803" s="2"/>
    </row>
    <row r="3804" spans="1:25" x14ac:dyDescent="0.2">
      <c r="A3804">
        <v>6567</v>
      </c>
      <c r="B3804" t="s">
        <v>7819</v>
      </c>
      <c r="C3804" t="s">
        <v>18</v>
      </c>
      <c r="D3804" t="s">
        <v>7820</v>
      </c>
      <c r="E3804" t="s">
        <v>407</v>
      </c>
      <c r="F3804" t="s">
        <v>122</v>
      </c>
      <c r="G3804" t="s">
        <v>17</v>
      </c>
      <c r="H3804" t="b">
        <v>1</v>
      </c>
      <c r="K3804" t="b">
        <v>0</v>
      </c>
      <c r="L3804" t="b">
        <v>1</v>
      </c>
      <c r="M3804" t="s">
        <v>7822</v>
      </c>
    </row>
    <row r="3805" spans="1:25" x14ac:dyDescent="0.2">
      <c r="A3805">
        <v>6568</v>
      </c>
      <c r="B3805" t="s">
        <v>7819</v>
      </c>
      <c r="C3805" t="s">
        <v>18</v>
      </c>
      <c r="D3805" t="s">
        <v>7823</v>
      </c>
      <c r="E3805" t="s">
        <v>7824</v>
      </c>
      <c r="F3805" t="s">
        <v>168</v>
      </c>
      <c r="G3805" t="s">
        <v>17</v>
      </c>
      <c r="H3805" t="b">
        <v>0</v>
      </c>
      <c r="K3805" t="b">
        <v>0</v>
      </c>
      <c r="L3805" t="b">
        <v>0</v>
      </c>
      <c r="M3805" t="s">
        <v>7825</v>
      </c>
      <c r="N3805" t="s">
        <v>7826</v>
      </c>
      <c r="O3805" t="s">
        <v>7827</v>
      </c>
      <c r="P3805" t="s">
        <v>7828</v>
      </c>
    </row>
    <row r="3806" spans="1:25" x14ac:dyDescent="0.2">
      <c r="A3806">
        <v>6569</v>
      </c>
      <c r="B3806" t="s">
        <v>7819</v>
      </c>
      <c r="C3806" t="s">
        <v>18</v>
      </c>
      <c r="D3806" t="s">
        <v>1236</v>
      </c>
      <c r="E3806" t="s">
        <v>1237</v>
      </c>
      <c r="F3806" t="s">
        <v>27</v>
      </c>
      <c r="G3806" t="s">
        <v>62</v>
      </c>
      <c r="H3806" t="b">
        <v>0</v>
      </c>
      <c r="K3806" t="b">
        <v>0</v>
      </c>
      <c r="L3806" t="b">
        <v>0</v>
      </c>
    </row>
    <row r="3807" spans="1:25" x14ac:dyDescent="0.2">
      <c r="A3807">
        <v>6570</v>
      </c>
      <c r="B3807" t="s">
        <v>7819</v>
      </c>
      <c r="C3807" t="s">
        <v>18</v>
      </c>
      <c r="D3807" t="s">
        <v>547</v>
      </c>
      <c r="E3807" t="s">
        <v>548</v>
      </c>
      <c r="F3807" t="s">
        <v>78</v>
      </c>
      <c r="G3807" t="s">
        <v>17</v>
      </c>
      <c r="H3807" t="b">
        <v>0</v>
      </c>
      <c r="K3807" t="b">
        <v>0</v>
      </c>
      <c r="L3807" t="b">
        <v>0</v>
      </c>
      <c r="M3807" t="s">
        <v>549</v>
      </c>
      <c r="N3807" t="s">
        <v>550</v>
      </c>
      <c r="O3807" t="s">
        <v>551</v>
      </c>
    </row>
    <row r="3808" spans="1:25" x14ac:dyDescent="0.2">
      <c r="A3808">
        <v>6571</v>
      </c>
      <c r="B3808" t="s">
        <v>7819</v>
      </c>
      <c r="C3808" t="s">
        <v>18</v>
      </c>
      <c r="D3808" t="s">
        <v>5103</v>
      </c>
      <c r="E3808" t="s">
        <v>5104</v>
      </c>
      <c r="F3808" t="s">
        <v>31</v>
      </c>
      <c r="G3808" t="s">
        <v>17</v>
      </c>
      <c r="H3808" t="b">
        <v>0</v>
      </c>
      <c r="K3808" t="b">
        <v>0</v>
      </c>
      <c r="L3808" t="b">
        <v>0</v>
      </c>
      <c r="M3808" t="s">
        <v>5105</v>
      </c>
    </row>
    <row r="3810" spans="1:25" x14ac:dyDescent="0.2">
      <c r="A3810" s="2">
        <v>6573</v>
      </c>
      <c r="B3810" s="2" t="s">
        <v>7829</v>
      </c>
      <c r="C3810" s="2" t="s">
        <v>13</v>
      </c>
      <c r="D3810" s="2" t="s">
        <v>7830</v>
      </c>
      <c r="E3810" s="2" t="s">
        <v>7831</v>
      </c>
      <c r="F3810" s="2" t="s">
        <v>168</v>
      </c>
      <c r="G3810" s="2" t="s">
        <v>24</v>
      </c>
      <c r="H3810" s="2"/>
      <c r="I3810" s="2"/>
      <c r="J3810" s="2"/>
      <c r="K3810" s="2"/>
      <c r="L3810" s="2"/>
      <c r="M3810" s="2"/>
      <c r="N3810" s="2"/>
      <c r="O3810" s="2"/>
      <c r="P3810" s="2"/>
      <c r="Q3810" s="2"/>
      <c r="R3810" s="2"/>
      <c r="S3810" s="2"/>
      <c r="T3810" s="2"/>
      <c r="U3810" s="2"/>
      <c r="V3810" s="2"/>
      <c r="W3810" s="2"/>
      <c r="X3810" s="2"/>
      <c r="Y3810" s="2"/>
    </row>
    <row r="3811" spans="1:25" x14ac:dyDescent="0.2">
      <c r="A3811">
        <v>6574</v>
      </c>
      <c r="B3811" t="s">
        <v>7829</v>
      </c>
      <c r="C3811" t="s">
        <v>18</v>
      </c>
      <c r="D3811" t="s">
        <v>7830</v>
      </c>
      <c r="E3811" t="s">
        <v>7832</v>
      </c>
      <c r="F3811" t="s">
        <v>168</v>
      </c>
      <c r="G3811" t="s">
        <v>24</v>
      </c>
      <c r="H3811" t="b">
        <v>1</v>
      </c>
      <c r="K3811" t="b">
        <v>1</v>
      </c>
      <c r="L3811" t="b">
        <v>1</v>
      </c>
      <c r="M3811" t="s">
        <v>7833</v>
      </c>
    </row>
    <row r="3812" spans="1:25" x14ac:dyDescent="0.2">
      <c r="A3812">
        <v>6575</v>
      </c>
      <c r="B3812" t="s">
        <v>7829</v>
      </c>
      <c r="C3812" t="s">
        <v>18</v>
      </c>
      <c r="D3812" t="s">
        <v>7834</v>
      </c>
      <c r="E3812" t="s">
        <v>7835</v>
      </c>
      <c r="F3812" t="s">
        <v>168</v>
      </c>
      <c r="G3812" t="s">
        <v>24</v>
      </c>
      <c r="H3812" t="b">
        <v>1</v>
      </c>
      <c r="K3812" t="b">
        <v>1</v>
      </c>
      <c r="L3812" t="b">
        <v>1</v>
      </c>
      <c r="M3812" t="s">
        <v>7836</v>
      </c>
      <c r="N3812" t="s">
        <v>7837</v>
      </c>
    </row>
    <row r="3813" spans="1:25" x14ac:dyDescent="0.2">
      <c r="A3813">
        <v>6576</v>
      </c>
      <c r="B3813" t="s">
        <v>7829</v>
      </c>
      <c r="C3813" t="s">
        <v>18</v>
      </c>
      <c r="D3813" t="s">
        <v>7838</v>
      </c>
      <c r="E3813" t="s">
        <v>7839</v>
      </c>
      <c r="F3813" t="s">
        <v>168</v>
      </c>
      <c r="G3813" t="s">
        <v>24</v>
      </c>
      <c r="H3813" t="b">
        <v>0</v>
      </c>
      <c r="K3813" t="b">
        <v>0</v>
      </c>
      <c r="L3813" t="b">
        <v>0</v>
      </c>
      <c r="M3813" t="s">
        <v>7840</v>
      </c>
      <c r="N3813" t="s">
        <v>7841</v>
      </c>
    </row>
    <row r="3814" spans="1:25" x14ac:dyDescent="0.2">
      <c r="A3814">
        <v>6577</v>
      </c>
      <c r="B3814" t="s">
        <v>7829</v>
      </c>
      <c r="C3814" t="s">
        <v>18</v>
      </c>
      <c r="D3814" t="s">
        <v>7842</v>
      </c>
      <c r="E3814" t="s">
        <v>1072</v>
      </c>
      <c r="F3814" t="s">
        <v>168</v>
      </c>
      <c r="G3814" t="s">
        <v>24</v>
      </c>
      <c r="H3814" t="b">
        <v>0</v>
      </c>
      <c r="K3814" t="b">
        <v>0</v>
      </c>
      <c r="L3814" t="b">
        <v>0</v>
      </c>
      <c r="M3814" t="s">
        <v>7843</v>
      </c>
    </row>
    <row r="3815" spans="1:25" x14ac:dyDescent="0.2">
      <c r="A3815">
        <v>6578</v>
      </c>
      <c r="B3815" t="s">
        <v>7829</v>
      </c>
      <c r="C3815" t="s">
        <v>18</v>
      </c>
      <c r="D3815" t="s">
        <v>7844</v>
      </c>
      <c r="E3815" t="s">
        <v>7845</v>
      </c>
      <c r="F3815" t="s">
        <v>168</v>
      </c>
      <c r="G3815" t="s">
        <v>24</v>
      </c>
      <c r="H3815" t="b">
        <v>0</v>
      </c>
      <c r="K3815" t="b">
        <v>0</v>
      </c>
      <c r="L3815" t="b">
        <v>0</v>
      </c>
    </row>
    <row r="3817" spans="1:25" x14ac:dyDescent="0.2">
      <c r="A3817" s="2">
        <v>658</v>
      </c>
      <c r="B3817" s="2" t="s">
        <v>7846</v>
      </c>
      <c r="C3817" s="2" t="s">
        <v>13</v>
      </c>
      <c r="D3817" s="2" t="s">
        <v>7847</v>
      </c>
      <c r="E3817" s="2" t="s">
        <v>7848</v>
      </c>
      <c r="F3817" s="2" t="s">
        <v>561</v>
      </c>
      <c r="G3817" s="2" t="s">
        <v>252</v>
      </c>
      <c r="H3817" s="2"/>
      <c r="I3817" s="2"/>
      <c r="J3817" s="2"/>
      <c r="K3817" s="2"/>
      <c r="L3817" s="2"/>
      <c r="M3817" s="2"/>
      <c r="N3817" s="2"/>
      <c r="O3817" s="2"/>
      <c r="P3817" s="2"/>
      <c r="Q3817" s="2"/>
      <c r="R3817" s="2"/>
      <c r="S3817" s="2"/>
      <c r="T3817" s="2"/>
      <c r="U3817" s="2"/>
      <c r="V3817" s="2"/>
      <c r="W3817" s="2"/>
      <c r="X3817" s="2"/>
      <c r="Y3817" s="2"/>
    </row>
    <row r="3818" spans="1:25" x14ac:dyDescent="0.2">
      <c r="A3818">
        <v>659</v>
      </c>
      <c r="B3818" t="s">
        <v>7846</v>
      </c>
      <c r="C3818" t="s">
        <v>18</v>
      </c>
      <c r="D3818" t="s">
        <v>7849</v>
      </c>
      <c r="E3818" t="s">
        <v>7850</v>
      </c>
      <c r="F3818" t="s">
        <v>561</v>
      </c>
      <c r="G3818" t="s">
        <v>252</v>
      </c>
      <c r="H3818" t="b">
        <v>1</v>
      </c>
      <c r="K3818" t="b">
        <v>1</v>
      </c>
      <c r="L3818" t="b">
        <v>1</v>
      </c>
      <c r="M3818" t="s">
        <v>7851</v>
      </c>
    </row>
    <row r="3819" spans="1:25" x14ac:dyDescent="0.2">
      <c r="A3819">
        <v>660</v>
      </c>
      <c r="B3819" t="s">
        <v>7846</v>
      </c>
      <c r="C3819" t="s">
        <v>18</v>
      </c>
      <c r="D3819" t="s">
        <v>7847</v>
      </c>
      <c r="E3819" t="s">
        <v>7852</v>
      </c>
      <c r="F3819" t="s">
        <v>561</v>
      </c>
      <c r="G3819" t="s">
        <v>252</v>
      </c>
      <c r="H3819" t="b">
        <v>1</v>
      </c>
      <c r="K3819" t="b">
        <v>1</v>
      </c>
      <c r="L3819" t="b">
        <v>1</v>
      </c>
      <c r="M3819" t="s">
        <v>7853</v>
      </c>
    </row>
    <row r="3820" spans="1:25" x14ac:dyDescent="0.2">
      <c r="A3820">
        <v>661</v>
      </c>
      <c r="B3820" t="s">
        <v>7846</v>
      </c>
      <c r="C3820" t="s">
        <v>18</v>
      </c>
      <c r="D3820" t="s">
        <v>7854</v>
      </c>
      <c r="E3820" t="s">
        <v>7855</v>
      </c>
      <c r="F3820" t="s">
        <v>574</v>
      </c>
      <c r="G3820" t="s">
        <v>252</v>
      </c>
      <c r="H3820" t="b">
        <v>0</v>
      </c>
      <c r="K3820" t="b">
        <v>0</v>
      </c>
      <c r="L3820" t="b">
        <v>0</v>
      </c>
    </row>
    <row r="3821" spans="1:25" x14ac:dyDescent="0.2">
      <c r="A3821">
        <v>662</v>
      </c>
      <c r="B3821" t="s">
        <v>7846</v>
      </c>
      <c r="C3821" t="s">
        <v>18</v>
      </c>
      <c r="D3821" t="s">
        <v>7856</v>
      </c>
      <c r="E3821" t="s">
        <v>7857</v>
      </c>
      <c r="F3821" t="s">
        <v>574</v>
      </c>
      <c r="G3821" t="s">
        <v>252</v>
      </c>
      <c r="H3821" t="b">
        <v>0</v>
      </c>
      <c r="K3821" t="b">
        <v>0</v>
      </c>
      <c r="L3821" t="b">
        <v>0</v>
      </c>
      <c r="M3821" t="s">
        <v>7858</v>
      </c>
    </row>
    <row r="3822" spans="1:25" x14ac:dyDescent="0.2">
      <c r="A3822">
        <v>663</v>
      </c>
      <c r="B3822" t="s">
        <v>7846</v>
      </c>
      <c r="C3822" t="s">
        <v>18</v>
      </c>
      <c r="D3822" t="s">
        <v>7859</v>
      </c>
      <c r="E3822" t="s">
        <v>7860</v>
      </c>
      <c r="F3822" t="s">
        <v>82</v>
      </c>
      <c r="G3822" t="s">
        <v>252</v>
      </c>
      <c r="H3822" t="b">
        <v>0</v>
      </c>
      <c r="K3822" t="b">
        <v>0</v>
      </c>
      <c r="L3822" t="b">
        <v>0</v>
      </c>
      <c r="M3822" t="s">
        <v>7861</v>
      </c>
    </row>
    <row r="3824" spans="1:25" x14ac:dyDescent="0.2">
      <c r="A3824" s="2">
        <v>6580</v>
      </c>
      <c r="B3824" s="2" t="s">
        <v>7862</v>
      </c>
      <c r="C3824" s="2" t="s">
        <v>13</v>
      </c>
      <c r="D3824" s="2" t="s">
        <v>1642</v>
      </c>
      <c r="E3824" s="2" t="s">
        <v>1643</v>
      </c>
      <c r="F3824" s="2" t="s">
        <v>174</v>
      </c>
      <c r="G3824" s="2" t="s">
        <v>17</v>
      </c>
      <c r="H3824" s="2"/>
      <c r="I3824" s="2"/>
      <c r="J3824" s="2"/>
      <c r="K3824" s="2"/>
      <c r="L3824" s="2"/>
      <c r="M3824" s="2"/>
      <c r="N3824" s="2"/>
      <c r="O3824" s="2"/>
      <c r="P3824" s="2"/>
      <c r="Q3824" s="2"/>
      <c r="R3824" s="2"/>
      <c r="S3824" s="2"/>
      <c r="T3824" s="2"/>
      <c r="U3824" s="2"/>
      <c r="V3824" s="2"/>
      <c r="W3824" s="2"/>
      <c r="X3824" s="2"/>
      <c r="Y3824" s="2"/>
    </row>
    <row r="3825" spans="1:25" x14ac:dyDescent="0.2">
      <c r="A3825">
        <v>6581</v>
      </c>
      <c r="B3825" t="s">
        <v>7862</v>
      </c>
      <c r="C3825" t="s">
        <v>18</v>
      </c>
      <c r="D3825" t="s">
        <v>1642</v>
      </c>
      <c r="E3825" t="s">
        <v>1643</v>
      </c>
      <c r="F3825" t="s">
        <v>174</v>
      </c>
      <c r="G3825" t="s">
        <v>17</v>
      </c>
      <c r="H3825" t="b">
        <v>1</v>
      </c>
      <c r="K3825" t="b">
        <v>1</v>
      </c>
      <c r="L3825" t="b">
        <v>1</v>
      </c>
      <c r="M3825" t="s">
        <v>1644</v>
      </c>
      <c r="N3825" t="s">
        <v>1645</v>
      </c>
    </row>
    <row r="3826" spans="1:25" x14ac:dyDescent="0.2">
      <c r="A3826">
        <v>6582</v>
      </c>
      <c r="B3826" t="s">
        <v>7862</v>
      </c>
      <c r="C3826" t="s">
        <v>18</v>
      </c>
      <c r="D3826" t="s">
        <v>1640</v>
      </c>
      <c r="E3826" t="s">
        <v>1641</v>
      </c>
      <c r="F3826" t="s">
        <v>174</v>
      </c>
      <c r="G3826" t="s">
        <v>17</v>
      </c>
      <c r="H3826" t="b">
        <v>0</v>
      </c>
      <c r="K3826" t="b">
        <v>0</v>
      </c>
      <c r="L3826" t="b">
        <v>0</v>
      </c>
    </row>
    <row r="3827" spans="1:25" x14ac:dyDescent="0.2">
      <c r="A3827">
        <v>6583</v>
      </c>
      <c r="B3827" t="s">
        <v>7862</v>
      </c>
      <c r="C3827" t="s">
        <v>18</v>
      </c>
      <c r="D3827" t="s">
        <v>7863</v>
      </c>
      <c r="E3827" t="s">
        <v>7864</v>
      </c>
      <c r="F3827" t="s">
        <v>174</v>
      </c>
      <c r="G3827" t="s">
        <v>17</v>
      </c>
      <c r="H3827" t="b">
        <v>0</v>
      </c>
      <c r="K3827" t="b">
        <v>0</v>
      </c>
      <c r="L3827" t="b">
        <v>0</v>
      </c>
      <c r="M3827" t="s">
        <v>7865</v>
      </c>
      <c r="N3827" t="s">
        <v>7866</v>
      </c>
    </row>
    <row r="3828" spans="1:25" x14ac:dyDescent="0.2">
      <c r="A3828">
        <v>6584</v>
      </c>
      <c r="B3828" t="s">
        <v>7862</v>
      </c>
      <c r="C3828" t="s">
        <v>18</v>
      </c>
      <c r="D3828" t="s">
        <v>7867</v>
      </c>
      <c r="E3828" t="s">
        <v>7868</v>
      </c>
      <c r="F3828" t="s">
        <v>174</v>
      </c>
      <c r="G3828" t="s">
        <v>17</v>
      </c>
      <c r="H3828" t="b">
        <v>0</v>
      </c>
      <c r="K3828" t="b">
        <v>0</v>
      </c>
      <c r="L3828" t="b">
        <v>0</v>
      </c>
      <c r="M3828" t="s">
        <v>7869</v>
      </c>
      <c r="N3828" t="s">
        <v>7870</v>
      </c>
    </row>
    <row r="3829" spans="1:25" x14ac:dyDescent="0.2">
      <c r="A3829">
        <v>6585</v>
      </c>
      <c r="B3829" t="s">
        <v>7862</v>
      </c>
      <c r="C3829" t="s">
        <v>18</v>
      </c>
      <c r="D3829" t="s">
        <v>7871</v>
      </c>
      <c r="E3829" t="s">
        <v>7872</v>
      </c>
      <c r="F3829" t="s">
        <v>174</v>
      </c>
      <c r="G3829" t="s">
        <v>17</v>
      </c>
      <c r="H3829" t="b">
        <v>0</v>
      </c>
      <c r="K3829" t="b">
        <v>0</v>
      </c>
      <c r="L3829" t="b">
        <v>0</v>
      </c>
      <c r="M3829" t="s">
        <v>7873</v>
      </c>
    </row>
    <row r="3831" spans="1:25" x14ac:dyDescent="0.2">
      <c r="A3831" s="2">
        <v>6601</v>
      </c>
      <c r="B3831" s="2" t="s">
        <v>7874</v>
      </c>
      <c r="C3831" s="2" t="s">
        <v>13</v>
      </c>
      <c r="D3831" s="2" t="s">
        <v>5792</v>
      </c>
      <c r="E3831" s="2" t="s">
        <v>7875</v>
      </c>
      <c r="F3831" s="2" t="s">
        <v>78</v>
      </c>
      <c r="G3831" s="2" t="s">
        <v>24</v>
      </c>
      <c r="H3831" s="2"/>
      <c r="I3831" s="2"/>
      <c r="J3831" s="2"/>
      <c r="K3831" s="2"/>
      <c r="L3831" s="2"/>
      <c r="M3831" s="2"/>
      <c r="N3831" s="2"/>
      <c r="O3831" s="2"/>
      <c r="P3831" s="2"/>
      <c r="Q3831" s="2"/>
      <c r="R3831" s="2"/>
      <c r="S3831" s="2"/>
      <c r="T3831" s="2"/>
      <c r="U3831" s="2"/>
      <c r="V3831" s="2"/>
      <c r="W3831" s="2"/>
      <c r="X3831" s="2"/>
      <c r="Y3831" s="2"/>
    </row>
    <row r="3832" spans="1:25" x14ac:dyDescent="0.2">
      <c r="A3832">
        <v>6602</v>
      </c>
      <c r="B3832" t="s">
        <v>7874</v>
      </c>
      <c r="C3832" t="s">
        <v>18</v>
      </c>
      <c r="D3832" t="s">
        <v>5792</v>
      </c>
      <c r="E3832" t="s">
        <v>5793</v>
      </c>
      <c r="F3832" t="s">
        <v>78</v>
      </c>
      <c r="G3832" t="s">
        <v>24</v>
      </c>
      <c r="H3832" t="b">
        <v>1</v>
      </c>
      <c r="I3832" t="b">
        <v>1</v>
      </c>
      <c r="L3832" t="b">
        <v>1</v>
      </c>
      <c r="M3832" t="s">
        <v>5794</v>
      </c>
      <c r="N3832" t="s">
        <v>5795</v>
      </c>
    </row>
    <row r="3833" spans="1:25" x14ac:dyDescent="0.2">
      <c r="A3833">
        <v>6603</v>
      </c>
      <c r="B3833" t="s">
        <v>7874</v>
      </c>
      <c r="C3833" t="s">
        <v>18</v>
      </c>
      <c r="D3833" t="s">
        <v>7876</v>
      </c>
      <c r="E3833" t="s">
        <v>6196</v>
      </c>
      <c r="F3833" t="s">
        <v>78</v>
      </c>
      <c r="G3833" t="s">
        <v>24</v>
      </c>
      <c r="H3833" t="b">
        <v>1</v>
      </c>
      <c r="I3833" t="b">
        <v>1</v>
      </c>
      <c r="L3833" t="b">
        <v>1</v>
      </c>
      <c r="M3833" t="s">
        <v>7877</v>
      </c>
      <c r="N3833" t="s">
        <v>7878</v>
      </c>
    </row>
    <row r="3834" spans="1:25" x14ac:dyDescent="0.2">
      <c r="A3834">
        <v>6604</v>
      </c>
      <c r="B3834" t="s">
        <v>7874</v>
      </c>
      <c r="C3834" t="s">
        <v>18</v>
      </c>
      <c r="D3834" t="s">
        <v>5787</v>
      </c>
      <c r="E3834" t="s">
        <v>2203</v>
      </c>
      <c r="F3834" t="s">
        <v>78</v>
      </c>
      <c r="G3834" t="s">
        <v>24</v>
      </c>
      <c r="H3834" t="b">
        <v>0</v>
      </c>
      <c r="I3834" t="b">
        <v>0</v>
      </c>
      <c r="L3834" t="b">
        <v>0</v>
      </c>
      <c r="M3834" t="s">
        <v>5788</v>
      </c>
      <c r="N3834" t="s">
        <v>5789</v>
      </c>
    </row>
    <row r="3835" spans="1:25" x14ac:dyDescent="0.2">
      <c r="A3835">
        <v>6605</v>
      </c>
      <c r="B3835" t="s">
        <v>7874</v>
      </c>
      <c r="C3835" t="s">
        <v>18</v>
      </c>
      <c r="D3835" t="s">
        <v>7879</v>
      </c>
      <c r="E3835" t="s">
        <v>6609</v>
      </c>
      <c r="F3835" t="s">
        <v>78</v>
      </c>
      <c r="G3835" t="s">
        <v>24</v>
      </c>
      <c r="H3835" t="b">
        <v>0</v>
      </c>
      <c r="I3835" t="b">
        <v>0</v>
      </c>
      <c r="L3835" t="b">
        <v>0</v>
      </c>
      <c r="M3835" t="s">
        <v>7880</v>
      </c>
      <c r="N3835" t="s">
        <v>7881</v>
      </c>
    </row>
    <row r="3836" spans="1:25" x14ac:dyDescent="0.2">
      <c r="A3836">
        <v>6606</v>
      </c>
      <c r="B3836" t="s">
        <v>7874</v>
      </c>
      <c r="C3836" t="s">
        <v>18</v>
      </c>
      <c r="D3836" t="s">
        <v>7882</v>
      </c>
      <c r="E3836" t="s">
        <v>2203</v>
      </c>
      <c r="F3836" t="s">
        <v>670</v>
      </c>
      <c r="G3836" t="s">
        <v>1047</v>
      </c>
      <c r="H3836" t="b">
        <v>0</v>
      </c>
      <c r="I3836" t="b">
        <v>0</v>
      </c>
      <c r="L3836" t="b">
        <v>0</v>
      </c>
      <c r="M3836" t="s">
        <v>7883</v>
      </c>
      <c r="N3836" t="s">
        <v>7884</v>
      </c>
    </row>
    <row r="3838" spans="1:25" x14ac:dyDescent="0.2">
      <c r="A3838" s="2">
        <v>6643</v>
      </c>
      <c r="B3838" s="2" t="s">
        <v>7885</v>
      </c>
      <c r="C3838" s="2" t="s">
        <v>13</v>
      </c>
      <c r="D3838" s="2" t="s">
        <v>7886</v>
      </c>
      <c r="E3838" s="2" t="s">
        <v>7887</v>
      </c>
      <c r="F3838" s="2" t="s">
        <v>420</v>
      </c>
      <c r="G3838" s="2" t="s">
        <v>252</v>
      </c>
      <c r="H3838" s="2"/>
      <c r="I3838" s="2"/>
      <c r="J3838" s="2"/>
      <c r="K3838" s="2"/>
      <c r="L3838" s="2"/>
      <c r="M3838" s="2"/>
      <c r="N3838" s="2"/>
      <c r="O3838" s="2"/>
      <c r="P3838" s="2"/>
      <c r="Q3838" s="2"/>
      <c r="R3838" s="2"/>
      <c r="S3838" s="2"/>
      <c r="T3838" s="2"/>
      <c r="U3838" s="2"/>
      <c r="V3838" s="2"/>
      <c r="W3838" s="2"/>
      <c r="X3838" s="2"/>
      <c r="Y3838" s="2"/>
    </row>
    <row r="3839" spans="1:25" x14ac:dyDescent="0.2">
      <c r="A3839">
        <v>6644</v>
      </c>
      <c r="B3839" t="s">
        <v>7885</v>
      </c>
      <c r="C3839" t="s">
        <v>18</v>
      </c>
      <c r="D3839" t="s">
        <v>7886</v>
      </c>
      <c r="E3839" t="s">
        <v>7887</v>
      </c>
      <c r="F3839" t="s">
        <v>82</v>
      </c>
      <c r="G3839" t="s">
        <v>252</v>
      </c>
      <c r="H3839" t="b">
        <v>1</v>
      </c>
      <c r="K3839" t="b">
        <v>1</v>
      </c>
      <c r="L3839" t="b">
        <v>1</v>
      </c>
      <c r="M3839" t="s">
        <v>7888</v>
      </c>
      <c r="N3839" t="s">
        <v>7889</v>
      </c>
    </row>
    <row r="3840" spans="1:25" x14ac:dyDescent="0.2">
      <c r="A3840">
        <v>6645</v>
      </c>
      <c r="B3840" t="s">
        <v>7885</v>
      </c>
      <c r="C3840" t="s">
        <v>18</v>
      </c>
      <c r="D3840" t="s">
        <v>7890</v>
      </c>
      <c r="E3840" t="s">
        <v>7891</v>
      </c>
      <c r="F3840" t="s">
        <v>7892</v>
      </c>
      <c r="G3840" t="s">
        <v>252</v>
      </c>
      <c r="H3840" t="b">
        <v>0</v>
      </c>
      <c r="K3840" t="b">
        <v>0</v>
      </c>
      <c r="L3840" t="b">
        <v>0</v>
      </c>
      <c r="M3840" t="s">
        <v>7893</v>
      </c>
    </row>
    <row r="3841" spans="1:25" x14ac:dyDescent="0.2">
      <c r="A3841">
        <v>6646</v>
      </c>
      <c r="B3841" t="s">
        <v>7885</v>
      </c>
      <c r="C3841" t="s">
        <v>18</v>
      </c>
      <c r="D3841" t="s">
        <v>5106</v>
      </c>
      <c r="E3841" t="s">
        <v>5107</v>
      </c>
      <c r="F3841" t="s">
        <v>420</v>
      </c>
      <c r="G3841" t="s">
        <v>252</v>
      </c>
      <c r="H3841" t="b">
        <v>0</v>
      </c>
      <c r="K3841" t="b">
        <v>0</v>
      </c>
      <c r="L3841" t="b">
        <v>0</v>
      </c>
      <c r="M3841" t="s">
        <v>5108</v>
      </c>
      <c r="N3841" t="s">
        <v>5109</v>
      </c>
    </row>
    <row r="3842" spans="1:25" x14ac:dyDescent="0.2">
      <c r="A3842">
        <v>6647</v>
      </c>
      <c r="B3842" t="s">
        <v>7885</v>
      </c>
      <c r="C3842" t="s">
        <v>18</v>
      </c>
      <c r="D3842" t="s">
        <v>7894</v>
      </c>
      <c r="E3842" t="s">
        <v>1316</v>
      </c>
      <c r="F3842" t="s">
        <v>420</v>
      </c>
      <c r="G3842" t="s">
        <v>252</v>
      </c>
      <c r="H3842" t="b">
        <v>0</v>
      </c>
      <c r="K3842" t="b">
        <v>0</v>
      </c>
      <c r="L3842" t="b">
        <v>0</v>
      </c>
      <c r="M3842" t="s">
        <v>7895</v>
      </c>
      <c r="N3842" t="s">
        <v>7896</v>
      </c>
    </row>
    <row r="3843" spans="1:25" x14ac:dyDescent="0.2">
      <c r="A3843">
        <v>6648</v>
      </c>
      <c r="B3843" t="s">
        <v>7885</v>
      </c>
      <c r="C3843" t="s">
        <v>18</v>
      </c>
      <c r="D3843" t="s">
        <v>6874</v>
      </c>
      <c r="E3843" t="s">
        <v>5951</v>
      </c>
      <c r="F3843" t="s">
        <v>420</v>
      </c>
      <c r="G3843" t="s">
        <v>252</v>
      </c>
      <c r="H3843" t="b">
        <v>0</v>
      </c>
      <c r="K3843" t="b">
        <v>0</v>
      </c>
      <c r="L3843" t="b">
        <v>0</v>
      </c>
      <c r="M3843" t="s">
        <v>6875</v>
      </c>
      <c r="N3843" t="s">
        <v>6876</v>
      </c>
    </row>
    <row r="3845" spans="1:25" x14ac:dyDescent="0.2">
      <c r="A3845" s="2">
        <v>665</v>
      </c>
      <c r="B3845" s="2" t="s">
        <v>7897</v>
      </c>
      <c r="C3845" s="2" t="s">
        <v>13</v>
      </c>
      <c r="D3845" s="2" t="s">
        <v>7460</v>
      </c>
      <c r="E3845" s="2" t="s">
        <v>7898</v>
      </c>
      <c r="F3845" s="2" t="s">
        <v>205</v>
      </c>
      <c r="G3845" s="2" t="s">
        <v>252</v>
      </c>
      <c r="H3845" s="2"/>
      <c r="I3845" s="2"/>
      <c r="J3845" s="2"/>
      <c r="K3845" s="2"/>
      <c r="L3845" s="2"/>
      <c r="M3845" s="2"/>
      <c r="N3845" s="2"/>
      <c r="O3845" s="2"/>
      <c r="P3845" s="2"/>
      <c r="Q3845" s="2"/>
      <c r="R3845" s="2"/>
      <c r="S3845" s="2"/>
      <c r="T3845" s="2"/>
      <c r="U3845" s="2"/>
      <c r="V3845" s="2"/>
      <c r="W3845" s="2"/>
      <c r="X3845" s="2"/>
      <c r="Y3845" s="2"/>
    </row>
    <row r="3846" spans="1:25" x14ac:dyDescent="0.2">
      <c r="A3846">
        <v>666</v>
      </c>
      <c r="B3846" t="s">
        <v>7897</v>
      </c>
      <c r="C3846" t="s">
        <v>18</v>
      </c>
      <c r="D3846" t="s">
        <v>7460</v>
      </c>
      <c r="E3846" t="s">
        <v>5286</v>
      </c>
      <c r="F3846" t="s">
        <v>205</v>
      </c>
      <c r="G3846" t="s">
        <v>252</v>
      </c>
      <c r="H3846" t="b">
        <v>1</v>
      </c>
      <c r="K3846" t="b">
        <v>1</v>
      </c>
      <c r="L3846" t="b">
        <v>1</v>
      </c>
      <c r="M3846" t="s">
        <v>7461</v>
      </c>
      <c r="N3846" t="s">
        <v>7462</v>
      </c>
    </row>
    <row r="3847" spans="1:25" x14ac:dyDescent="0.2">
      <c r="A3847">
        <v>667</v>
      </c>
      <c r="B3847" t="s">
        <v>7897</v>
      </c>
      <c r="C3847" t="s">
        <v>18</v>
      </c>
      <c r="D3847" t="s">
        <v>7457</v>
      </c>
      <c r="E3847" t="s">
        <v>7381</v>
      </c>
      <c r="F3847" t="s">
        <v>205</v>
      </c>
      <c r="G3847" t="s">
        <v>252</v>
      </c>
      <c r="H3847" t="b">
        <v>1</v>
      </c>
      <c r="K3847" t="b">
        <v>1</v>
      </c>
      <c r="L3847" t="b">
        <v>1</v>
      </c>
      <c r="M3847" t="s">
        <v>7458</v>
      </c>
      <c r="N3847" t="s">
        <v>7459</v>
      </c>
    </row>
    <row r="3848" spans="1:25" x14ac:dyDescent="0.2">
      <c r="A3848">
        <v>668</v>
      </c>
      <c r="B3848" t="s">
        <v>7897</v>
      </c>
      <c r="C3848" t="s">
        <v>18</v>
      </c>
      <c r="D3848" t="s">
        <v>7899</v>
      </c>
      <c r="E3848" t="s">
        <v>7900</v>
      </c>
      <c r="F3848" t="s">
        <v>205</v>
      </c>
      <c r="G3848" t="s">
        <v>252</v>
      </c>
      <c r="H3848" t="b">
        <v>0</v>
      </c>
      <c r="K3848" t="b">
        <v>0</v>
      </c>
      <c r="L3848" t="b">
        <v>0</v>
      </c>
      <c r="M3848" t="s">
        <v>7901</v>
      </c>
      <c r="N3848" t="s">
        <v>7902</v>
      </c>
    </row>
    <row r="3849" spans="1:25" x14ac:dyDescent="0.2">
      <c r="A3849">
        <v>669</v>
      </c>
      <c r="B3849" t="s">
        <v>7897</v>
      </c>
      <c r="C3849" t="s">
        <v>18</v>
      </c>
      <c r="D3849" t="s">
        <v>7903</v>
      </c>
      <c r="E3849" t="s">
        <v>7904</v>
      </c>
      <c r="F3849" t="s">
        <v>248</v>
      </c>
      <c r="G3849" t="s">
        <v>252</v>
      </c>
      <c r="H3849" t="b">
        <v>0</v>
      </c>
      <c r="K3849" t="b">
        <v>0</v>
      </c>
      <c r="L3849" t="b">
        <v>0</v>
      </c>
      <c r="M3849" t="s">
        <v>7905</v>
      </c>
    </row>
    <row r="3850" spans="1:25" x14ac:dyDescent="0.2">
      <c r="A3850">
        <v>670</v>
      </c>
      <c r="B3850" t="s">
        <v>7897</v>
      </c>
      <c r="C3850" t="s">
        <v>18</v>
      </c>
      <c r="D3850" t="s">
        <v>4307</v>
      </c>
      <c r="E3850" t="s">
        <v>4308</v>
      </c>
      <c r="F3850" t="s">
        <v>420</v>
      </c>
      <c r="G3850" t="s">
        <v>252</v>
      </c>
      <c r="H3850" t="b">
        <v>0</v>
      </c>
      <c r="K3850" t="b">
        <v>0</v>
      </c>
      <c r="L3850" t="b">
        <v>0</v>
      </c>
      <c r="M3850" t="s">
        <v>4309</v>
      </c>
      <c r="N3850" t="s">
        <v>4310</v>
      </c>
    </row>
    <row r="3852" spans="1:25" x14ac:dyDescent="0.2">
      <c r="A3852" s="2">
        <v>6657</v>
      </c>
      <c r="B3852" s="2" t="s">
        <v>7906</v>
      </c>
      <c r="C3852" s="2" t="s">
        <v>13</v>
      </c>
      <c r="D3852" s="2" t="s">
        <v>7907</v>
      </c>
      <c r="E3852" s="2" t="s">
        <v>7908</v>
      </c>
      <c r="F3852" s="2" t="s">
        <v>23</v>
      </c>
      <c r="G3852" s="2" t="s">
        <v>17</v>
      </c>
      <c r="H3852" s="2"/>
      <c r="I3852" s="2"/>
      <c r="J3852" s="2"/>
      <c r="K3852" s="2"/>
      <c r="L3852" s="2"/>
      <c r="M3852" s="2"/>
      <c r="N3852" s="2"/>
      <c r="O3852" s="2"/>
      <c r="P3852" s="2"/>
      <c r="Q3852" s="2"/>
      <c r="R3852" s="2"/>
      <c r="S3852" s="2"/>
      <c r="T3852" s="2"/>
      <c r="U3852" s="2"/>
      <c r="V3852" s="2"/>
      <c r="W3852" s="2"/>
      <c r="X3852" s="2"/>
      <c r="Y3852" s="2"/>
    </row>
    <row r="3853" spans="1:25" x14ac:dyDescent="0.2">
      <c r="A3853">
        <v>6658</v>
      </c>
      <c r="B3853" t="s">
        <v>7906</v>
      </c>
      <c r="C3853" t="s">
        <v>18</v>
      </c>
      <c r="D3853" t="s">
        <v>7907</v>
      </c>
      <c r="E3853" t="s">
        <v>2447</v>
      </c>
      <c r="F3853" t="s">
        <v>23</v>
      </c>
      <c r="G3853" t="s">
        <v>17</v>
      </c>
      <c r="H3853" t="b">
        <v>1</v>
      </c>
      <c r="I3853" t="b">
        <v>1</v>
      </c>
      <c r="L3853" t="b">
        <v>1</v>
      </c>
      <c r="M3853" t="s">
        <v>7909</v>
      </c>
    </row>
    <row r="3854" spans="1:25" x14ac:dyDescent="0.2">
      <c r="A3854">
        <v>6659</v>
      </c>
      <c r="B3854" t="s">
        <v>7906</v>
      </c>
      <c r="C3854" t="s">
        <v>18</v>
      </c>
      <c r="D3854" t="s">
        <v>7910</v>
      </c>
      <c r="E3854" t="s">
        <v>7911</v>
      </c>
      <c r="F3854" t="s">
        <v>23</v>
      </c>
      <c r="G3854" t="s">
        <v>17</v>
      </c>
      <c r="H3854" t="b">
        <v>1</v>
      </c>
      <c r="I3854" t="b">
        <v>1</v>
      </c>
      <c r="L3854" t="b">
        <v>1</v>
      </c>
      <c r="M3854" t="s">
        <v>7912</v>
      </c>
    </row>
    <row r="3855" spans="1:25" x14ac:dyDescent="0.2">
      <c r="A3855">
        <v>6660</v>
      </c>
      <c r="B3855" t="s">
        <v>7906</v>
      </c>
      <c r="C3855" t="s">
        <v>18</v>
      </c>
      <c r="D3855" t="s">
        <v>7913</v>
      </c>
      <c r="E3855" t="s">
        <v>7914</v>
      </c>
      <c r="F3855" t="s">
        <v>174</v>
      </c>
      <c r="G3855" t="s">
        <v>17</v>
      </c>
      <c r="H3855" t="b">
        <v>0</v>
      </c>
      <c r="I3855" t="b">
        <v>0</v>
      </c>
      <c r="L3855" t="b">
        <v>0</v>
      </c>
      <c r="M3855" t="s">
        <v>7915</v>
      </c>
      <c r="N3855" t="s">
        <v>7916</v>
      </c>
    </row>
    <row r="3856" spans="1:25" x14ac:dyDescent="0.2">
      <c r="A3856">
        <v>6661</v>
      </c>
      <c r="B3856" t="s">
        <v>7906</v>
      </c>
      <c r="C3856" t="s">
        <v>18</v>
      </c>
      <c r="D3856" t="s">
        <v>7917</v>
      </c>
      <c r="E3856" t="s">
        <v>7918</v>
      </c>
      <c r="F3856" t="s">
        <v>174</v>
      </c>
      <c r="G3856" t="s">
        <v>17</v>
      </c>
      <c r="H3856" t="b">
        <v>0</v>
      </c>
      <c r="I3856" t="b">
        <v>0</v>
      </c>
      <c r="L3856" t="b">
        <v>0</v>
      </c>
      <c r="M3856" t="s">
        <v>7919</v>
      </c>
      <c r="N3856" t="s">
        <v>7920</v>
      </c>
    </row>
    <row r="3857" spans="1:25" x14ac:dyDescent="0.2">
      <c r="A3857">
        <v>6662</v>
      </c>
      <c r="B3857" t="s">
        <v>7906</v>
      </c>
      <c r="C3857" t="s">
        <v>18</v>
      </c>
      <c r="D3857" t="s">
        <v>7921</v>
      </c>
      <c r="E3857" t="s">
        <v>7922</v>
      </c>
      <c r="F3857" t="s">
        <v>31</v>
      </c>
      <c r="G3857" t="s">
        <v>17</v>
      </c>
      <c r="H3857" t="b">
        <v>0</v>
      </c>
      <c r="I3857" t="b">
        <v>0</v>
      </c>
      <c r="L3857" t="b">
        <v>0</v>
      </c>
      <c r="M3857" t="s">
        <v>7923</v>
      </c>
      <c r="N3857" t="s">
        <v>7924</v>
      </c>
    </row>
    <row r="3859" spans="1:25" x14ac:dyDescent="0.2">
      <c r="A3859" s="2">
        <v>6664</v>
      </c>
      <c r="B3859" s="2" t="s">
        <v>7925</v>
      </c>
      <c r="C3859" s="2" t="s">
        <v>13</v>
      </c>
      <c r="D3859" s="2" t="s">
        <v>2829</v>
      </c>
      <c r="E3859" s="2" t="s">
        <v>7926</v>
      </c>
      <c r="F3859" s="2" t="s">
        <v>670</v>
      </c>
      <c r="G3859" s="2" t="s">
        <v>62</v>
      </c>
      <c r="H3859" s="2"/>
      <c r="I3859" s="2"/>
      <c r="J3859" s="2"/>
      <c r="K3859" s="2"/>
      <c r="L3859" s="2"/>
      <c r="M3859" s="2"/>
      <c r="N3859" s="2"/>
      <c r="O3859" s="2"/>
      <c r="P3859" s="2"/>
      <c r="Q3859" s="2"/>
      <c r="R3859" s="2"/>
      <c r="S3859" s="2"/>
      <c r="T3859" s="2"/>
      <c r="U3859" s="2"/>
      <c r="V3859" s="2"/>
      <c r="W3859" s="2"/>
      <c r="X3859" s="2"/>
      <c r="Y3859" s="2"/>
    </row>
    <row r="3860" spans="1:25" x14ac:dyDescent="0.2">
      <c r="A3860">
        <v>6665</v>
      </c>
      <c r="B3860" t="s">
        <v>7925</v>
      </c>
      <c r="C3860" t="s">
        <v>18</v>
      </c>
      <c r="D3860" t="s">
        <v>2829</v>
      </c>
      <c r="E3860" t="s">
        <v>2830</v>
      </c>
      <c r="F3860" t="s">
        <v>670</v>
      </c>
      <c r="G3860" t="s">
        <v>62</v>
      </c>
      <c r="H3860" t="b">
        <v>1</v>
      </c>
      <c r="K3860" t="b">
        <v>1</v>
      </c>
      <c r="L3860" t="b">
        <v>1</v>
      </c>
      <c r="M3860" t="s">
        <v>2831</v>
      </c>
    </row>
    <row r="3861" spans="1:25" x14ac:dyDescent="0.2">
      <c r="A3861">
        <v>6666</v>
      </c>
      <c r="B3861" t="s">
        <v>7925</v>
      </c>
      <c r="C3861" t="s">
        <v>18</v>
      </c>
      <c r="D3861" t="s">
        <v>2836</v>
      </c>
      <c r="E3861" t="s">
        <v>293</v>
      </c>
      <c r="F3861" t="s">
        <v>670</v>
      </c>
      <c r="G3861" t="s">
        <v>88</v>
      </c>
      <c r="H3861" t="b">
        <v>1</v>
      </c>
      <c r="K3861" t="b">
        <v>1</v>
      </c>
      <c r="L3861" t="b">
        <v>1</v>
      </c>
      <c r="M3861" t="s">
        <v>2837</v>
      </c>
    </row>
    <row r="3862" spans="1:25" x14ac:dyDescent="0.2">
      <c r="A3862">
        <v>6667</v>
      </c>
      <c r="B3862" t="s">
        <v>7925</v>
      </c>
      <c r="C3862" t="s">
        <v>18</v>
      </c>
      <c r="D3862" t="s">
        <v>7927</v>
      </c>
      <c r="E3862" t="s">
        <v>6653</v>
      </c>
      <c r="F3862" t="s">
        <v>670</v>
      </c>
      <c r="G3862" t="s">
        <v>62</v>
      </c>
      <c r="H3862" t="b">
        <v>1</v>
      </c>
      <c r="K3862" t="b">
        <v>1</v>
      </c>
      <c r="L3862" t="b">
        <v>1</v>
      </c>
      <c r="M3862" t="s">
        <v>7928</v>
      </c>
      <c r="N3862" t="s">
        <v>7929</v>
      </c>
    </row>
    <row r="3863" spans="1:25" x14ac:dyDescent="0.2">
      <c r="A3863">
        <v>6668</v>
      </c>
      <c r="B3863" t="s">
        <v>7925</v>
      </c>
      <c r="C3863" t="s">
        <v>18</v>
      </c>
      <c r="D3863" t="s">
        <v>7930</v>
      </c>
      <c r="E3863" t="s">
        <v>7931</v>
      </c>
      <c r="F3863" t="s">
        <v>670</v>
      </c>
      <c r="G3863" t="s">
        <v>62</v>
      </c>
      <c r="H3863" t="b">
        <v>0</v>
      </c>
      <c r="K3863" t="b">
        <v>0</v>
      </c>
      <c r="L3863" t="b">
        <v>0</v>
      </c>
    </row>
    <row r="3864" spans="1:25" x14ac:dyDescent="0.2">
      <c r="A3864">
        <v>6669</v>
      </c>
      <c r="B3864" t="s">
        <v>7925</v>
      </c>
      <c r="C3864" t="s">
        <v>18</v>
      </c>
      <c r="D3864" t="s">
        <v>7932</v>
      </c>
      <c r="E3864" t="s">
        <v>7933</v>
      </c>
      <c r="F3864" t="s">
        <v>670</v>
      </c>
      <c r="G3864" t="s">
        <v>62</v>
      </c>
      <c r="H3864" t="b">
        <v>0</v>
      </c>
      <c r="K3864" t="b">
        <v>0</v>
      </c>
      <c r="L3864" t="b">
        <v>0</v>
      </c>
    </row>
    <row r="3866" spans="1:25" x14ac:dyDescent="0.2">
      <c r="A3866" s="2">
        <v>6678</v>
      </c>
      <c r="B3866" s="2" t="s">
        <v>7934</v>
      </c>
      <c r="C3866" s="2" t="s">
        <v>13</v>
      </c>
      <c r="D3866" s="2" t="s">
        <v>7935</v>
      </c>
      <c r="E3866" s="2" t="s">
        <v>7936</v>
      </c>
      <c r="F3866" s="2" t="s">
        <v>144</v>
      </c>
      <c r="G3866" s="2" t="s">
        <v>88</v>
      </c>
      <c r="H3866" s="2"/>
      <c r="I3866" s="2"/>
      <c r="J3866" s="2"/>
      <c r="K3866" s="2"/>
      <c r="L3866" s="2"/>
      <c r="M3866" s="2"/>
      <c r="N3866" s="2"/>
      <c r="O3866" s="2"/>
      <c r="P3866" s="2"/>
      <c r="Q3866" s="2"/>
      <c r="R3866" s="2"/>
      <c r="S3866" s="2"/>
      <c r="T3866" s="2"/>
      <c r="U3866" s="2"/>
      <c r="V3866" s="2"/>
      <c r="W3866" s="2"/>
      <c r="X3866" s="2"/>
      <c r="Y3866" s="2"/>
    </row>
    <row r="3867" spans="1:25" x14ac:dyDescent="0.2">
      <c r="A3867">
        <v>6679</v>
      </c>
      <c r="B3867" t="s">
        <v>7934</v>
      </c>
      <c r="C3867" t="s">
        <v>18</v>
      </c>
      <c r="D3867" t="s">
        <v>7937</v>
      </c>
      <c r="E3867" t="s">
        <v>1345</v>
      </c>
      <c r="F3867" t="s">
        <v>144</v>
      </c>
      <c r="G3867" t="s">
        <v>88</v>
      </c>
      <c r="H3867" t="b">
        <v>1</v>
      </c>
      <c r="K3867" t="b">
        <v>1</v>
      </c>
      <c r="L3867" t="b">
        <v>1</v>
      </c>
      <c r="M3867" t="s">
        <v>7938</v>
      </c>
      <c r="N3867" t="s">
        <v>7939</v>
      </c>
    </row>
    <row r="3868" spans="1:25" x14ac:dyDescent="0.2">
      <c r="A3868">
        <v>6680</v>
      </c>
      <c r="B3868" t="s">
        <v>7934</v>
      </c>
      <c r="C3868" t="s">
        <v>18</v>
      </c>
      <c r="D3868" t="s">
        <v>7940</v>
      </c>
      <c r="E3868" t="s">
        <v>7941</v>
      </c>
      <c r="F3868" t="s">
        <v>87</v>
      </c>
      <c r="G3868" t="s">
        <v>88</v>
      </c>
      <c r="H3868" t="b">
        <v>0</v>
      </c>
      <c r="K3868" t="b">
        <v>0</v>
      </c>
      <c r="L3868" t="b">
        <v>0</v>
      </c>
      <c r="M3868" t="s">
        <v>7942</v>
      </c>
      <c r="N3868" t="s">
        <v>7943</v>
      </c>
    </row>
    <row r="3869" spans="1:25" x14ac:dyDescent="0.2">
      <c r="A3869">
        <v>6681</v>
      </c>
      <c r="B3869" t="s">
        <v>7934</v>
      </c>
      <c r="C3869" t="s">
        <v>18</v>
      </c>
      <c r="D3869" t="s">
        <v>7944</v>
      </c>
      <c r="E3869" t="s">
        <v>2801</v>
      </c>
      <c r="F3869" t="s">
        <v>87</v>
      </c>
      <c r="G3869" t="s">
        <v>88</v>
      </c>
      <c r="H3869" t="b">
        <v>0</v>
      </c>
      <c r="K3869" t="b">
        <v>0</v>
      </c>
      <c r="L3869" t="b">
        <v>0</v>
      </c>
      <c r="M3869" t="s">
        <v>7945</v>
      </c>
    </row>
    <row r="3870" spans="1:25" x14ac:dyDescent="0.2">
      <c r="A3870">
        <v>6682</v>
      </c>
      <c r="B3870" t="s">
        <v>7934</v>
      </c>
      <c r="C3870" t="s">
        <v>18</v>
      </c>
      <c r="D3870" t="s">
        <v>330</v>
      </c>
      <c r="E3870" t="s">
        <v>331</v>
      </c>
      <c r="F3870" t="s">
        <v>200</v>
      </c>
      <c r="G3870" t="s">
        <v>88</v>
      </c>
      <c r="H3870" t="b">
        <v>0</v>
      </c>
      <c r="K3870" t="b">
        <v>0</v>
      </c>
      <c r="L3870" t="b">
        <v>0</v>
      </c>
      <c r="M3870" t="s">
        <v>1449</v>
      </c>
      <c r="N3870" t="s">
        <v>1450</v>
      </c>
    </row>
    <row r="3871" spans="1:25" x14ac:dyDescent="0.2">
      <c r="A3871">
        <v>6683</v>
      </c>
      <c r="B3871" t="s">
        <v>7934</v>
      </c>
      <c r="C3871" t="s">
        <v>18</v>
      </c>
      <c r="D3871" t="s">
        <v>7946</v>
      </c>
      <c r="E3871" t="s">
        <v>2709</v>
      </c>
      <c r="F3871" t="s">
        <v>205</v>
      </c>
      <c r="G3871" t="s">
        <v>88</v>
      </c>
      <c r="H3871" t="b">
        <v>0</v>
      </c>
      <c r="K3871" t="b">
        <v>0</v>
      </c>
      <c r="L3871" t="b">
        <v>0</v>
      </c>
      <c r="M3871" t="s">
        <v>7947</v>
      </c>
      <c r="N3871" t="s">
        <v>7948</v>
      </c>
    </row>
    <row r="3873" spans="1:25" x14ac:dyDescent="0.2">
      <c r="A3873" s="2">
        <v>6685</v>
      </c>
      <c r="B3873" s="2" t="s">
        <v>7949</v>
      </c>
      <c r="C3873" s="2" t="s">
        <v>13</v>
      </c>
      <c r="D3873" s="2" t="s">
        <v>7950</v>
      </c>
      <c r="E3873" s="2" t="s">
        <v>5356</v>
      </c>
      <c r="F3873" s="2" t="s">
        <v>205</v>
      </c>
      <c r="G3873" s="2" t="s">
        <v>1405</v>
      </c>
      <c r="H3873" s="2"/>
      <c r="I3873" s="2"/>
      <c r="J3873" s="2"/>
      <c r="K3873" s="2"/>
      <c r="L3873" s="2"/>
      <c r="M3873" s="2"/>
      <c r="N3873" s="2"/>
      <c r="O3873" s="2"/>
      <c r="P3873" s="2"/>
      <c r="Q3873" s="2"/>
      <c r="R3873" s="2"/>
      <c r="S3873" s="2"/>
      <c r="T3873" s="2"/>
      <c r="U3873" s="2"/>
      <c r="V3873" s="2"/>
      <c r="W3873" s="2"/>
      <c r="X3873" s="2"/>
      <c r="Y3873" s="2"/>
    </row>
    <row r="3874" spans="1:25" x14ac:dyDescent="0.2">
      <c r="A3874">
        <v>6686</v>
      </c>
      <c r="B3874" t="s">
        <v>7949</v>
      </c>
      <c r="C3874" t="s">
        <v>18</v>
      </c>
      <c r="D3874" t="s">
        <v>5355</v>
      </c>
      <c r="E3874" t="s">
        <v>5356</v>
      </c>
      <c r="F3874" t="s">
        <v>205</v>
      </c>
      <c r="G3874" t="s">
        <v>1406</v>
      </c>
      <c r="H3874" t="b">
        <v>1</v>
      </c>
      <c r="I3874" t="b">
        <v>1</v>
      </c>
      <c r="L3874" t="b">
        <v>1</v>
      </c>
      <c r="M3874" t="s">
        <v>5357</v>
      </c>
      <c r="N3874" t="s">
        <v>745</v>
      </c>
    </row>
    <row r="3875" spans="1:25" x14ac:dyDescent="0.2">
      <c r="A3875">
        <v>6687</v>
      </c>
      <c r="B3875" t="s">
        <v>7949</v>
      </c>
      <c r="C3875" t="s">
        <v>18</v>
      </c>
      <c r="D3875" t="s">
        <v>7951</v>
      </c>
      <c r="E3875" t="s">
        <v>7952</v>
      </c>
      <c r="F3875" t="s">
        <v>451</v>
      </c>
      <c r="G3875" t="s">
        <v>1406</v>
      </c>
      <c r="H3875" t="b">
        <v>0</v>
      </c>
      <c r="I3875" t="b">
        <v>0</v>
      </c>
      <c r="L3875" t="b">
        <v>0</v>
      </c>
      <c r="M3875" t="s">
        <v>7953</v>
      </c>
      <c r="N3875" t="s">
        <v>7954</v>
      </c>
    </row>
    <row r="3876" spans="1:25" x14ac:dyDescent="0.2">
      <c r="A3876">
        <v>6688</v>
      </c>
      <c r="B3876" t="s">
        <v>7949</v>
      </c>
      <c r="C3876" t="s">
        <v>18</v>
      </c>
      <c r="D3876" t="s">
        <v>1402</v>
      </c>
      <c r="E3876" t="s">
        <v>1403</v>
      </c>
      <c r="F3876" t="s">
        <v>1404</v>
      </c>
      <c r="G3876" t="s">
        <v>1406</v>
      </c>
      <c r="H3876" t="b">
        <v>0</v>
      </c>
      <c r="I3876" t="b">
        <v>0</v>
      </c>
      <c r="L3876" t="b">
        <v>0</v>
      </c>
      <c r="M3876" t="s">
        <v>1407</v>
      </c>
      <c r="N3876" t="s">
        <v>1408</v>
      </c>
    </row>
    <row r="3877" spans="1:25" x14ac:dyDescent="0.2">
      <c r="A3877">
        <v>6689</v>
      </c>
      <c r="B3877" t="s">
        <v>7949</v>
      </c>
      <c r="C3877" t="s">
        <v>18</v>
      </c>
      <c r="D3877" t="s">
        <v>3973</v>
      </c>
      <c r="E3877" t="s">
        <v>3974</v>
      </c>
      <c r="F3877" t="s">
        <v>205</v>
      </c>
      <c r="G3877" t="s">
        <v>1406</v>
      </c>
      <c r="H3877" t="b">
        <v>0</v>
      </c>
      <c r="I3877" t="b">
        <v>0</v>
      </c>
      <c r="L3877" t="b">
        <v>0</v>
      </c>
      <c r="M3877" t="s">
        <v>3975</v>
      </c>
      <c r="N3877" t="s">
        <v>3976</v>
      </c>
    </row>
    <row r="3878" spans="1:25" x14ac:dyDescent="0.2">
      <c r="A3878">
        <v>6690</v>
      </c>
      <c r="B3878" t="s">
        <v>7949</v>
      </c>
      <c r="C3878" t="s">
        <v>18</v>
      </c>
      <c r="D3878" t="s">
        <v>5341</v>
      </c>
      <c r="E3878" t="s">
        <v>5346</v>
      </c>
      <c r="F3878" t="s">
        <v>420</v>
      </c>
      <c r="G3878" t="s">
        <v>1406</v>
      </c>
      <c r="H3878" t="b">
        <v>0</v>
      </c>
      <c r="I3878" t="b">
        <v>0</v>
      </c>
      <c r="L3878" t="b">
        <v>0</v>
      </c>
      <c r="M3878" t="s">
        <v>5347</v>
      </c>
    </row>
    <row r="3880" spans="1:25" x14ac:dyDescent="0.2">
      <c r="A3880" s="2">
        <v>672</v>
      </c>
      <c r="B3880" s="2" t="s">
        <v>7955</v>
      </c>
      <c r="C3880" s="2" t="s">
        <v>13</v>
      </c>
      <c r="D3880" s="2" t="s">
        <v>7956</v>
      </c>
      <c r="E3880" s="2" t="s">
        <v>7957</v>
      </c>
      <c r="F3880" s="2" t="s">
        <v>248</v>
      </c>
      <c r="G3880" s="2" t="s">
        <v>17</v>
      </c>
      <c r="H3880" s="2"/>
      <c r="I3880" s="2"/>
      <c r="J3880" s="2"/>
      <c r="K3880" s="2"/>
      <c r="L3880" s="2"/>
      <c r="M3880" s="2"/>
      <c r="N3880" s="2"/>
      <c r="O3880" s="2"/>
      <c r="P3880" s="2"/>
      <c r="Q3880" s="2"/>
      <c r="R3880" s="2"/>
      <c r="S3880" s="2"/>
      <c r="T3880" s="2"/>
      <c r="U3880" s="2"/>
      <c r="V3880" s="2"/>
      <c r="W3880" s="2"/>
      <c r="X3880" s="2"/>
      <c r="Y3880" s="2"/>
    </row>
    <row r="3881" spans="1:25" x14ac:dyDescent="0.2">
      <c r="A3881">
        <v>673</v>
      </c>
      <c r="B3881" t="s">
        <v>7955</v>
      </c>
      <c r="C3881" t="s">
        <v>18</v>
      </c>
      <c r="D3881" t="s">
        <v>7956</v>
      </c>
      <c r="E3881" t="s">
        <v>7958</v>
      </c>
      <c r="F3881" t="s">
        <v>248</v>
      </c>
      <c r="G3881" t="s">
        <v>17</v>
      </c>
      <c r="H3881" t="b">
        <v>1</v>
      </c>
      <c r="K3881" t="b">
        <v>1</v>
      </c>
      <c r="L3881" t="b">
        <v>1</v>
      </c>
      <c r="M3881" t="s">
        <v>7959</v>
      </c>
      <c r="N3881" t="s">
        <v>7960</v>
      </c>
    </row>
    <row r="3882" spans="1:25" x14ac:dyDescent="0.2">
      <c r="A3882">
        <v>674</v>
      </c>
      <c r="B3882" t="s">
        <v>7955</v>
      </c>
      <c r="C3882" t="s">
        <v>18</v>
      </c>
      <c r="D3882" t="s">
        <v>7961</v>
      </c>
      <c r="E3882" t="s">
        <v>939</v>
      </c>
      <c r="F3882" t="s">
        <v>248</v>
      </c>
      <c r="G3882" t="s">
        <v>17</v>
      </c>
      <c r="H3882" t="b">
        <v>1</v>
      </c>
      <c r="K3882" t="b">
        <v>1</v>
      </c>
      <c r="L3882" t="b">
        <v>1</v>
      </c>
      <c r="M3882" t="s">
        <v>7962</v>
      </c>
    </row>
    <row r="3883" spans="1:25" x14ac:dyDescent="0.2">
      <c r="A3883">
        <v>675</v>
      </c>
      <c r="B3883" t="s">
        <v>7955</v>
      </c>
      <c r="C3883" t="s">
        <v>18</v>
      </c>
      <c r="D3883" t="s">
        <v>7963</v>
      </c>
      <c r="E3883" t="s">
        <v>7964</v>
      </c>
      <c r="F3883" t="s">
        <v>248</v>
      </c>
      <c r="G3883" t="s">
        <v>17</v>
      </c>
      <c r="H3883" t="b">
        <v>0</v>
      </c>
      <c r="K3883" t="b">
        <v>0</v>
      </c>
      <c r="L3883" t="b">
        <v>0</v>
      </c>
      <c r="M3883" t="s">
        <v>7965</v>
      </c>
    </row>
    <row r="3884" spans="1:25" x14ac:dyDescent="0.2">
      <c r="A3884">
        <v>676</v>
      </c>
      <c r="B3884" t="s">
        <v>7955</v>
      </c>
      <c r="C3884" t="s">
        <v>18</v>
      </c>
      <c r="D3884" t="s">
        <v>7966</v>
      </c>
      <c r="E3884" t="s">
        <v>7967</v>
      </c>
      <c r="F3884" t="s">
        <v>248</v>
      </c>
      <c r="G3884" t="s">
        <v>17</v>
      </c>
      <c r="H3884" t="b">
        <v>0</v>
      </c>
      <c r="K3884" t="b">
        <v>0</v>
      </c>
      <c r="L3884" t="b">
        <v>0</v>
      </c>
    </row>
    <row r="3885" spans="1:25" x14ac:dyDescent="0.2">
      <c r="A3885">
        <v>677</v>
      </c>
      <c r="B3885" t="s">
        <v>7955</v>
      </c>
      <c r="C3885" t="s">
        <v>18</v>
      </c>
      <c r="D3885" t="s">
        <v>7968</v>
      </c>
      <c r="E3885" t="s">
        <v>47</v>
      </c>
      <c r="F3885" t="s">
        <v>248</v>
      </c>
      <c r="G3885" t="s">
        <v>17</v>
      </c>
      <c r="H3885" t="b">
        <v>0</v>
      </c>
      <c r="K3885" t="b">
        <v>0</v>
      </c>
      <c r="L3885" t="b">
        <v>0</v>
      </c>
      <c r="M3885" t="s">
        <v>7969</v>
      </c>
    </row>
    <row r="3887" spans="1:25" x14ac:dyDescent="0.2">
      <c r="A3887" s="2">
        <v>6720</v>
      </c>
      <c r="B3887" s="2" t="s">
        <v>7970</v>
      </c>
      <c r="C3887" s="2" t="s">
        <v>13</v>
      </c>
      <c r="D3887" s="2" t="s">
        <v>2712</v>
      </c>
      <c r="E3887" s="2" t="s">
        <v>7971</v>
      </c>
      <c r="F3887" s="2" t="s">
        <v>159</v>
      </c>
      <c r="G3887" s="2" t="s">
        <v>345</v>
      </c>
      <c r="H3887" s="2"/>
      <c r="I3887" s="2"/>
      <c r="J3887" s="2"/>
      <c r="K3887" s="2"/>
      <c r="L3887" s="2"/>
      <c r="M3887" s="2"/>
      <c r="N3887" s="2"/>
      <c r="O3887" s="2"/>
      <c r="P3887" s="2"/>
      <c r="Q3887" s="2"/>
      <c r="R3887" s="2"/>
      <c r="S3887" s="2"/>
      <c r="T3887" s="2"/>
      <c r="U3887" s="2"/>
      <c r="V3887" s="2"/>
      <c r="W3887" s="2"/>
      <c r="X3887" s="2"/>
      <c r="Y3887" s="2"/>
    </row>
    <row r="3888" spans="1:25" x14ac:dyDescent="0.2">
      <c r="A3888">
        <v>6721</v>
      </c>
      <c r="B3888" t="s">
        <v>7970</v>
      </c>
      <c r="C3888" t="s">
        <v>18</v>
      </c>
      <c r="D3888" t="s">
        <v>2712</v>
      </c>
      <c r="E3888" t="s">
        <v>2713</v>
      </c>
      <c r="F3888" t="s">
        <v>159</v>
      </c>
      <c r="G3888" t="s">
        <v>345</v>
      </c>
      <c r="H3888" t="b">
        <v>1</v>
      </c>
      <c r="I3888" t="b">
        <v>1</v>
      </c>
      <c r="L3888" t="b">
        <v>1</v>
      </c>
      <c r="M3888" t="s">
        <v>2714</v>
      </c>
      <c r="N3888" t="s">
        <v>2715</v>
      </c>
      <c r="O3888" t="s">
        <v>2716</v>
      </c>
      <c r="P3888" t="s">
        <v>2717</v>
      </c>
    </row>
    <row r="3889" spans="1:25" x14ac:dyDescent="0.2">
      <c r="A3889">
        <v>6722</v>
      </c>
      <c r="B3889" t="s">
        <v>7970</v>
      </c>
      <c r="C3889" t="s">
        <v>18</v>
      </c>
      <c r="D3889" t="s">
        <v>2708</v>
      </c>
      <c r="E3889" t="s">
        <v>2709</v>
      </c>
      <c r="F3889" t="s">
        <v>159</v>
      </c>
      <c r="G3889" t="s">
        <v>345</v>
      </c>
      <c r="H3889" t="b">
        <v>1</v>
      </c>
      <c r="I3889" t="b">
        <v>1</v>
      </c>
      <c r="L3889" t="b">
        <v>1</v>
      </c>
      <c r="M3889" t="s">
        <v>2710</v>
      </c>
      <c r="N3889" t="s">
        <v>2711</v>
      </c>
    </row>
    <row r="3890" spans="1:25" x14ac:dyDescent="0.2">
      <c r="A3890">
        <v>6723</v>
      </c>
      <c r="B3890" t="s">
        <v>7970</v>
      </c>
      <c r="C3890" t="s">
        <v>18</v>
      </c>
      <c r="D3890" t="s">
        <v>2704</v>
      </c>
      <c r="E3890" t="s">
        <v>2705</v>
      </c>
      <c r="F3890" t="s">
        <v>264</v>
      </c>
      <c r="G3890" t="s">
        <v>17</v>
      </c>
      <c r="H3890" t="b">
        <v>0</v>
      </c>
      <c r="I3890" t="b">
        <v>0</v>
      </c>
      <c r="L3890" t="b">
        <v>0</v>
      </c>
      <c r="M3890" t="s">
        <v>2706</v>
      </c>
      <c r="N3890" t="s">
        <v>2707</v>
      </c>
    </row>
    <row r="3891" spans="1:25" x14ac:dyDescent="0.2">
      <c r="A3891">
        <v>6724</v>
      </c>
      <c r="B3891" t="s">
        <v>7970</v>
      </c>
      <c r="C3891" t="s">
        <v>18</v>
      </c>
      <c r="D3891" t="s">
        <v>7972</v>
      </c>
      <c r="E3891" t="s">
        <v>7973</v>
      </c>
      <c r="F3891" t="s">
        <v>7974</v>
      </c>
      <c r="G3891" t="s">
        <v>345</v>
      </c>
      <c r="H3891" t="b">
        <v>0</v>
      </c>
      <c r="I3891" t="b">
        <v>0</v>
      </c>
      <c r="L3891" t="b">
        <v>0</v>
      </c>
      <c r="M3891" t="s">
        <v>7975</v>
      </c>
      <c r="N3891" t="s">
        <v>7976</v>
      </c>
      <c r="O3891" t="s">
        <v>7977</v>
      </c>
      <c r="P3891" t="s">
        <v>7978</v>
      </c>
    </row>
    <row r="3892" spans="1:25" x14ac:dyDescent="0.2">
      <c r="A3892">
        <v>6725</v>
      </c>
      <c r="B3892" t="s">
        <v>7970</v>
      </c>
      <c r="C3892" t="s">
        <v>18</v>
      </c>
      <c r="D3892" t="s">
        <v>7979</v>
      </c>
      <c r="E3892" t="s">
        <v>7980</v>
      </c>
      <c r="F3892" t="s">
        <v>205</v>
      </c>
      <c r="G3892" t="s">
        <v>62</v>
      </c>
      <c r="H3892" t="b">
        <v>0</v>
      </c>
      <c r="I3892" t="b">
        <v>0</v>
      </c>
      <c r="L3892" t="b">
        <v>0</v>
      </c>
    </row>
    <row r="3894" spans="1:25" x14ac:dyDescent="0.2">
      <c r="A3894" s="2">
        <v>6755</v>
      </c>
      <c r="B3894" s="2" t="s">
        <v>7981</v>
      </c>
      <c r="C3894" s="2" t="s">
        <v>13</v>
      </c>
      <c r="D3894" s="2" t="s">
        <v>7982</v>
      </c>
      <c r="E3894" s="2" t="s">
        <v>7983</v>
      </c>
      <c r="F3894" s="2" t="s">
        <v>159</v>
      </c>
      <c r="G3894" s="2" t="s">
        <v>24</v>
      </c>
      <c r="H3894" s="2"/>
      <c r="I3894" s="2"/>
      <c r="J3894" s="2"/>
      <c r="K3894" s="2"/>
      <c r="L3894" s="2"/>
      <c r="M3894" s="2"/>
      <c r="N3894" s="2"/>
      <c r="O3894" s="2"/>
      <c r="P3894" s="2"/>
      <c r="Q3894" s="2"/>
      <c r="R3894" s="2"/>
      <c r="S3894" s="2"/>
      <c r="T3894" s="2"/>
      <c r="U3894" s="2"/>
      <c r="V3894" s="2"/>
      <c r="W3894" s="2"/>
      <c r="X3894" s="2"/>
      <c r="Y3894" s="2"/>
    </row>
    <row r="3895" spans="1:25" x14ac:dyDescent="0.2">
      <c r="A3895">
        <v>6756</v>
      </c>
      <c r="B3895" t="s">
        <v>7981</v>
      </c>
      <c r="C3895" t="s">
        <v>18</v>
      </c>
      <c r="D3895" t="s">
        <v>5209</v>
      </c>
      <c r="E3895" t="s">
        <v>3263</v>
      </c>
      <c r="F3895" t="s">
        <v>670</v>
      </c>
      <c r="G3895" t="s">
        <v>24</v>
      </c>
      <c r="H3895" t="b">
        <v>1</v>
      </c>
      <c r="K3895" t="b">
        <v>1</v>
      </c>
      <c r="L3895" t="b">
        <v>1</v>
      </c>
      <c r="M3895" t="s">
        <v>5210</v>
      </c>
      <c r="N3895" t="s">
        <v>5211</v>
      </c>
    </row>
    <row r="3896" spans="1:25" x14ac:dyDescent="0.2">
      <c r="A3896">
        <v>6757</v>
      </c>
      <c r="B3896" t="s">
        <v>7981</v>
      </c>
      <c r="C3896" t="s">
        <v>18</v>
      </c>
      <c r="D3896" t="s">
        <v>7593</v>
      </c>
      <c r="E3896" t="s">
        <v>7594</v>
      </c>
      <c r="F3896" t="s">
        <v>78</v>
      </c>
      <c r="G3896" t="s">
        <v>1047</v>
      </c>
      <c r="H3896" t="b">
        <v>0</v>
      </c>
      <c r="K3896" t="b">
        <v>0</v>
      </c>
      <c r="L3896" t="b">
        <v>0</v>
      </c>
      <c r="M3896" t="s">
        <v>7595</v>
      </c>
      <c r="N3896" t="s">
        <v>7596</v>
      </c>
      <c r="O3896" t="s">
        <v>7597</v>
      </c>
      <c r="P3896" t="s">
        <v>7598</v>
      </c>
    </row>
    <row r="3897" spans="1:25" x14ac:dyDescent="0.2">
      <c r="A3897">
        <v>6758</v>
      </c>
      <c r="B3897" t="s">
        <v>7981</v>
      </c>
      <c r="C3897" t="s">
        <v>18</v>
      </c>
      <c r="D3897" t="s">
        <v>157</v>
      </c>
      <c r="E3897" t="s">
        <v>158</v>
      </c>
      <c r="F3897" t="s">
        <v>160</v>
      </c>
      <c r="G3897" t="s">
        <v>161</v>
      </c>
      <c r="H3897" t="b">
        <v>0</v>
      </c>
      <c r="K3897" t="b">
        <v>0</v>
      </c>
      <c r="L3897" t="b">
        <v>0</v>
      </c>
      <c r="M3897" t="s">
        <v>6201</v>
      </c>
      <c r="N3897" t="s">
        <v>6202</v>
      </c>
    </row>
    <row r="3898" spans="1:25" x14ac:dyDescent="0.2">
      <c r="A3898">
        <v>6759</v>
      </c>
      <c r="B3898" t="s">
        <v>7981</v>
      </c>
      <c r="C3898" t="s">
        <v>18</v>
      </c>
      <c r="D3898" t="s">
        <v>7984</v>
      </c>
      <c r="E3898" t="s">
        <v>7985</v>
      </c>
      <c r="F3898" t="s">
        <v>168</v>
      </c>
      <c r="G3898" t="s">
        <v>292</v>
      </c>
      <c r="H3898" t="b">
        <v>0</v>
      </c>
      <c r="K3898" t="b">
        <v>0</v>
      </c>
      <c r="L3898" t="b">
        <v>0</v>
      </c>
      <c r="M3898" t="s">
        <v>7986</v>
      </c>
      <c r="N3898" t="s">
        <v>7987</v>
      </c>
      <c r="O3898" t="s">
        <v>7988</v>
      </c>
      <c r="P3898" t="s">
        <v>7989</v>
      </c>
      <c r="Q3898" t="s">
        <v>7990</v>
      </c>
      <c r="R3898" t="str">
        <f>HYPERLINK("https://arizona.app.box.com/file/389167386785")</f>
        <v>https://arizona.app.box.com/file/389167386785</v>
      </c>
    </row>
    <row r="3899" spans="1:25" x14ac:dyDescent="0.2">
      <c r="A3899">
        <v>6760</v>
      </c>
      <c r="B3899" t="s">
        <v>7981</v>
      </c>
      <c r="C3899" t="s">
        <v>18</v>
      </c>
      <c r="D3899" t="s">
        <v>808</v>
      </c>
      <c r="E3899" t="s">
        <v>809</v>
      </c>
      <c r="F3899" t="s">
        <v>159</v>
      </c>
      <c r="G3899" t="s">
        <v>24</v>
      </c>
      <c r="H3899" t="b">
        <v>0</v>
      </c>
      <c r="K3899" t="b">
        <v>0</v>
      </c>
      <c r="L3899" t="b">
        <v>0</v>
      </c>
      <c r="M3899" t="str">
        <f>HYPERLINK("https://arizona.app.box.com/file/389268287438")</f>
        <v>https://arizona.app.box.com/file/389268287438</v>
      </c>
      <c r="N3899" t="str">
        <f>HYPERLINK("https://arizona.app.box.com/file/389139242498")</f>
        <v>https://arizona.app.box.com/file/389139242498</v>
      </c>
    </row>
    <row r="3901" spans="1:25" x14ac:dyDescent="0.2">
      <c r="A3901" s="2">
        <v>6797</v>
      </c>
      <c r="B3901" s="2" t="s">
        <v>7991</v>
      </c>
      <c r="C3901" s="2" t="s">
        <v>13</v>
      </c>
      <c r="D3901" s="2" t="s">
        <v>7992</v>
      </c>
      <c r="E3901" s="2" t="s">
        <v>7993</v>
      </c>
      <c r="F3901" s="2" t="s">
        <v>23</v>
      </c>
      <c r="G3901" s="2" t="s">
        <v>1752</v>
      </c>
      <c r="H3901" s="2"/>
      <c r="I3901" s="2"/>
      <c r="J3901" s="2"/>
      <c r="K3901" s="2"/>
      <c r="L3901" s="2"/>
      <c r="M3901" s="2"/>
      <c r="N3901" s="2"/>
      <c r="O3901" s="2"/>
      <c r="P3901" s="2"/>
      <c r="Q3901" s="2"/>
      <c r="R3901" s="2"/>
      <c r="S3901" s="2"/>
      <c r="T3901" s="2"/>
      <c r="U3901" s="2"/>
      <c r="V3901" s="2"/>
      <c r="W3901" s="2"/>
      <c r="X3901" s="2"/>
      <c r="Y3901" s="2"/>
    </row>
    <row r="3902" spans="1:25" x14ac:dyDescent="0.2">
      <c r="A3902">
        <v>6798</v>
      </c>
      <c r="B3902" t="s">
        <v>7991</v>
      </c>
      <c r="C3902" t="s">
        <v>18</v>
      </c>
      <c r="D3902" t="s">
        <v>7994</v>
      </c>
      <c r="E3902" t="s">
        <v>7891</v>
      </c>
      <c r="F3902" t="s">
        <v>23</v>
      </c>
      <c r="G3902" t="s">
        <v>917</v>
      </c>
      <c r="H3902" t="b">
        <v>1</v>
      </c>
      <c r="K3902" t="b">
        <v>0</v>
      </c>
      <c r="L3902" t="b">
        <v>1</v>
      </c>
      <c r="M3902" t="s">
        <v>7995</v>
      </c>
    </row>
    <row r="3903" spans="1:25" x14ac:dyDescent="0.2">
      <c r="A3903">
        <v>6799</v>
      </c>
      <c r="B3903" t="s">
        <v>7991</v>
      </c>
      <c r="C3903" t="s">
        <v>18</v>
      </c>
      <c r="D3903" t="s">
        <v>7992</v>
      </c>
      <c r="E3903" t="s">
        <v>7341</v>
      </c>
      <c r="F3903" t="s">
        <v>23</v>
      </c>
      <c r="G3903" t="s">
        <v>917</v>
      </c>
      <c r="H3903" t="b">
        <v>1</v>
      </c>
      <c r="K3903" t="b">
        <v>1</v>
      </c>
      <c r="L3903" t="b">
        <v>1</v>
      </c>
      <c r="M3903" t="s">
        <v>7996</v>
      </c>
    </row>
    <row r="3904" spans="1:25" x14ac:dyDescent="0.2">
      <c r="A3904">
        <v>6800</v>
      </c>
      <c r="B3904" t="s">
        <v>7991</v>
      </c>
      <c r="C3904" t="s">
        <v>18</v>
      </c>
      <c r="D3904" t="s">
        <v>7997</v>
      </c>
      <c r="E3904" t="s">
        <v>7998</v>
      </c>
      <c r="F3904" t="s">
        <v>23</v>
      </c>
      <c r="G3904" t="s">
        <v>917</v>
      </c>
      <c r="H3904" t="b">
        <v>0</v>
      </c>
      <c r="K3904" t="b">
        <v>0</v>
      </c>
      <c r="L3904" t="b">
        <v>0</v>
      </c>
      <c r="M3904" t="s">
        <v>7999</v>
      </c>
      <c r="N3904" t="s">
        <v>8000</v>
      </c>
    </row>
    <row r="3905" spans="1:25" x14ac:dyDescent="0.2">
      <c r="A3905">
        <v>6801</v>
      </c>
      <c r="B3905" t="s">
        <v>7991</v>
      </c>
      <c r="C3905" t="s">
        <v>18</v>
      </c>
      <c r="D3905" t="s">
        <v>8001</v>
      </c>
      <c r="E3905" t="s">
        <v>8002</v>
      </c>
      <c r="F3905" t="s">
        <v>78</v>
      </c>
      <c r="G3905" t="s">
        <v>917</v>
      </c>
      <c r="H3905" t="b">
        <v>0</v>
      </c>
      <c r="K3905" t="b">
        <v>0</v>
      </c>
      <c r="L3905" t="b">
        <v>0</v>
      </c>
      <c r="M3905" t="s">
        <v>8003</v>
      </c>
    </row>
    <row r="3906" spans="1:25" x14ac:dyDescent="0.2">
      <c r="A3906">
        <v>6802</v>
      </c>
      <c r="B3906" t="s">
        <v>7991</v>
      </c>
      <c r="C3906" t="s">
        <v>18</v>
      </c>
      <c r="D3906" t="s">
        <v>8004</v>
      </c>
      <c r="E3906" t="s">
        <v>8005</v>
      </c>
      <c r="F3906" t="s">
        <v>78</v>
      </c>
      <c r="G3906" t="s">
        <v>8006</v>
      </c>
      <c r="H3906" t="b">
        <v>0</v>
      </c>
      <c r="K3906" t="b">
        <v>0</v>
      </c>
      <c r="L3906" t="b">
        <v>0</v>
      </c>
      <c r="M3906" t="s">
        <v>8007</v>
      </c>
      <c r="N3906" t="s">
        <v>8008</v>
      </c>
    </row>
    <row r="3908" spans="1:25" x14ac:dyDescent="0.2">
      <c r="A3908" s="2">
        <v>6811</v>
      </c>
      <c r="B3908" s="2" t="s">
        <v>8009</v>
      </c>
      <c r="C3908" s="2" t="s">
        <v>13</v>
      </c>
      <c r="D3908" s="2" t="s">
        <v>4891</v>
      </c>
      <c r="E3908" s="2" t="s">
        <v>8010</v>
      </c>
      <c r="F3908" s="2" t="s">
        <v>420</v>
      </c>
      <c r="G3908" s="2" t="s">
        <v>62</v>
      </c>
      <c r="H3908" s="2"/>
      <c r="I3908" s="2"/>
      <c r="J3908" s="2"/>
      <c r="K3908" s="2"/>
      <c r="L3908" s="2"/>
      <c r="M3908" s="2"/>
      <c r="N3908" s="2"/>
      <c r="O3908" s="2"/>
      <c r="P3908" s="2"/>
      <c r="Q3908" s="2"/>
      <c r="R3908" s="2"/>
      <c r="S3908" s="2"/>
      <c r="T3908" s="2"/>
      <c r="U3908" s="2"/>
      <c r="V3908" s="2"/>
      <c r="W3908" s="2"/>
      <c r="X3908" s="2"/>
      <c r="Y3908" s="2"/>
    </row>
    <row r="3909" spans="1:25" x14ac:dyDescent="0.2">
      <c r="A3909">
        <v>6812</v>
      </c>
      <c r="B3909" t="s">
        <v>8009</v>
      </c>
      <c r="C3909" t="s">
        <v>18</v>
      </c>
      <c r="D3909" t="s">
        <v>4891</v>
      </c>
      <c r="E3909" t="s">
        <v>4892</v>
      </c>
      <c r="F3909" t="s">
        <v>420</v>
      </c>
      <c r="G3909" t="s">
        <v>62</v>
      </c>
      <c r="H3909" t="b">
        <v>1</v>
      </c>
      <c r="K3909" t="b">
        <v>1</v>
      </c>
      <c r="L3909" t="b">
        <v>1</v>
      </c>
      <c r="M3909" t="s">
        <v>4893</v>
      </c>
      <c r="N3909" t="s">
        <v>4894</v>
      </c>
    </row>
    <row r="3910" spans="1:25" x14ac:dyDescent="0.2">
      <c r="A3910">
        <v>6813</v>
      </c>
      <c r="B3910" t="s">
        <v>8009</v>
      </c>
      <c r="C3910" t="s">
        <v>18</v>
      </c>
      <c r="D3910" t="s">
        <v>7380</v>
      </c>
      <c r="E3910" t="s">
        <v>7381</v>
      </c>
      <c r="F3910" t="s">
        <v>510</v>
      </c>
      <c r="G3910" t="s">
        <v>62</v>
      </c>
      <c r="H3910" t="b">
        <v>0</v>
      </c>
      <c r="K3910" t="b">
        <v>0</v>
      </c>
      <c r="L3910" t="b">
        <v>0</v>
      </c>
      <c r="M3910" t="s">
        <v>7382</v>
      </c>
      <c r="N3910" t="s">
        <v>7383</v>
      </c>
    </row>
    <row r="3911" spans="1:25" x14ac:dyDescent="0.2">
      <c r="A3911">
        <v>6814</v>
      </c>
      <c r="B3911" t="s">
        <v>8009</v>
      </c>
      <c r="C3911" t="s">
        <v>18</v>
      </c>
      <c r="D3911" t="s">
        <v>4885</v>
      </c>
      <c r="E3911" t="s">
        <v>4886</v>
      </c>
      <c r="F3911" t="s">
        <v>144</v>
      </c>
      <c r="G3911" t="s">
        <v>62</v>
      </c>
      <c r="H3911" t="b">
        <v>0</v>
      </c>
      <c r="K3911" t="b">
        <v>0</v>
      </c>
      <c r="L3911" t="b">
        <v>0</v>
      </c>
      <c r="M3911" t="s">
        <v>4887</v>
      </c>
      <c r="N3911" t="s">
        <v>4888</v>
      </c>
      <c r="O3911" t="s">
        <v>4889</v>
      </c>
      <c r="P3911" t="s">
        <v>4890</v>
      </c>
    </row>
    <row r="3912" spans="1:25" x14ac:dyDescent="0.2">
      <c r="A3912">
        <v>6815</v>
      </c>
      <c r="B3912" t="s">
        <v>8009</v>
      </c>
      <c r="C3912" t="s">
        <v>18</v>
      </c>
      <c r="D3912" t="s">
        <v>8011</v>
      </c>
      <c r="E3912" t="s">
        <v>1185</v>
      </c>
      <c r="F3912" t="s">
        <v>122</v>
      </c>
      <c r="G3912" t="s">
        <v>62</v>
      </c>
      <c r="H3912" t="b">
        <v>0</v>
      </c>
      <c r="K3912" t="b">
        <v>0</v>
      </c>
      <c r="L3912" t="b">
        <v>0</v>
      </c>
      <c r="M3912" t="s">
        <v>8012</v>
      </c>
      <c r="N3912" t="s">
        <v>8013</v>
      </c>
    </row>
    <row r="3913" spans="1:25" x14ac:dyDescent="0.2">
      <c r="A3913">
        <v>6816</v>
      </c>
      <c r="B3913" t="s">
        <v>8009</v>
      </c>
      <c r="C3913" t="s">
        <v>18</v>
      </c>
      <c r="D3913" t="s">
        <v>8014</v>
      </c>
      <c r="E3913" t="s">
        <v>8015</v>
      </c>
      <c r="F3913" t="s">
        <v>654</v>
      </c>
      <c r="G3913" t="s">
        <v>62</v>
      </c>
      <c r="H3913" t="b">
        <v>0</v>
      </c>
      <c r="K3913" t="b">
        <v>0</v>
      </c>
      <c r="L3913" t="b">
        <v>0</v>
      </c>
      <c r="M3913" t="s">
        <v>8016</v>
      </c>
      <c r="N3913" t="s">
        <v>8017</v>
      </c>
      <c r="O3913" t="s">
        <v>8018</v>
      </c>
    </row>
    <row r="3915" spans="1:25" x14ac:dyDescent="0.2">
      <c r="A3915" s="2">
        <v>6825</v>
      </c>
      <c r="B3915" s="2" t="s">
        <v>8019</v>
      </c>
      <c r="C3915" s="2" t="s">
        <v>13</v>
      </c>
      <c r="D3915" s="2" t="s">
        <v>8020</v>
      </c>
      <c r="E3915" s="2" t="s">
        <v>8021</v>
      </c>
      <c r="F3915" s="2" t="s">
        <v>420</v>
      </c>
      <c r="G3915" s="2" t="s">
        <v>62</v>
      </c>
      <c r="H3915" s="2"/>
      <c r="I3915" s="2"/>
      <c r="J3915" s="2"/>
      <c r="K3915" s="2"/>
      <c r="L3915" s="2"/>
      <c r="M3915" s="2"/>
      <c r="N3915" s="2"/>
      <c r="O3915" s="2"/>
      <c r="P3915" s="2"/>
      <c r="Q3915" s="2"/>
      <c r="R3915" s="2"/>
      <c r="S3915" s="2"/>
      <c r="T3915" s="2"/>
      <c r="U3915" s="2"/>
      <c r="V3915" s="2"/>
      <c r="W3915" s="2"/>
      <c r="X3915" s="2"/>
      <c r="Y3915" s="2"/>
    </row>
    <row r="3916" spans="1:25" x14ac:dyDescent="0.2">
      <c r="A3916">
        <v>6826</v>
      </c>
      <c r="B3916" t="s">
        <v>8019</v>
      </c>
      <c r="C3916" t="s">
        <v>18</v>
      </c>
      <c r="D3916" t="s">
        <v>8022</v>
      </c>
      <c r="E3916" t="s">
        <v>8023</v>
      </c>
      <c r="F3916" t="s">
        <v>420</v>
      </c>
      <c r="G3916" t="s">
        <v>62</v>
      </c>
      <c r="H3916" t="b">
        <v>1</v>
      </c>
      <c r="K3916" t="b">
        <v>1</v>
      </c>
      <c r="L3916" t="b">
        <v>1</v>
      </c>
      <c r="M3916" t="s">
        <v>8024</v>
      </c>
    </row>
    <row r="3917" spans="1:25" x14ac:dyDescent="0.2">
      <c r="A3917">
        <v>6827</v>
      </c>
      <c r="B3917" t="s">
        <v>8019</v>
      </c>
      <c r="C3917" t="s">
        <v>18</v>
      </c>
      <c r="D3917" t="s">
        <v>8025</v>
      </c>
      <c r="E3917" t="s">
        <v>323</v>
      </c>
      <c r="F3917" t="s">
        <v>510</v>
      </c>
      <c r="G3917" t="s">
        <v>88</v>
      </c>
      <c r="H3917" t="b">
        <v>0</v>
      </c>
      <c r="K3917" t="b">
        <v>0</v>
      </c>
      <c r="L3917" t="b">
        <v>0</v>
      </c>
      <c r="M3917" t="s">
        <v>8026</v>
      </c>
      <c r="N3917" t="s">
        <v>8027</v>
      </c>
    </row>
    <row r="3918" spans="1:25" x14ac:dyDescent="0.2">
      <c r="A3918">
        <v>6828</v>
      </c>
      <c r="B3918" t="s">
        <v>8019</v>
      </c>
      <c r="C3918" t="s">
        <v>18</v>
      </c>
      <c r="D3918" t="s">
        <v>8028</v>
      </c>
      <c r="E3918" t="s">
        <v>8029</v>
      </c>
      <c r="F3918" t="s">
        <v>420</v>
      </c>
      <c r="G3918" t="s">
        <v>88</v>
      </c>
      <c r="H3918" t="b">
        <v>0</v>
      </c>
      <c r="K3918" t="b">
        <v>0</v>
      </c>
      <c r="L3918" t="b">
        <v>0</v>
      </c>
    </row>
    <row r="3919" spans="1:25" x14ac:dyDescent="0.2">
      <c r="A3919">
        <v>6829</v>
      </c>
      <c r="B3919" t="s">
        <v>8019</v>
      </c>
      <c r="C3919" t="s">
        <v>18</v>
      </c>
      <c r="D3919" t="s">
        <v>8030</v>
      </c>
      <c r="E3919" t="s">
        <v>8031</v>
      </c>
      <c r="F3919" t="s">
        <v>196</v>
      </c>
      <c r="G3919" t="s">
        <v>62</v>
      </c>
      <c r="H3919" t="b">
        <v>0</v>
      </c>
      <c r="K3919" t="b">
        <v>0</v>
      </c>
      <c r="L3919" t="b">
        <v>0</v>
      </c>
      <c r="M3919" t="s">
        <v>8032</v>
      </c>
      <c r="N3919" t="s">
        <v>8033</v>
      </c>
    </row>
    <row r="3920" spans="1:25" x14ac:dyDescent="0.2">
      <c r="A3920">
        <v>6830</v>
      </c>
      <c r="B3920" t="s">
        <v>8019</v>
      </c>
      <c r="C3920" t="s">
        <v>18</v>
      </c>
      <c r="D3920" t="s">
        <v>8034</v>
      </c>
      <c r="E3920" t="s">
        <v>8035</v>
      </c>
      <c r="F3920" t="s">
        <v>420</v>
      </c>
      <c r="G3920" t="s">
        <v>252</v>
      </c>
      <c r="H3920" t="b">
        <v>0</v>
      </c>
      <c r="K3920" t="b">
        <v>0</v>
      </c>
      <c r="L3920" t="b">
        <v>0</v>
      </c>
      <c r="M3920" t="s">
        <v>8036</v>
      </c>
      <c r="N3920" t="s">
        <v>8037</v>
      </c>
    </row>
    <row r="3922" spans="1:25" x14ac:dyDescent="0.2">
      <c r="A3922" s="2">
        <v>6839</v>
      </c>
      <c r="B3922" s="2" t="s">
        <v>8038</v>
      </c>
      <c r="C3922" s="2" t="s">
        <v>13</v>
      </c>
      <c r="D3922" s="2" t="s">
        <v>2940</v>
      </c>
      <c r="E3922" s="2" t="s">
        <v>8039</v>
      </c>
      <c r="F3922" s="2" t="s">
        <v>2924</v>
      </c>
      <c r="G3922" s="2" t="s">
        <v>2942</v>
      </c>
      <c r="H3922" s="2"/>
      <c r="I3922" s="2"/>
      <c r="J3922" s="2"/>
      <c r="K3922" s="2"/>
      <c r="L3922" s="2"/>
      <c r="M3922" s="2"/>
      <c r="N3922" s="2"/>
      <c r="O3922" s="2"/>
      <c r="P3922" s="2"/>
      <c r="Q3922" s="2"/>
      <c r="R3922" s="2"/>
      <c r="S3922" s="2"/>
      <c r="T3922" s="2"/>
      <c r="U3922" s="2"/>
      <c r="V3922" s="2"/>
      <c r="W3922" s="2"/>
      <c r="X3922" s="2"/>
      <c r="Y3922" s="2"/>
    </row>
    <row r="3923" spans="1:25" x14ac:dyDescent="0.2">
      <c r="A3923">
        <v>6840</v>
      </c>
      <c r="B3923" t="s">
        <v>8038</v>
      </c>
      <c r="C3923" t="s">
        <v>18</v>
      </c>
      <c r="D3923" t="s">
        <v>2940</v>
      </c>
      <c r="E3923" t="s">
        <v>2941</v>
      </c>
      <c r="F3923" t="s">
        <v>2924</v>
      </c>
      <c r="G3923" t="s">
        <v>2942</v>
      </c>
      <c r="H3923" t="b">
        <v>1</v>
      </c>
      <c r="I3923" t="b">
        <v>1</v>
      </c>
      <c r="L3923" t="b">
        <v>1</v>
      </c>
      <c r="M3923" t="s">
        <v>2943</v>
      </c>
    </row>
    <row r="3924" spans="1:25" x14ac:dyDescent="0.2">
      <c r="A3924">
        <v>6841</v>
      </c>
      <c r="B3924" t="s">
        <v>8038</v>
      </c>
      <c r="C3924" t="s">
        <v>18</v>
      </c>
      <c r="D3924" t="s">
        <v>8040</v>
      </c>
      <c r="E3924" t="s">
        <v>2408</v>
      </c>
      <c r="F3924" t="s">
        <v>82</v>
      </c>
      <c r="G3924" t="s">
        <v>2942</v>
      </c>
      <c r="H3924" t="b">
        <v>1</v>
      </c>
      <c r="I3924" t="b">
        <v>1</v>
      </c>
      <c r="L3924" t="b">
        <v>1</v>
      </c>
      <c r="M3924" t="s">
        <v>8041</v>
      </c>
    </row>
    <row r="3925" spans="1:25" x14ac:dyDescent="0.2">
      <c r="A3925">
        <v>6842</v>
      </c>
      <c r="B3925" t="s">
        <v>8038</v>
      </c>
      <c r="C3925" t="s">
        <v>18</v>
      </c>
      <c r="D3925" t="s">
        <v>2935</v>
      </c>
      <c r="E3925" t="s">
        <v>2936</v>
      </c>
      <c r="F3925" t="s">
        <v>82</v>
      </c>
      <c r="G3925" t="s">
        <v>2925</v>
      </c>
      <c r="H3925" t="b">
        <v>0</v>
      </c>
      <c r="I3925" t="b">
        <v>0</v>
      </c>
      <c r="L3925" t="b">
        <v>0</v>
      </c>
      <c r="M3925" t="s">
        <v>2937</v>
      </c>
      <c r="N3925" t="s">
        <v>745</v>
      </c>
    </row>
    <row r="3926" spans="1:25" x14ac:dyDescent="0.2">
      <c r="A3926">
        <v>6843</v>
      </c>
      <c r="B3926" t="s">
        <v>8038</v>
      </c>
      <c r="C3926" t="s">
        <v>18</v>
      </c>
      <c r="D3926" t="s">
        <v>2927</v>
      </c>
      <c r="E3926" t="s">
        <v>2928</v>
      </c>
      <c r="F3926" t="s">
        <v>82</v>
      </c>
      <c r="G3926" t="s">
        <v>2925</v>
      </c>
      <c r="H3926" t="b">
        <v>0</v>
      </c>
      <c r="I3926" t="b">
        <v>0</v>
      </c>
      <c r="L3926" t="b">
        <v>0</v>
      </c>
    </row>
    <row r="3927" spans="1:25" x14ac:dyDescent="0.2">
      <c r="A3927">
        <v>6844</v>
      </c>
      <c r="B3927" t="s">
        <v>8038</v>
      </c>
      <c r="C3927" t="s">
        <v>18</v>
      </c>
      <c r="D3927" t="s">
        <v>2922</v>
      </c>
      <c r="E3927" t="s">
        <v>2923</v>
      </c>
      <c r="F3927" t="s">
        <v>82</v>
      </c>
      <c r="G3927" t="s">
        <v>2925</v>
      </c>
      <c r="H3927" t="b">
        <v>0</v>
      </c>
      <c r="I3927" t="b">
        <v>0</v>
      </c>
      <c r="L3927" t="b">
        <v>0</v>
      </c>
      <c r="M3927" t="s">
        <v>2926</v>
      </c>
      <c r="N3927" t="s">
        <v>745</v>
      </c>
    </row>
    <row r="3929" spans="1:25" x14ac:dyDescent="0.2">
      <c r="A3929" s="2">
        <v>6846</v>
      </c>
      <c r="B3929" s="2" t="s">
        <v>8042</v>
      </c>
      <c r="C3929" s="2" t="s">
        <v>13</v>
      </c>
      <c r="D3929" s="2" t="s">
        <v>8043</v>
      </c>
      <c r="E3929" s="2" t="s">
        <v>8044</v>
      </c>
      <c r="F3929" s="2" t="s">
        <v>78</v>
      </c>
      <c r="G3929" s="2" t="s">
        <v>62</v>
      </c>
      <c r="H3929" s="2"/>
      <c r="I3929" s="2"/>
      <c r="J3929" s="2"/>
      <c r="K3929" s="2"/>
      <c r="L3929" s="2"/>
      <c r="M3929" s="2"/>
      <c r="N3929" s="2"/>
      <c r="O3929" s="2"/>
      <c r="P3929" s="2"/>
      <c r="Q3929" s="2"/>
      <c r="R3929" s="2"/>
      <c r="S3929" s="2"/>
      <c r="T3929" s="2"/>
      <c r="U3929" s="2"/>
      <c r="V3929" s="2"/>
      <c r="W3929" s="2"/>
      <c r="X3929" s="2"/>
      <c r="Y3929" s="2"/>
    </row>
    <row r="3930" spans="1:25" x14ac:dyDescent="0.2">
      <c r="A3930">
        <v>6847</v>
      </c>
      <c r="B3930" t="s">
        <v>8042</v>
      </c>
      <c r="C3930" t="s">
        <v>18</v>
      </c>
      <c r="D3930" t="s">
        <v>8043</v>
      </c>
      <c r="E3930" t="s">
        <v>8044</v>
      </c>
      <c r="F3930" t="s">
        <v>78</v>
      </c>
      <c r="G3930" t="s">
        <v>3631</v>
      </c>
      <c r="H3930" t="b">
        <v>1</v>
      </c>
      <c r="K3930" t="b">
        <v>1</v>
      </c>
      <c r="L3930" t="b">
        <v>1</v>
      </c>
      <c r="M3930" t="s">
        <v>8045</v>
      </c>
      <c r="N3930" t="s">
        <v>8046</v>
      </c>
      <c r="O3930" t="s">
        <v>8047</v>
      </c>
      <c r="P3930" t="s">
        <v>8048</v>
      </c>
    </row>
    <row r="3931" spans="1:25" x14ac:dyDescent="0.2">
      <c r="A3931">
        <v>6848</v>
      </c>
      <c r="B3931" t="s">
        <v>8042</v>
      </c>
      <c r="C3931" t="s">
        <v>18</v>
      </c>
      <c r="D3931" t="s">
        <v>8049</v>
      </c>
      <c r="E3931" t="s">
        <v>7958</v>
      </c>
      <c r="F3931" t="s">
        <v>78</v>
      </c>
      <c r="G3931" t="s">
        <v>62</v>
      </c>
      <c r="H3931" t="b">
        <v>0</v>
      </c>
      <c r="K3931" t="b">
        <v>0</v>
      </c>
      <c r="L3931" t="b">
        <v>0</v>
      </c>
      <c r="M3931" t="s">
        <v>8050</v>
      </c>
      <c r="N3931" t="s">
        <v>8051</v>
      </c>
    </row>
    <row r="3932" spans="1:25" x14ac:dyDescent="0.2">
      <c r="A3932">
        <v>6849</v>
      </c>
      <c r="B3932" t="s">
        <v>8042</v>
      </c>
      <c r="C3932" t="s">
        <v>18</v>
      </c>
      <c r="D3932" t="s">
        <v>8052</v>
      </c>
      <c r="E3932" t="s">
        <v>34</v>
      </c>
      <c r="F3932" t="s">
        <v>78</v>
      </c>
      <c r="G3932" t="s">
        <v>62</v>
      </c>
      <c r="H3932" t="b">
        <v>0</v>
      </c>
      <c r="K3932" t="b">
        <v>0</v>
      </c>
      <c r="L3932" t="b">
        <v>0</v>
      </c>
      <c r="M3932" t="s">
        <v>8053</v>
      </c>
      <c r="N3932" t="s">
        <v>8054</v>
      </c>
    </row>
    <row r="3933" spans="1:25" x14ac:dyDescent="0.2">
      <c r="A3933">
        <v>6850</v>
      </c>
      <c r="B3933" t="s">
        <v>8042</v>
      </c>
      <c r="C3933" t="s">
        <v>18</v>
      </c>
      <c r="D3933" t="s">
        <v>8055</v>
      </c>
      <c r="E3933" t="s">
        <v>8056</v>
      </c>
      <c r="F3933" t="s">
        <v>78</v>
      </c>
      <c r="G3933" t="s">
        <v>62</v>
      </c>
      <c r="H3933" t="b">
        <v>0</v>
      </c>
      <c r="K3933" t="b">
        <v>0</v>
      </c>
      <c r="L3933" t="b">
        <v>0</v>
      </c>
      <c r="M3933" t="s">
        <v>8057</v>
      </c>
      <c r="N3933" t="s">
        <v>8058</v>
      </c>
    </row>
    <row r="3934" spans="1:25" x14ac:dyDescent="0.2">
      <c r="A3934">
        <v>6851</v>
      </c>
      <c r="B3934" t="s">
        <v>8042</v>
      </c>
      <c r="C3934" t="s">
        <v>18</v>
      </c>
      <c r="D3934" t="s">
        <v>8059</v>
      </c>
      <c r="E3934" t="s">
        <v>8060</v>
      </c>
      <c r="F3934" t="s">
        <v>144</v>
      </c>
      <c r="G3934" t="s">
        <v>62</v>
      </c>
      <c r="H3934" t="b">
        <v>0</v>
      </c>
      <c r="K3934" t="b">
        <v>0</v>
      </c>
      <c r="L3934" t="b">
        <v>0</v>
      </c>
      <c r="M3934" t="s">
        <v>8061</v>
      </c>
    </row>
    <row r="3936" spans="1:25" x14ac:dyDescent="0.2">
      <c r="A3936" s="2">
        <v>6853</v>
      </c>
      <c r="B3936" s="2" t="s">
        <v>8062</v>
      </c>
      <c r="C3936" s="2" t="s">
        <v>13</v>
      </c>
      <c r="D3936" s="2" t="s">
        <v>8049</v>
      </c>
      <c r="E3936" s="2" t="s">
        <v>8063</v>
      </c>
      <c r="F3936" s="2" t="s">
        <v>78</v>
      </c>
      <c r="G3936" s="2" t="s">
        <v>62</v>
      </c>
      <c r="H3936" s="2"/>
      <c r="I3936" s="2"/>
      <c r="J3936" s="2"/>
      <c r="K3936" s="2"/>
      <c r="L3936" s="2"/>
      <c r="M3936" s="2"/>
      <c r="N3936" s="2"/>
      <c r="O3936" s="2"/>
      <c r="P3936" s="2"/>
      <c r="Q3936" s="2"/>
      <c r="R3936" s="2"/>
      <c r="S3936" s="2"/>
      <c r="T3936" s="2"/>
      <c r="U3936" s="2"/>
      <c r="V3936" s="2"/>
      <c r="W3936" s="2"/>
      <c r="X3936" s="2"/>
      <c r="Y3936" s="2"/>
    </row>
    <row r="3937" spans="1:25" x14ac:dyDescent="0.2">
      <c r="A3937">
        <v>6854</v>
      </c>
      <c r="B3937" t="s">
        <v>8062</v>
      </c>
      <c r="C3937" t="s">
        <v>18</v>
      </c>
      <c r="D3937" t="s">
        <v>8049</v>
      </c>
      <c r="E3937" t="s">
        <v>7958</v>
      </c>
      <c r="F3937" t="s">
        <v>78</v>
      </c>
      <c r="G3937" t="s">
        <v>62</v>
      </c>
      <c r="H3937" t="b">
        <v>1</v>
      </c>
      <c r="K3937" t="b">
        <v>1</v>
      </c>
      <c r="L3937" t="b">
        <v>1</v>
      </c>
      <c r="M3937" t="s">
        <v>8050</v>
      </c>
      <c r="N3937" t="s">
        <v>8051</v>
      </c>
    </row>
    <row r="3938" spans="1:25" x14ac:dyDescent="0.2">
      <c r="A3938">
        <v>6855</v>
      </c>
      <c r="B3938" t="s">
        <v>8062</v>
      </c>
      <c r="C3938" t="s">
        <v>18</v>
      </c>
      <c r="D3938" t="s">
        <v>8052</v>
      </c>
      <c r="E3938" t="s">
        <v>34</v>
      </c>
      <c r="F3938" t="s">
        <v>78</v>
      </c>
      <c r="G3938" t="s">
        <v>62</v>
      </c>
      <c r="H3938" t="b">
        <v>1</v>
      </c>
      <c r="K3938" t="b">
        <v>1</v>
      </c>
      <c r="L3938" t="b">
        <v>1</v>
      </c>
      <c r="M3938" t="s">
        <v>8053</v>
      </c>
      <c r="N3938" t="s">
        <v>8054</v>
      </c>
    </row>
    <row r="3939" spans="1:25" x14ac:dyDescent="0.2">
      <c r="A3939">
        <v>6856</v>
      </c>
      <c r="B3939" t="s">
        <v>8062</v>
      </c>
      <c r="C3939" t="s">
        <v>18</v>
      </c>
      <c r="D3939" t="s">
        <v>8043</v>
      </c>
      <c r="E3939" t="s">
        <v>8044</v>
      </c>
      <c r="F3939" t="s">
        <v>78</v>
      </c>
      <c r="G3939" t="s">
        <v>3631</v>
      </c>
      <c r="H3939" t="b">
        <v>0</v>
      </c>
      <c r="K3939" t="b">
        <v>0</v>
      </c>
      <c r="L3939" t="b">
        <v>0</v>
      </c>
      <c r="M3939" t="s">
        <v>8045</v>
      </c>
      <c r="N3939" t="s">
        <v>8046</v>
      </c>
      <c r="O3939" t="s">
        <v>8047</v>
      </c>
      <c r="P3939" t="s">
        <v>8048</v>
      </c>
    </row>
    <row r="3940" spans="1:25" x14ac:dyDescent="0.2">
      <c r="A3940">
        <v>6857</v>
      </c>
      <c r="B3940" t="s">
        <v>8062</v>
      </c>
      <c r="C3940" t="s">
        <v>18</v>
      </c>
      <c r="D3940" t="s">
        <v>8055</v>
      </c>
      <c r="E3940" t="s">
        <v>8056</v>
      </c>
      <c r="F3940" t="s">
        <v>78</v>
      </c>
      <c r="G3940" t="s">
        <v>62</v>
      </c>
      <c r="H3940" t="b">
        <v>0</v>
      </c>
      <c r="K3940" t="b">
        <v>0</v>
      </c>
      <c r="L3940" t="b">
        <v>0</v>
      </c>
      <c r="M3940" t="s">
        <v>8057</v>
      </c>
      <c r="N3940" t="s">
        <v>8058</v>
      </c>
    </row>
    <row r="3941" spans="1:25" x14ac:dyDescent="0.2">
      <c r="A3941">
        <v>6858</v>
      </c>
      <c r="B3941" t="s">
        <v>8062</v>
      </c>
      <c r="C3941" t="s">
        <v>18</v>
      </c>
      <c r="D3941" t="s">
        <v>8059</v>
      </c>
      <c r="E3941" t="s">
        <v>8060</v>
      </c>
      <c r="F3941" t="s">
        <v>144</v>
      </c>
      <c r="G3941" t="s">
        <v>62</v>
      </c>
      <c r="H3941" t="b">
        <v>0</v>
      </c>
      <c r="K3941" t="b">
        <v>0</v>
      </c>
      <c r="L3941" t="b">
        <v>0</v>
      </c>
      <c r="M3941" t="s">
        <v>8061</v>
      </c>
    </row>
    <row r="3943" spans="1:25" x14ac:dyDescent="0.2">
      <c r="A3943" s="2">
        <v>686</v>
      </c>
      <c r="B3943" s="2" t="s">
        <v>8064</v>
      </c>
      <c r="C3943" s="2" t="s">
        <v>13</v>
      </c>
      <c r="D3943" s="2" t="s">
        <v>8065</v>
      </c>
      <c r="E3943" s="2" t="s">
        <v>8066</v>
      </c>
      <c r="F3943" s="2" t="s">
        <v>31</v>
      </c>
      <c r="G3943" s="2" t="s">
        <v>24</v>
      </c>
      <c r="H3943" s="2"/>
      <c r="I3943" s="2"/>
      <c r="J3943" s="2"/>
      <c r="K3943" s="2"/>
      <c r="L3943" s="2"/>
      <c r="M3943" s="2"/>
      <c r="N3943" s="2"/>
      <c r="O3943" s="2"/>
      <c r="P3943" s="2"/>
      <c r="Q3943" s="2"/>
      <c r="R3943" s="2"/>
      <c r="S3943" s="2"/>
      <c r="T3943" s="2"/>
      <c r="U3943" s="2"/>
      <c r="V3943" s="2"/>
      <c r="W3943" s="2"/>
      <c r="X3943" s="2"/>
      <c r="Y3943" s="2"/>
    </row>
    <row r="3944" spans="1:25" x14ac:dyDescent="0.2">
      <c r="A3944">
        <v>687</v>
      </c>
      <c r="B3944" t="s">
        <v>8064</v>
      </c>
      <c r="C3944" t="s">
        <v>18</v>
      </c>
      <c r="D3944" t="s">
        <v>8065</v>
      </c>
      <c r="E3944" t="s">
        <v>3844</v>
      </c>
      <c r="F3944" t="s">
        <v>31</v>
      </c>
      <c r="G3944" t="s">
        <v>24</v>
      </c>
      <c r="H3944" t="b">
        <v>1</v>
      </c>
      <c r="I3944" t="b">
        <v>1</v>
      </c>
      <c r="L3944" t="b">
        <v>1</v>
      </c>
      <c r="M3944" t="s">
        <v>8067</v>
      </c>
      <c r="N3944" t="s">
        <v>8068</v>
      </c>
    </row>
    <row r="3945" spans="1:25" x14ac:dyDescent="0.2">
      <c r="A3945">
        <v>688</v>
      </c>
      <c r="B3945" t="s">
        <v>8064</v>
      </c>
      <c r="C3945" t="s">
        <v>18</v>
      </c>
      <c r="D3945" t="s">
        <v>6771</v>
      </c>
      <c r="E3945" t="s">
        <v>381</v>
      </c>
      <c r="F3945" t="s">
        <v>31</v>
      </c>
      <c r="G3945" t="s">
        <v>24</v>
      </c>
      <c r="H3945" t="b">
        <v>1</v>
      </c>
      <c r="I3945" t="b">
        <v>1</v>
      </c>
      <c r="L3945" t="b">
        <v>1</v>
      </c>
      <c r="M3945" t="s">
        <v>6772</v>
      </c>
      <c r="N3945" t="s">
        <v>6773</v>
      </c>
    </row>
    <row r="3946" spans="1:25" x14ac:dyDescent="0.2">
      <c r="A3946">
        <v>689</v>
      </c>
      <c r="B3946" t="s">
        <v>8064</v>
      </c>
      <c r="C3946" t="s">
        <v>18</v>
      </c>
      <c r="D3946" t="s">
        <v>8069</v>
      </c>
      <c r="E3946" t="s">
        <v>8070</v>
      </c>
      <c r="F3946" t="s">
        <v>31</v>
      </c>
      <c r="G3946" t="s">
        <v>62</v>
      </c>
      <c r="H3946" t="b">
        <v>0</v>
      </c>
      <c r="I3946" t="b">
        <v>0</v>
      </c>
      <c r="L3946" t="b">
        <v>0</v>
      </c>
      <c r="M3946" t="s">
        <v>8071</v>
      </c>
    </row>
    <row r="3947" spans="1:25" x14ac:dyDescent="0.2">
      <c r="A3947">
        <v>690</v>
      </c>
      <c r="B3947" t="s">
        <v>8064</v>
      </c>
      <c r="C3947" t="s">
        <v>18</v>
      </c>
      <c r="D3947" t="s">
        <v>194</v>
      </c>
      <c r="E3947" t="s">
        <v>195</v>
      </c>
      <c r="F3947" t="s">
        <v>196</v>
      </c>
      <c r="G3947" t="s">
        <v>17</v>
      </c>
      <c r="H3947" t="b">
        <v>0</v>
      </c>
      <c r="I3947" t="b">
        <v>0</v>
      </c>
      <c r="L3947" t="b">
        <v>0</v>
      </c>
      <c r="M3947" t="s">
        <v>8072</v>
      </c>
    </row>
    <row r="3948" spans="1:25" x14ac:dyDescent="0.2">
      <c r="A3948">
        <v>691</v>
      </c>
      <c r="B3948" t="s">
        <v>8064</v>
      </c>
      <c r="C3948" t="s">
        <v>18</v>
      </c>
      <c r="D3948" t="s">
        <v>6763</v>
      </c>
      <c r="E3948" t="s">
        <v>4078</v>
      </c>
      <c r="F3948" t="s">
        <v>45</v>
      </c>
      <c r="G3948" t="s">
        <v>24</v>
      </c>
      <c r="H3948" t="b">
        <v>0</v>
      </c>
      <c r="I3948" t="b">
        <v>0</v>
      </c>
      <c r="L3948" t="b">
        <v>0</v>
      </c>
      <c r="M3948" t="s">
        <v>6765</v>
      </c>
    </row>
    <row r="3950" spans="1:25" x14ac:dyDescent="0.2">
      <c r="A3950" s="2">
        <v>6867</v>
      </c>
      <c r="B3950" s="2" t="s">
        <v>8073</v>
      </c>
      <c r="C3950" s="2" t="s">
        <v>13</v>
      </c>
      <c r="D3950" s="2" t="s">
        <v>5763</v>
      </c>
      <c r="E3950" s="2" t="s">
        <v>8074</v>
      </c>
      <c r="F3950" s="2" t="s">
        <v>78</v>
      </c>
      <c r="G3950" s="2" t="s">
        <v>62</v>
      </c>
      <c r="H3950" s="2"/>
      <c r="I3950" s="2"/>
      <c r="J3950" s="2"/>
      <c r="K3950" s="2"/>
      <c r="L3950" s="2"/>
      <c r="M3950" s="2"/>
      <c r="N3950" s="2"/>
      <c r="O3950" s="2"/>
      <c r="P3950" s="2"/>
      <c r="Q3950" s="2"/>
      <c r="R3950" s="2"/>
      <c r="S3950" s="2"/>
      <c r="T3950" s="2"/>
      <c r="U3950" s="2"/>
      <c r="V3950" s="2"/>
      <c r="W3950" s="2"/>
      <c r="X3950" s="2"/>
      <c r="Y3950" s="2"/>
    </row>
    <row r="3951" spans="1:25" x14ac:dyDescent="0.2">
      <c r="A3951">
        <v>6868</v>
      </c>
      <c r="B3951" t="s">
        <v>8073</v>
      </c>
      <c r="C3951" t="s">
        <v>18</v>
      </c>
      <c r="D3951" t="s">
        <v>5763</v>
      </c>
      <c r="E3951" t="s">
        <v>282</v>
      </c>
      <c r="F3951" t="s">
        <v>78</v>
      </c>
      <c r="G3951" t="s">
        <v>62</v>
      </c>
      <c r="H3951" t="b">
        <v>1</v>
      </c>
      <c r="I3951" t="b">
        <v>1</v>
      </c>
      <c r="L3951" t="b">
        <v>1</v>
      </c>
      <c r="M3951" t="s">
        <v>5764</v>
      </c>
    </row>
    <row r="3952" spans="1:25" x14ac:dyDescent="0.2">
      <c r="A3952">
        <v>6869</v>
      </c>
      <c r="B3952" t="s">
        <v>8073</v>
      </c>
      <c r="C3952" t="s">
        <v>18</v>
      </c>
      <c r="D3952" t="s">
        <v>8075</v>
      </c>
      <c r="E3952" t="s">
        <v>8076</v>
      </c>
      <c r="F3952" t="s">
        <v>78</v>
      </c>
      <c r="G3952" t="s">
        <v>62</v>
      </c>
      <c r="H3952" t="b">
        <v>1</v>
      </c>
      <c r="I3952" t="b">
        <v>1</v>
      </c>
      <c r="L3952" t="b">
        <v>1</v>
      </c>
      <c r="M3952" t="s">
        <v>8077</v>
      </c>
    </row>
    <row r="3953" spans="1:25" x14ac:dyDescent="0.2">
      <c r="A3953">
        <v>6870</v>
      </c>
      <c r="B3953" t="s">
        <v>8073</v>
      </c>
      <c r="C3953" t="s">
        <v>18</v>
      </c>
      <c r="D3953" t="s">
        <v>8078</v>
      </c>
      <c r="E3953" t="s">
        <v>8079</v>
      </c>
      <c r="F3953" t="s">
        <v>78</v>
      </c>
      <c r="G3953" t="s">
        <v>62</v>
      </c>
      <c r="H3953" t="b">
        <v>0</v>
      </c>
      <c r="I3953" t="b">
        <v>0</v>
      </c>
      <c r="L3953" t="b">
        <v>0</v>
      </c>
      <c r="M3953" t="s">
        <v>8080</v>
      </c>
      <c r="N3953" t="s">
        <v>8081</v>
      </c>
    </row>
    <row r="3954" spans="1:25" x14ac:dyDescent="0.2">
      <c r="A3954">
        <v>6871</v>
      </c>
      <c r="B3954" t="s">
        <v>8073</v>
      </c>
      <c r="C3954" t="s">
        <v>18</v>
      </c>
      <c r="D3954" t="s">
        <v>8082</v>
      </c>
      <c r="E3954" t="s">
        <v>8083</v>
      </c>
      <c r="F3954" t="s">
        <v>159</v>
      </c>
      <c r="G3954" t="s">
        <v>8084</v>
      </c>
      <c r="H3954" t="b">
        <v>0</v>
      </c>
      <c r="I3954" t="b">
        <v>0</v>
      </c>
      <c r="L3954" t="b">
        <v>0</v>
      </c>
      <c r="M3954" t="s">
        <v>8085</v>
      </c>
      <c r="N3954" t="s">
        <v>8086</v>
      </c>
    </row>
    <row r="3955" spans="1:25" x14ac:dyDescent="0.2">
      <c r="A3955">
        <v>6872</v>
      </c>
      <c r="B3955" t="s">
        <v>8073</v>
      </c>
      <c r="C3955" t="s">
        <v>18</v>
      </c>
      <c r="D3955" t="s">
        <v>1280</v>
      </c>
      <c r="E3955" t="s">
        <v>1279</v>
      </c>
      <c r="F3955" t="s">
        <v>122</v>
      </c>
      <c r="G3955" t="s">
        <v>62</v>
      </c>
      <c r="H3955" t="b">
        <v>0</v>
      </c>
      <c r="I3955" t="b">
        <v>0</v>
      </c>
      <c r="L3955" t="b">
        <v>0</v>
      </c>
      <c r="M3955" t="s">
        <v>1281</v>
      </c>
      <c r="N3955" t="s">
        <v>1282</v>
      </c>
      <c r="O3955" t="s">
        <v>1283</v>
      </c>
    </row>
    <row r="3957" spans="1:25" x14ac:dyDescent="0.2">
      <c r="A3957" s="2">
        <v>6888</v>
      </c>
      <c r="B3957" s="2" t="s">
        <v>8087</v>
      </c>
      <c r="C3957" s="2" t="s">
        <v>13</v>
      </c>
      <c r="D3957" s="2" t="s">
        <v>8088</v>
      </c>
      <c r="E3957" s="2" t="s">
        <v>8089</v>
      </c>
      <c r="F3957" s="2" t="s">
        <v>248</v>
      </c>
      <c r="G3957" s="2" t="s">
        <v>265</v>
      </c>
      <c r="H3957" s="2"/>
      <c r="I3957" s="2"/>
      <c r="J3957" s="2"/>
      <c r="K3957" s="2"/>
      <c r="L3957" s="2"/>
      <c r="M3957" s="2"/>
      <c r="N3957" s="2"/>
      <c r="O3957" s="2"/>
      <c r="P3957" s="2"/>
      <c r="Q3957" s="2"/>
      <c r="R3957" s="2"/>
      <c r="S3957" s="2"/>
      <c r="T3957" s="2"/>
      <c r="U3957" s="2"/>
      <c r="V3957" s="2"/>
      <c r="W3957" s="2"/>
      <c r="X3957" s="2"/>
      <c r="Y3957" s="2"/>
    </row>
    <row r="3958" spans="1:25" x14ac:dyDescent="0.2">
      <c r="A3958">
        <v>6889</v>
      </c>
      <c r="B3958" t="s">
        <v>8087</v>
      </c>
      <c r="C3958" t="s">
        <v>18</v>
      </c>
      <c r="D3958" t="s">
        <v>8088</v>
      </c>
      <c r="E3958" t="s">
        <v>8089</v>
      </c>
      <c r="F3958" t="s">
        <v>248</v>
      </c>
      <c r="G3958" t="s">
        <v>265</v>
      </c>
      <c r="H3958" t="b">
        <v>1</v>
      </c>
      <c r="K3958" t="b">
        <v>1</v>
      </c>
      <c r="L3958" t="b">
        <v>1</v>
      </c>
      <c r="M3958" t="s">
        <v>8090</v>
      </c>
      <c r="N3958" t="s">
        <v>8091</v>
      </c>
      <c r="O3958" t="s">
        <v>8092</v>
      </c>
      <c r="P3958" t="s">
        <v>8093</v>
      </c>
    </row>
    <row r="3959" spans="1:25" x14ac:dyDescent="0.2">
      <c r="A3959">
        <v>6890</v>
      </c>
      <c r="B3959" t="s">
        <v>8087</v>
      </c>
      <c r="C3959" t="s">
        <v>18</v>
      </c>
      <c r="D3959" t="s">
        <v>8094</v>
      </c>
      <c r="E3959" t="s">
        <v>8095</v>
      </c>
      <c r="F3959" t="s">
        <v>248</v>
      </c>
      <c r="G3959" t="s">
        <v>265</v>
      </c>
      <c r="H3959" t="b">
        <v>0</v>
      </c>
      <c r="K3959" t="b">
        <v>0</v>
      </c>
      <c r="L3959" t="b">
        <v>0</v>
      </c>
      <c r="M3959" t="s">
        <v>8096</v>
      </c>
    </row>
    <row r="3960" spans="1:25" x14ac:dyDescent="0.2">
      <c r="A3960">
        <v>6891</v>
      </c>
      <c r="B3960" t="s">
        <v>8087</v>
      </c>
      <c r="C3960" t="s">
        <v>18</v>
      </c>
      <c r="D3960" t="s">
        <v>8097</v>
      </c>
      <c r="E3960" t="s">
        <v>8098</v>
      </c>
      <c r="F3960" t="s">
        <v>248</v>
      </c>
      <c r="G3960" t="s">
        <v>265</v>
      </c>
      <c r="H3960" t="b">
        <v>0</v>
      </c>
      <c r="K3960" t="b">
        <v>0</v>
      </c>
      <c r="L3960" t="b">
        <v>0</v>
      </c>
      <c r="M3960" t="s">
        <v>8099</v>
      </c>
    </row>
    <row r="3961" spans="1:25" x14ac:dyDescent="0.2">
      <c r="A3961">
        <v>6892</v>
      </c>
      <c r="B3961" t="s">
        <v>8087</v>
      </c>
      <c r="C3961" t="s">
        <v>18</v>
      </c>
      <c r="D3961" t="s">
        <v>8100</v>
      </c>
      <c r="E3961" t="s">
        <v>8101</v>
      </c>
      <c r="F3961" t="s">
        <v>248</v>
      </c>
      <c r="G3961" t="s">
        <v>265</v>
      </c>
      <c r="H3961" t="b">
        <v>0</v>
      </c>
      <c r="K3961" t="b">
        <v>0</v>
      </c>
      <c r="L3961" t="b">
        <v>0</v>
      </c>
      <c r="M3961" t="s">
        <v>8102</v>
      </c>
      <c r="N3961" t="s">
        <v>8103</v>
      </c>
    </row>
    <row r="3962" spans="1:25" x14ac:dyDescent="0.2">
      <c r="A3962">
        <v>6893</v>
      </c>
      <c r="B3962" t="s">
        <v>8087</v>
      </c>
      <c r="C3962" t="s">
        <v>18</v>
      </c>
      <c r="D3962" t="s">
        <v>8104</v>
      </c>
      <c r="E3962" t="s">
        <v>8105</v>
      </c>
      <c r="F3962" t="s">
        <v>248</v>
      </c>
      <c r="G3962" t="s">
        <v>265</v>
      </c>
      <c r="H3962" t="b">
        <v>0</v>
      </c>
      <c r="K3962" t="b">
        <v>0</v>
      </c>
      <c r="L3962" t="b">
        <v>0</v>
      </c>
    </row>
    <row r="3964" spans="1:25" x14ac:dyDescent="0.2">
      <c r="A3964" s="2">
        <v>6895</v>
      </c>
      <c r="B3964" s="2" t="s">
        <v>8106</v>
      </c>
      <c r="C3964" s="2" t="s">
        <v>13</v>
      </c>
      <c r="D3964" s="2" t="s">
        <v>8107</v>
      </c>
      <c r="E3964" s="2" t="s">
        <v>8108</v>
      </c>
      <c r="F3964" s="2" t="s">
        <v>31</v>
      </c>
      <c r="G3964" s="2" t="s">
        <v>17</v>
      </c>
      <c r="H3964" s="2"/>
      <c r="I3964" s="2"/>
      <c r="J3964" s="2"/>
      <c r="K3964" s="2"/>
      <c r="L3964" s="2"/>
      <c r="M3964" s="2"/>
      <c r="N3964" s="2"/>
      <c r="O3964" s="2"/>
      <c r="P3964" s="2"/>
      <c r="Q3964" s="2"/>
      <c r="R3964" s="2"/>
      <c r="S3964" s="2"/>
      <c r="T3964" s="2"/>
      <c r="U3964" s="2"/>
      <c r="V3964" s="2"/>
      <c r="W3964" s="2"/>
      <c r="X3964" s="2"/>
      <c r="Y3964" s="2"/>
    </row>
    <row r="3965" spans="1:25" x14ac:dyDescent="0.2">
      <c r="A3965">
        <v>6896</v>
      </c>
      <c r="B3965" t="s">
        <v>8106</v>
      </c>
      <c r="C3965" t="s">
        <v>18</v>
      </c>
      <c r="D3965" t="s">
        <v>8107</v>
      </c>
      <c r="E3965" t="s">
        <v>455</v>
      </c>
      <c r="F3965" t="s">
        <v>31</v>
      </c>
      <c r="G3965" t="s">
        <v>17</v>
      </c>
      <c r="H3965" t="b">
        <v>1</v>
      </c>
      <c r="K3965" t="b">
        <v>1</v>
      </c>
      <c r="L3965" t="b">
        <v>1</v>
      </c>
      <c r="M3965" t="s">
        <v>8109</v>
      </c>
    </row>
    <row r="3966" spans="1:25" x14ac:dyDescent="0.2">
      <c r="A3966">
        <v>6897</v>
      </c>
      <c r="B3966" t="s">
        <v>8106</v>
      </c>
      <c r="C3966" t="s">
        <v>18</v>
      </c>
      <c r="D3966" t="s">
        <v>8110</v>
      </c>
      <c r="E3966" t="s">
        <v>8111</v>
      </c>
      <c r="F3966" t="s">
        <v>31</v>
      </c>
      <c r="G3966" t="s">
        <v>17</v>
      </c>
      <c r="H3966" t="b">
        <v>1</v>
      </c>
      <c r="K3966" t="b">
        <v>1</v>
      </c>
      <c r="L3966" t="b">
        <v>1</v>
      </c>
      <c r="M3966" t="s">
        <v>8112</v>
      </c>
    </row>
    <row r="3967" spans="1:25" x14ac:dyDescent="0.2">
      <c r="A3967">
        <v>6898</v>
      </c>
      <c r="B3967" t="s">
        <v>8106</v>
      </c>
      <c r="C3967" t="s">
        <v>18</v>
      </c>
      <c r="D3967" t="s">
        <v>8113</v>
      </c>
      <c r="E3967" t="s">
        <v>8114</v>
      </c>
      <c r="F3967" t="s">
        <v>31</v>
      </c>
      <c r="G3967" t="s">
        <v>17</v>
      </c>
      <c r="H3967" t="b">
        <v>0</v>
      </c>
      <c r="K3967" t="b">
        <v>0</v>
      </c>
      <c r="L3967" t="b">
        <v>0</v>
      </c>
    </row>
    <row r="3968" spans="1:25" x14ac:dyDescent="0.2">
      <c r="A3968">
        <v>6899</v>
      </c>
      <c r="B3968" t="s">
        <v>8106</v>
      </c>
      <c r="C3968" t="s">
        <v>18</v>
      </c>
      <c r="D3968" t="s">
        <v>8115</v>
      </c>
      <c r="E3968" t="s">
        <v>8116</v>
      </c>
      <c r="F3968" t="s">
        <v>31</v>
      </c>
      <c r="G3968" t="s">
        <v>17</v>
      </c>
      <c r="H3968" t="b">
        <v>0</v>
      </c>
      <c r="K3968" t="b">
        <v>0</v>
      </c>
      <c r="L3968" t="b">
        <v>0</v>
      </c>
      <c r="M3968" t="s">
        <v>8117</v>
      </c>
      <c r="N3968" t="s">
        <v>8118</v>
      </c>
    </row>
    <row r="3969" spans="1:25" x14ac:dyDescent="0.2">
      <c r="A3969">
        <v>6900</v>
      </c>
      <c r="B3969" t="s">
        <v>8106</v>
      </c>
      <c r="C3969" t="s">
        <v>18</v>
      </c>
      <c r="D3969" t="s">
        <v>8119</v>
      </c>
      <c r="E3969" t="s">
        <v>8120</v>
      </c>
      <c r="F3969" t="s">
        <v>31</v>
      </c>
      <c r="G3969" t="s">
        <v>17</v>
      </c>
      <c r="H3969" t="b">
        <v>0</v>
      </c>
      <c r="K3969" t="b">
        <v>0</v>
      </c>
      <c r="L3969" t="b">
        <v>0</v>
      </c>
    </row>
    <row r="3971" spans="1:25" x14ac:dyDescent="0.2">
      <c r="A3971" s="2">
        <v>6902</v>
      </c>
      <c r="B3971" s="2" t="s">
        <v>8121</v>
      </c>
      <c r="C3971" s="2" t="s">
        <v>13</v>
      </c>
      <c r="D3971" s="2" t="s">
        <v>8122</v>
      </c>
      <c r="E3971" s="2" t="s">
        <v>8123</v>
      </c>
      <c r="F3971" s="2" t="s">
        <v>31</v>
      </c>
      <c r="G3971" s="2" t="s">
        <v>17</v>
      </c>
      <c r="H3971" s="2"/>
      <c r="I3971" s="2"/>
      <c r="J3971" s="2"/>
      <c r="K3971" s="2"/>
      <c r="L3971" s="2"/>
      <c r="M3971" s="2"/>
      <c r="N3971" s="2"/>
      <c r="O3971" s="2"/>
      <c r="P3971" s="2"/>
      <c r="Q3971" s="2"/>
      <c r="R3971" s="2"/>
      <c r="S3971" s="2"/>
      <c r="T3971" s="2"/>
      <c r="U3971" s="2"/>
      <c r="V3971" s="2"/>
      <c r="W3971" s="2"/>
      <c r="X3971" s="2"/>
      <c r="Y3971" s="2"/>
    </row>
    <row r="3972" spans="1:25" x14ac:dyDescent="0.2">
      <c r="A3972">
        <v>6903</v>
      </c>
      <c r="B3972" t="s">
        <v>8121</v>
      </c>
      <c r="C3972" t="s">
        <v>18</v>
      </c>
      <c r="D3972" t="s">
        <v>8122</v>
      </c>
      <c r="E3972" t="s">
        <v>8124</v>
      </c>
      <c r="F3972" t="s">
        <v>31</v>
      </c>
      <c r="G3972" t="s">
        <v>17</v>
      </c>
      <c r="H3972" t="b">
        <v>1</v>
      </c>
      <c r="I3972" t="b">
        <v>1</v>
      </c>
      <c r="L3972" t="b">
        <v>1</v>
      </c>
      <c r="M3972" t="s">
        <v>8125</v>
      </c>
      <c r="N3972" t="s">
        <v>8126</v>
      </c>
      <c r="O3972" t="s">
        <v>8127</v>
      </c>
      <c r="P3972" t="s">
        <v>8128</v>
      </c>
    </row>
    <row r="3973" spans="1:25" x14ac:dyDescent="0.2">
      <c r="A3973">
        <v>6904</v>
      </c>
      <c r="B3973" t="s">
        <v>8121</v>
      </c>
      <c r="C3973" t="s">
        <v>18</v>
      </c>
      <c r="D3973" t="s">
        <v>547</v>
      </c>
      <c r="E3973" t="s">
        <v>548</v>
      </c>
      <c r="F3973" t="s">
        <v>78</v>
      </c>
      <c r="G3973" t="s">
        <v>17</v>
      </c>
      <c r="H3973" t="b">
        <v>0</v>
      </c>
      <c r="I3973" t="b">
        <v>0</v>
      </c>
      <c r="L3973" t="b">
        <v>0</v>
      </c>
      <c r="M3973" t="s">
        <v>549</v>
      </c>
      <c r="N3973" t="s">
        <v>550</v>
      </c>
      <c r="O3973" t="s">
        <v>551</v>
      </c>
    </row>
    <row r="3974" spans="1:25" x14ac:dyDescent="0.2">
      <c r="A3974">
        <v>6905</v>
      </c>
      <c r="B3974" t="s">
        <v>8121</v>
      </c>
      <c r="C3974" t="s">
        <v>18</v>
      </c>
      <c r="D3974" t="s">
        <v>8129</v>
      </c>
      <c r="E3974" t="s">
        <v>8130</v>
      </c>
      <c r="F3974" t="s">
        <v>200</v>
      </c>
      <c r="G3974" t="s">
        <v>62</v>
      </c>
      <c r="H3974" t="b">
        <v>0</v>
      </c>
      <c r="I3974" t="b">
        <v>0</v>
      </c>
      <c r="L3974" t="b">
        <v>0</v>
      </c>
      <c r="M3974" t="s">
        <v>8131</v>
      </c>
    </row>
    <row r="3975" spans="1:25" x14ac:dyDescent="0.2">
      <c r="A3975">
        <v>6906</v>
      </c>
      <c r="B3975" t="s">
        <v>8121</v>
      </c>
      <c r="C3975" t="s">
        <v>18</v>
      </c>
      <c r="D3975" t="s">
        <v>538</v>
      </c>
      <c r="E3975" t="s">
        <v>540</v>
      </c>
      <c r="F3975" t="s">
        <v>31</v>
      </c>
      <c r="G3975" t="s">
        <v>17</v>
      </c>
      <c r="H3975" t="b">
        <v>0</v>
      </c>
      <c r="I3975" t="b">
        <v>0</v>
      </c>
      <c r="L3975" t="b">
        <v>0</v>
      </c>
      <c r="M3975" t="s">
        <v>541</v>
      </c>
      <c r="N3975" t="s">
        <v>542</v>
      </c>
    </row>
    <row r="3976" spans="1:25" x14ac:dyDescent="0.2">
      <c r="A3976">
        <v>6907</v>
      </c>
      <c r="B3976" t="s">
        <v>8121</v>
      </c>
      <c r="C3976" t="s">
        <v>18</v>
      </c>
      <c r="D3976" t="s">
        <v>552</v>
      </c>
      <c r="E3976" t="s">
        <v>553</v>
      </c>
      <c r="F3976" t="s">
        <v>174</v>
      </c>
      <c r="G3976" t="s">
        <v>17</v>
      </c>
      <c r="H3976" t="b">
        <v>0</v>
      </c>
      <c r="I3976" t="b">
        <v>0</v>
      </c>
      <c r="L3976" t="b">
        <v>0</v>
      </c>
      <c r="M3976" t="s">
        <v>554</v>
      </c>
    </row>
    <row r="3978" spans="1:25" x14ac:dyDescent="0.2">
      <c r="A3978" s="2">
        <v>6909</v>
      </c>
      <c r="B3978" s="2" t="s">
        <v>8132</v>
      </c>
      <c r="C3978" s="2" t="s">
        <v>13</v>
      </c>
      <c r="D3978" s="2" t="s">
        <v>8133</v>
      </c>
      <c r="E3978" s="2" t="s">
        <v>8134</v>
      </c>
      <c r="F3978" s="2" t="s">
        <v>16</v>
      </c>
      <c r="G3978" s="2" t="s">
        <v>1405</v>
      </c>
      <c r="H3978" s="2"/>
      <c r="I3978" s="2"/>
      <c r="J3978" s="2"/>
      <c r="K3978" s="2"/>
      <c r="L3978" s="2"/>
      <c r="M3978" s="2"/>
      <c r="N3978" s="2"/>
      <c r="O3978" s="2"/>
      <c r="P3978" s="2"/>
      <c r="Q3978" s="2"/>
      <c r="R3978" s="2"/>
      <c r="S3978" s="2"/>
      <c r="T3978" s="2"/>
      <c r="U3978" s="2"/>
      <c r="V3978" s="2"/>
      <c r="W3978" s="2"/>
      <c r="X3978" s="2"/>
      <c r="Y3978" s="2"/>
    </row>
    <row r="3979" spans="1:25" x14ac:dyDescent="0.2">
      <c r="A3979">
        <v>6910</v>
      </c>
      <c r="B3979" t="s">
        <v>8132</v>
      </c>
      <c r="C3979" t="s">
        <v>18</v>
      </c>
      <c r="D3979" t="s">
        <v>5561</v>
      </c>
      <c r="E3979" t="s">
        <v>5562</v>
      </c>
      <c r="F3979" t="s">
        <v>16</v>
      </c>
      <c r="G3979" t="s">
        <v>1406</v>
      </c>
      <c r="H3979" t="b">
        <v>1</v>
      </c>
      <c r="I3979" t="b">
        <v>1</v>
      </c>
      <c r="L3979" t="b">
        <v>1</v>
      </c>
      <c r="M3979" t="s">
        <v>5563</v>
      </c>
      <c r="N3979" t="s">
        <v>5564</v>
      </c>
      <c r="O3979" t="s">
        <v>5565</v>
      </c>
      <c r="P3979" t="s">
        <v>5566</v>
      </c>
    </row>
    <row r="3980" spans="1:25" x14ac:dyDescent="0.2">
      <c r="A3980">
        <v>6911</v>
      </c>
      <c r="B3980" t="s">
        <v>8132</v>
      </c>
      <c r="C3980" t="s">
        <v>18</v>
      </c>
      <c r="D3980" t="s">
        <v>5555</v>
      </c>
      <c r="E3980" t="s">
        <v>2504</v>
      </c>
      <c r="F3980" t="s">
        <v>16</v>
      </c>
      <c r="G3980" t="s">
        <v>1406</v>
      </c>
      <c r="H3980" t="b">
        <v>0</v>
      </c>
      <c r="I3980" t="b">
        <v>0</v>
      </c>
      <c r="L3980" t="b">
        <v>0</v>
      </c>
      <c r="M3980" t="s">
        <v>5556</v>
      </c>
    </row>
    <row r="3981" spans="1:25" x14ac:dyDescent="0.2">
      <c r="A3981">
        <v>6912</v>
      </c>
      <c r="B3981" t="s">
        <v>8132</v>
      </c>
      <c r="C3981" t="s">
        <v>18</v>
      </c>
      <c r="D3981" t="s">
        <v>5252</v>
      </c>
      <c r="E3981" t="s">
        <v>5253</v>
      </c>
      <c r="F3981" t="s">
        <v>16</v>
      </c>
      <c r="G3981" t="s">
        <v>24</v>
      </c>
      <c r="H3981" t="b">
        <v>0</v>
      </c>
      <c r="I3981" t="b">
        <v>0</v>
      </c>
      <c r="L3981" t="b">
        <v>0</v>
      </c>
      <c r="M3981" t="s">
        <v>5254</v>
      </c>
      <c r="N3981" t="s">
        <v>5255</v>
      </c>
    </row>
    <row r="3982" spans="1:25" x14ac:dyDescent="0.2">
      <c r="A3982">
        <v>6913</v>
      </c>
      <c r="B3982" t="s">
        <v>8132</v>
      </c>
      <c r="C3982" t="s">
        <v>18</v>
      </c>
      <c r="D3982" t="s">
        <v>7406</v>
      </c>
      <c r="E3982" t="s">
        <v>7408</v>
      </c>
      <c r="F3982" t="s">
        <v>23</v>
      </c>
      <c r="G3982" t="s">
        <v>252</v>
      </c>
      <c r="H3982" t="b">
        <v>0</v>
      </c>
      <c r="I3982" t="b">
        <v>0</v>
      </c>
      <c r="L3982" t="b">
        <v>0</v>
      </c>
      <c r="M3982" t="s">
        <v>7409</v>
      </c>
    </row>
    <row r="3983" spans="1:25" x14ac:dyDescent="0.2">
      <c r="A3983">
        <v>6914</v>
      </c>
      <c r="B3983" t="s">
        <v>8132</v>
      </c>
      <c r="C3983" t="s">
        <v>18</v>
      </c>
      <c r="D3983" t="s">
        <v>5551</v>
      </c>
      <c r="E3983" t="s">
        <v>5552</v>
      </c>
      <c r="F3983" t="s">
        <v>16</v>
      </c>
      <c r="G3983" t="s">
        <v>24</v>
      </c>
      <c r="H3983" t="b">
        <v>0</v>
      </c>
      <c r="I3983" t="b">
        <v>0</v>
      </c>
      <c r="L3983" t="b">
        <v>0</v>
      </c>
      <c r="M3983" t="s">
        <v>5553</v>
      </c>
      <c r="N3983" t="s">
        <v>5554</v>
      </c>
    </row>
    <row r="3985" spans="1:25" x14ac:dyDescent="0.2">
      <c r="A3985" s="2">
        <v>6916</v>
      </c>
      <c r="B3985" s="2" t="s">
        <v>8135</v>
      </c>
      <c r="C3985" s="2" t="s">
        <v>13</v>
      </c>
      <c r="D3985" s="2" t="s">
        <v>8136</v>
      </c>
      <c r="E3985" s="2" t="s">
        <v>8137</v>
      </c>
      <c r="F3985" s="2" t="s">
        <v>31</v>
      </c>
      <c r="G3985" s="2" t="s">
        <v>1752</v>
      </c>
      <c r="H3985" s="2"/>
      <c r="I3985" s="2"/>
      <c r="J3985" s="2"/>
      <c r="K3985" s="2"/>
      <c r="L3985" s="2"/>
      <c r="M3985" s="2"/>
      <c r="N3985" s="2"/>
      <c r="O3985" s="2"/>
      <c r="P3985" s="2"/>
      <c r="Q3985" s="2"/>
      <c r="R3985" s="2"/>
      <c r="S3985" s="2"/>
      <c r="T3985" s="2"/>
      <c r="U3985" s="2"/>
      <c r="V3985" s="2"/>
      <c r="W3985" s="2"/>
      <c r="X3985" s="2"/>
      <c r="Y3985" s="2"/>
    </row>
    <row r="3986" spans="1:25" x14ac:dyDescent="0.2">
      <c r="A3986">
        <v>6917</v>
      </c>
      <c r="B3986" t="s">
        <v>8135</v>
      </c>
      <c r="C3986" t="s">
        <v>18</v>
      </c>
      <c r="D3986" t="s">
        <v>8138</v>
      </c>
      <c r="E3986" t="s">
        <v>8137</v>
      </c>
      <c r="F3986" t="s">
        <v>31</v>
      </c>
      <c r="G3986" t="s">
        <v>917</v>
      </c>
      <c r="H3986" t="b">
        <v>1</v>
      </c>
      <c r="K3986" t="b">
        <v>1</v>
      </c>
      <c r="L3986" t="b">
        <v>1</v>
      </c>
      <c r="M3986" t="s">
        <v>8139</v>
      </c>
      <c r="N3986" t="s">
        <v>8140</v>
      </c>
      <c r="O3986" t="s">
        <v>8141</v>
      </c>
      <c r="P3986" t="s">
        <v>8142</v>
      </c>
    </row>
    <row r="3987" spans="1:25" x14ac:dyDescent="0.2">
      <c r="A3987">
        <v>6918</v>
      </c>
      <c r="B3987" t="s">
        <v>8135</v>
      </c>
      <c r="C3987" t="s">
        <v>18</v>
      </c>
      <c r="D3987" t="s">
        <v>8143</v>
      </c>
      <c r="E3987" t="s">
        <v>5940</v>
      </c>
      <c r="F3987" t="s">
        <v>174</v>
      </c>
      <c r="G3987" t="s">
        <v>17</v>
      </c>
      <c r="H3987" t="b">
        <v>0</v>
      </c>
      <c r="K3987" t="b">
        <v>0</v>
      </c>
      <c r="L3987" t="b">
        <v>0</v>
      </c>
      <c r="M3987" t="s">
        <v>8144</v>
      </c>
    </row>
    <row r="3988" spans="1:25" x14ac:dyDescent="0.2">
      <c r="A3988">
        <v>6919</v>
      </c>
      <c r="B3988" t="s">
        <v>8135</v>
      </c>
      <c r="C3988" t="s">
        <v>18</v>
      </c>
      <c r="D3988" t="s">
        <v>6545</v>
      </c>
      <c r="E3988" t="s">
        <v>6546</v>
      </c>
      <c r="F3988" t="s">
        <v>78</v>
      </c>
      <c r="G3988" t="s">
        <v>134</v>
      </c>
      <c r="H3988" t="b">
        <v>0</v>
      </c>
      <c r="K3988" t="b">
        <v>0</v>
      </c>
      <c r="L3988" t="b">
        <v>0</v>
      </c>
      <c r="M3988" t="s">
        <v>6547</v>
      </c>
      <c r="N3988" t="s">
        <v>6548</v>
      </c>
    </row>
    <row r="3989" spans="1:25" x14ac:dyDescent="0.2">
      <c r="A3989">
        <v>6920</v>
      </c>
      <c r="B3989" t="s">
        <v>8135</v>
      </c>
      <c r="C3989" t="s">
        <v>18</v>
      </c>
      <c r="D3989" t="s">
        <v>4482</v>
      </c>
      <c r="E3989" t="s">
        <v>4483</v>
      </c>
      <c r="F3989" t="s">
        <v>78</v>
      </c>
      <c r="G3989" t="s">
        <v>252</v>
      </c>
      <c r="H3989" t="b">
        <v>0</v>
      </c>
      <c r="K3989" t="b">
        <v>0</v>
      </c>
      <c r="L3989" t="b">
        <v>0</v>
      </c>
      <c r="M3989" t="s">
        <v>4484</v>
      </c>
    </row>
    <row r="3990" spans="1:25" x14ac:dyDescent="0.2">
      <c r="A3990">
        <v>6921</v>
      </c>
      <c r="B3990" t="s">
        <v>8135</v>
      </c>
      <c r="C3990" t="s">
        <v>18</v>
      </c>
      <c r="D3990" t="s">
        <v>8145</v>
      </c>
      <c r="E3990" t="s">
        <v>8146</v>
      </c>
      <c r="F3990" t="s">
        <v>45</v>
      </c>
      <c r="G3990" t="s">
        <v>17</v>
      </c>
      <c r="H3990" t="b">
        <v>0</v>
      </c>
      <c r="K3990" t="b">
        <v>0</v>
      </c>
      <c r="L3990" t="b">
        <v>0</v>
      </c>
      <c r="M3990" t="s">
        <v>8147</v>
      </c>
      <c r="N3990" t="s">
        <v>8148</v>
      </c>
    </row>
    <row r="3992" spans="1:25" x14ac:dyDescent="0.2">
      <c r="A3992" s="2">
        <v>6923</v>
      </c>
      <c r="B3992" s="2" t="s">
        <v>8149</v>
      </c>
      <c r="C3992" s="2" t="s">
        <v>13</v>
      </c>
      <c r="D3992" s="2" t="s">
        <v>8150</v>
      </c>
      <c r="E3992" s="2" t="s">
        <v>8151</v>
      </c>
      <c r="F3992" s="2" t="s">
        <v>2924</v>
      </c>
      <c r="G3992" s="2" t="s">
        <v>3830</v>
      </c>
      <c r="H3992" s="2"/>
      <c r="I3992" s="2"/>
      <c r="J3992" s="2"/>
      <c r="K3992" s="2"/>
      <c r="L3992" s="2"/>
      <c r="M3992" s="2"/>
      <c r="N3992" s="2"/>
      <c r="O3992" s="2"/>
      <c r="P3992" s="2"/>
      <c r="Q3992" s="2"/>
      <c r="R3992" s="2"/>
      <c r="S3992" s="2"/>
      <c r="T3992" s="2"/>
      <c r="U3992" s="2"/>
      <c r="V3992" s="2"/>
      <c r="W3992" s="2"/>
      <c r="X3992" s="2"/>
      <c r="Y3992" s="2"/>
    </row>
    <row r="3993" spans="1:25" x14ac:dyDescent="0.2">
      <c r="A3993">
        <v>6924</v>
      </c>
      <c r="B3993" t="s">
        <v>8149</v>
      </c>
      <c r="C3993" t="s">
        <v>18</v>
      </c>
      <c r="D3993" t="s">
        <v>6911</v>
      </c>
      <c r="E3993" t="s">
        <v>2424</v>
      </c>
      <c r="F3993" t="s">
        <v>45</v>
      </c>
      <c r="G3993" t="s">
        <v>17</v>
      </c>
      <c r="H3993" t="b">
        <v>0</v>
      </c>
      <c r="K3993" t="b">
        <v>0</v>
      </c>
      <c r="L3993" t="b">
        <v>0</v>
      </c>
      <c r="M3993" t="s">
        <v>6912</v>
      </c>
    </row>
    <row r="3994" spans="1:25" x14ac:dyDescent="0.2">
      <c r="A3994">
        <v>6925</v>
      </c>
      <c r="B3994" t="s">
        <v>8149</v>
      </c>
      <c r="C3994" t="s">
        <v>18</v>
      </c>
      <c r="D3994" t="s">
        <v>8152</v>
      </c>
      <c r="E3994" t="s">
        <v>8153</v>
      </c>
      <c r="F3994" t="s">
        <v>78</v>
      </c>
      <c r="G3994" t="s">
        <v>88</v>
      </c>
      <c r="H3994" t="b">
        <v>0</v>
      </c>
      <c r="K3994" t="b">
        <v>0</v>
      </c>
      <c r="L3994" t="b">
        <v>0</v>
      </c>
    </row>
    <row r="3995" spans="1:25" x14ac:dyDescent="0.2">
      <c r="A3995">
        <v>6926</v>
      </c>
      <c r="B3995" t="s">
        <v>8149</v>
      </c>
      <c r="C3995" t="s">
        <v>18</v>
      </c>
      <c r="D3995" t="s">
        <v>4525</v>
      </c>
      <c r="E3995" t="s">
        <v>4526</v>
      </c>
      <c r="F3995" t="s">
        <v>2388</v>
      </c>
      <c r="G3995" t="s">
        <v>252</v>
      </c>
      <c r="H3995" t="b">
        <v>0</v>
      </c>
      <c r="K3995" t="b">
        <v>0</v>
      </c>
      <c r="L3995" t="b">
        <v>0</v>
      </c>
      <c r="M3995" t="s">
        <v>4527</v>
      </c>
      <c r="N3995" t="s">
        <v>4528</v>
      </c>
    </row>
    <row r="3996" spans="1:25" x14ac:dyDescent="0.2">
      <c r="A3996">
        <v>6927</v>
      </c>
      <c r="B3996" t="s">
        <v>8149</v>
      </c>
      <c r="C3996" t="s">
        <v>18</v>
      </c>
      <c r="D3996" t="s">
        <v>5159</v>
      </c>
      <c r="E3996" t="s">
        <v>5160</v>
      </c>
      <c r="F3996" t="s">
        <v>78</v>
      </c>
      <c r="G3996" t="s">
        <v>17</v>
      </c>
      <c r="H3996" t="b">
        <v>0</v>
      </c>
      <c r="K3996" t="b">
        <v>0</v>
      </c>
      <c r="L3996" t="b">
        <v>0</v>
      </c>
    </row>
    <row r="3997" spans="1:25" x14ac:dyDescent="0.2">
      <c r="A3997">
        <v>6928</v>
      </c>
      <c r="B3997" t="s">
        <v>8149</v>
      </c>
      <c r="C3997" t="s">
        <v>18</v>
      </c>
      <c r="D3997" t="s">
        <v>5161</v>
      </c>
      <c r="E3997" t="s">
        <v>5162</v>
      </c>
      <c r="F3997" t="s">
        <v>78</v>
      </c>
      <c r="G3997" t="s">
        <v>17</v>
      </c>
      <c r="H3997" t="b">
        <v>0</v>
      </c>
      <c r="K3997" t="b">
        <v>0</v>
      </c>
      <c r="L3997" t="b">
        <v>0</v>
      </c>
      <c r="M3997" t="s">
        <v>5163</v>
      </c>
    </row>
    <row r="3999" spans="1:25" x14ac:dyDescent="0.2">
      <c r="A3999" s="2">
        <v>6951</v>
      </c>
      <c r="B3999" s="2" t="s">
        <v>8154</v>
      </c>
      <c r="C3999" s="2" t="s">
        <v>13</v>
      </c>
      <c r="D3999" s="2" t="s">
        <v>6661</v>
      </c>
      <c r="E3999" s="2" t="s">
        <v>8155</v>
      </c>
      <c r="F3999" s="2" t="s">
        <v>78</v>
      </c>
      <c r="G3999" s="2" t="s">
        <v>88</v>
      </c>
      <c r="H3999" s="2"/>
      <c r="I3999" s="2"/>
      <c r="J3999" s="2"/>
      <c r="K3999" s="2"/>
      <c r="L3999" s="2"/>
      <c r="M3999" s="2"/>
      <c r="N3999" s="2"/>
      <c r="O3999" s="2"/>
      <c r="P3999" s="2"/>
      <c r="Q3999" s="2"/>
      <c r="R3999" s="2"/>
      <c r="S3999" s="2"/>
      <c r="T3999" s="2"/>
      <c r="U3999" s="2"/>
      <c r="V3999" s="2"/>
      <c r="W3999" s="2"/>
      <c r="X3999" s="2"/>
      <c r="Y3999" s="2"/>
    </row>
    <row r="4000" spans="1:25" x14ac:dyDescent="0.2">
      <c r="A4000">
        <v>6952</v>
      </c>
      <c r="B4000" t="s">
        <v>8154</v>
      </c>
      <c r="C4000" t="s">
        <v>18</v>
      </c>
      <c r="D4000" t="s">
        <v>6661</v>
      </c>
      <c r="E4000" t="s">
        <v>6609</v>
      </c>
      <c r="F4000" t="s">
        <v>78</v>
      </c>
      <c r="G4000" t="s">
        <v>88</v>
      </c>
      <c r="H4000" t="b">
        <v>1</v>
      </c>
      <c r="K4000" t="b">
        <v>1</v>
      </c>
      <c r="L4000" t="b">
        <v>1</v>
      </c>
      <c r="M4000" t="s">
        <v>6662</v>
      </c>
      <c r="N4000" t="s">
        <v>6663</v>
      </c>
    </row>
    <row r="4001" spans="1:25" x14ac:dyDescent="0.2">
      <c r="A4001">
        <v>6953</v>
      </c>
      <c r="B4001" t="s">
        <v>8154</v>
      </c>
      <c r="C4001" t="s">
        <v>18</v>
      </c>
      <c r="D4001" t="s">
        <v>3719</v>
      </c>
      <c r="E4001" t="s">
        <v>3062</v>
      </c>
      <c r="F4001" t="s">
        <v>78</v>
      </c>
      <c r="G4001" t="s">
        <v>88</v>
      </c>
      <c r="H4001" t="b">
        <v>1</v>
      </c>
      <c r="K4001" t="b">
        <v>1</v>
      </c>
      <c r="L4001" t="b">
        <v>1</v>
      </c>
      <c r="M4001" t="s">
        <v>3720</v>
      </c>
    </row>
    <row r="4002" spans="1:25" x14ac:dyDescent="0.2">
      <c r="A4002">
        <v>6954</v>
      </c>
      <c r="B4002" t="s">
        <v>8154</v>
      </c>
      <c r="C4002" t="s">
        <v>18</v>
      </c>
      <c r="D4002" t="s">
        <v>6658</v>
      </c>
      <c r="E4002" t="s">
        <v>368</v>
      </c>
      <c r="F4002" t="s">
        <v>78</v>
      </c>
      <c r="G4002" t="s">
        <v>88</v>
      </c>
      <c r="H4002" t="b">
        <v>0</v>
      </c>
      <c r="K4002" t="b">
        <v>0</v>
      </c>
      <c r="L4002" t="b">
        <v>0</v>
      </c>
      <c r="M4002" t="s">
        <v>6659</v>
      </c>
      <c r="N4002" t="s">
        <v>6660</v>
      </c>
    </row>
    <row r="4003" spans="1:25" x14ac:dyDescent="0.2">
      <c r="A4003">
        <v>6955</v>
      </c>
      <c r="B4003" t="s">
        <v>8154</v>
      </c>
      <c r="C4003" t="s">
        <v>18</v>
      </c>
      <c r="D4003" t="s">
        <v>6647</v>
      </c>
      <c r="E4003" t="s">
        <v>6649</v>
      </c>
      <c r="F4003" t="s">
        <v>78</v>
      </c>
      <c r="G4003" t="s">
        <v>88</v>
      </c>
      <c r="H4003" t="b">
        <v>0</v>
      </c>
      <c r="K4003" t="b">
        <v>0</v>
      </c>
      <c r="L4003" t="b">
        <v>0</v>
      </c>
      <c r="M4003" t="s">
        <v>6650</v>
      </c>
      <c r="N4003" t="s">
        <v>6651</v>
      </c>
    </row>
    <row r="4004" spans="1:25" x14ac:dyDescent="0.2">
      <c r="A4004">
        <v>6956</v>
      </c>
      <c r="B4004" t="s">
        <v>8154</v>
      </c>
      <c r="C4004" t="s">
        <v>18</v>
      </c>
      <c r="D4004" t="s">
        <v>6077</v>
      </c>
      <c r="E4004" t="s">
        <v>935</v>
      </c>
      <c r="F4004" t="s">
        <v>174</v>
      </c>
      <c r="G4004" t="s">
        <v>17</v>
      </c>
      <c r="H4004" t="b">
        <v>0</v>
      </c>
      <c r="K4004" t="b">
        <v>0</v>
      </c>
      <c r="L4004" t="b">
        <v>0</v>
      </c>
      <c r="M4004" t="s">
        <v>6078</v>
      </c>
      <c r="N4004" t="s">
        <v>6079</v>
      </c>
    </row>
    <row r="4006" spans="1:25" x14ac:dyDescent="0.2">
      <c r="A4006" s="2">
        <v>6958</v>
      </c>
      <c r="B4006" s="2" t="s">
        <v>8156</v>
      </c>
      <c r="C4006" s="2" t="s">
        <v>13</v>
      </c>
      <c r="D4006" s="2" t="s">
        <v>8157</v>
      </c>
      <c r="E4006" s="2" t="s">
        <v>8158</v>
      </c>
      <c r="F4006" s="2" t="s">
        <v>78</v>
      </c>
      <c r="G4006" s="2" t="s">
        <v>94</v>
      </c>
      <c r="H4006" s="2"/>
      <c r="I4006" s="2"/>
      <c r="J4006" s="2"/>
      <c r="K4006" s="2"/>
      <c r="L4006" s="2"/>
      <c r="M4006" s="2"/>
      <c r="N4006" s="2"/>
      <c r="O4006" s="2"/>
      <c r="P4006" s="2"/>
      <c r="Q4006" s="2"/>
      <c r="R4006" s="2"/>
      <c r="S4006" s="2"/>
      <c r="T4006" s="2"/>
      <c r="U4006" s="2"/>
      <c r="V4006" s="2"/>
      <c r="W4006" s="2"/>
      <c r="X4006" s="2"/>
      <c r="Y4006" s="2"/>
    </row>
    <row r="4007" spans="1:25" x14ac:dyDescent="0.2">
      <c r="A4007">
        <v>6959</v>
      </c>
      <c r="B4007" t="s">
        <v>8156</v>
      </c>
      <c r="C4007" t="s">
        <v>18</v>
      </c>
      <c r="D4007" t="s">
        <v>8157</v>
      </c>
      <c r="E4007" t="s">
        <v>8158</v>
      </c>
      <c r="F4007" t="s">
        <v>78</v>
      </c>
      <c r="G4007" t="s">
        <v>94</v>
      </c>
      <c r="H4007" t="b">
        <v>1</v>
      </c>
      <c r="K4007" t="b">
        <v>1</v>
      </c>
      <c r="L4007" t="b">
        <v>1</v>
      </c>
      <c r="M4007" t="s">
        <v>8159</v>
      </c>
      <c r="N4007" t="s">
        <v>8160</v>
      </c>
      <c r="O4007" t="s">
        <v>8161</v>
      </c>
    </row>
    <row r="4008" spans="1:25" x14ac:dyDescent="0.2">
      <c r="A4008">
        <v>6960</v>
      </c>
      <c r="B4008" t="s">
        <v>8156</v>
      </c>
      <c r="C4008" t="s">
        <v>18</v>
      </c>
      <c r="D4008" t="s">
        <v>8162</v>
      </c>
      <c r="E4008" t="s">
        <v>8163</v>
      </c>
      <c r="F4008" t="s">
        <v>78</v>
      </c>
      <c r="G4008" t="s">
        <v>94</v>
      </c>
      <c r="H4008" t="b">
        <v>0</v>
      </c>
      <c r="K4008" t="b">
        <v>0</v>
      </c>
      <c r="L4008" t="b">
        <v>0</v>
      </c>
      <c r="M4008" t="s">
        <v>8164</v>
      </c>
      <c r="N4008" t="s">
        <v>8165</v>
      </c>
    </row>
    <row r="4009" spans="1:25" x14ac:dyDescent="0.2">
      <c r="A4009">
        <v>6961</v>
      </c>
      <c r="B4009" t="s">
        <v>8156</v>
      </c>
      <c r="C4009" t="s">
        <v>18</v>
      </c>
      <c r="D4009" t="s">
        <v>8166</v>
      </c>
      <c r="E4009" t="s">
        <v>7511</v>
      </c>
      <c r="F4009" t="s">
        <v>78</v>
      </c>
      <c r="G4009" t="s">
        <v>94</v>
      </c>
      <c r="H4009" t="b">
        <v>0</v>
      </c>
      <c r="K4009" t="b">
        <v>0</v>
      </c>
      <c r="L4009" t="b">
        <v>0</v>
      </c>
      <c r="M4009" t="s">
        <v>8167</v>
      </c>
    </row>
    <row r="4010" spans="1:25" x14ac:dyDescent="0.2">
      <c r="A4010">
        <v>6962</v>
      </c>
      <c r="B4010" t="s">
        <v>8156</v>
      </c>
      <c r="C4010" t="s">
        <v>18</v>
      </c>
      <c r="D4010" t="s">
        <v>8168</v>
      </c>
      <c r="E4010" t="s">
        <v>8169</v>
      </c>
      <c r="F4010" t="s">
        <v>144</v>
      </c>
      <c r="G4010" t="s">
        <v>94</v>
      </c>
      <c r="H4010" t="b">
        <v>0</v>
      </c>
      <c r="K4010" t="b">
        <v>0</v>
      </c>
      <c r="L4010" t="b">
        <v>0</v>
      </c>
      <c r="M4010" t="s">
        <v>8170</v>
      </c>
      <c r="N4010" t="s">
        <v>8171</v>
      </c>
    </row>
    <row r="4011" spans="1:25" x14ac:dyDescent="0.2">
      <c r="A4011">
        <v>6963</v>
      </c>
      <c r="B4011" t="s">
        <v>8156</v>
      </c>
      <c r="C4011" t="s">
        <v>18</v>
      </c>
      <c r="D4011" t="s">
        <v>337</v>
      </c>
      <c r="E4011" t="s">
        <v>339</v>
      </c>
      <c r="F4011" t="s">
        <v>151</v>
      </c>
      <c r="G4011" t="s">
        <v>24</v>
      </c>
      <c r="H4011" t="b">
        <v>0</v>
      </c>
      <c r="K4011" t="b">
        <v>0</v>
      </c>
      <c r="L4011" t="b">
        <v>0</v>
      </c>
      <c r="M4011" t="s">
        <v>7283</v>
      </c>
      <c r="N4011" t="s">
        <v>7284</v>
      </c>
    </row>
    <row r="4013" spans="1:25" x14ac:dyDescent="0.2">
      <c r="A4013" s="2">
        <v>6972</v>
      </c>
      <c r="B4013" s="2" t="s">
        <v>8172</v>
      </c>
      <c r="C4013" s="2" t="s">
        <v>13</v>
      </c>
      <c r="D4013" s="2" t="s">
        <v>97</v>
      </c>
      <c r="E4013" s="2" t="s">
        <v>98</v>
      </c>
      <c r="F4013" s="2" t="s">
        <v>23</v>
      </c>
      <c r="G4013" s="2" t="s">
        <v>94</v>
      </c>
      <c r="H4013" s="2"/>
      <c r="I4013" s="2"/>
      <c r="J4013" s="2"/>
      <c r="K4013" s="2"/>
      <c r="L4013" s="2"/>
      <c r="M4013" s="2"/>
      <c r="N4013" s="2"/>
      <c r="O4013" s="2"/>
      <c r="P4013" s="2"/>
      <c r="Q4013" s="2"/>
      <c r="R4013" s="2"/>
      <c r="S4013" s="2"/>
      <c r="T4013" s="2"/>
      <c r="U4013" s="2"/>
      <c r="V4013" s="2"/>
      <c r="W4013" s="2"/>
      <c r="X4013" s="2"/>
      <c r="Y4013" s="2"/>
    </row>
    <row r="4014" spans="1:25" x14ac:dyDescent="0.2">
      <c r="A4014">
        <v>6973</v>
      </c>
      <c r="B4014" t="s">
        <v>8172</v>
      </c>
      <c r="C4014" t="s">
        <v>18</v>
      </c>
      <c r="D4014" t="s">
        <v>97</v>
      </c>
      <c r="E4014" t="s">
        <v>98</v>
      </c>
      <c r="F4014" t="s">
        <v>23</v>
      </c>
      <c r="G4014" t="s">
        <v>94</v>
      </c>
      <c r="H4014" t="b">
        <v>1</v>
      </c>
      <c r="I4014" t="b">
        <v>1</v>
      </c>
      <c r="L4014" t="b">
        <v>1</v>
      </c>
      <c r="M4014" t="s">
        <v>8173</v>
      </c>
      <c r="N4014" t="s">
        <v>8174</v>
      </c>
    </row>
    <row r="4015" spans="1:25" x14ac:dyDescent="0.2">
      <c r="A4015">
        <v>6974</v>
      </c>
      <c r="B4015" t="s">
        <v>8172</v>
      </c>
      <c r="C4015" t="s">
        <v>18</v>
      </c>
      <c r="D4015" t="s">
        <v>8175</v>
      </c>
      <c r="E4015" t="s">
        <v>8176</v>
      </c>
      <c r="F4015" t="s">
        <v>23</v>
      </c>
      <c r="G4015" t="s">
        <v>62</v>
      </c>
      <c r="H4015" t="b">
        <v>0</v>
      </c>
      <c r="I4015" t="b">
        <v>0</v>
      </c>
      <c r="L4015" t="b">
        <v>0</v>
      </c>
    </row>
    <row r="4016" spans="1:25" x14ac:dyDescent="0.2">
      <c r="A4016">
        <v>6975</v>
      </c>
      <c r="B4016" t="s">
        <v>8172</v>
      </c>
      <c r="C4016" t="s">
        <v>18</v>
      </c>
      <c r="D4016" t="s">
        <v>8177</v>
      </c>
      <c r="E4016" t="s">
        <v>8178</v>
      </c>
      <c r="F4016" t="s">
        <v>23</v>
      </c>
      <c r="G4016" t="s">
        <v>94</v>
      </c>
      <c r="H4016" t="b">
        <v>0</v>
      </c>
      <c r="I4016" t="b">
        <v>0</v>
      </c>
      <c r="L4016" t="b">
        <v>0</v>
      </c>
      <c r="M4016" t="s">
        <v>8179</v>
      </c>
      <c r="N4016" t="s">
        <v>745</v>
      </c>
    </row>
    <row r="4017" spans="1:25" x14ac:dyDescent="0.2">
      <c r="A4017">
        <v>6976</v>
      </c>
      <c r="B4017" t="s">
        <v>8172</v>
      </c>
      <c r="C4017" t="s">
        <v>18</v>
      </c>
      <c r="D4017" t="s">
        <v>8180</v>
      </c>
      <c r="E4017" t="s">
        <v>8181</v>
      </c>
      <c r="F4017" t="s">
        <v>159</v>
      </c>
      <c r="G4017" t="s">
        <v>62</v>
      </c>
      <c r="H4017" t="b">
        <v>0</v>
      </c>
      <c r="I4017" t="b">
        <v>0</v>
      </c>
      <c r="L4017" t="b">
        <v>0</v>
      </c>
      <c r="M4017" t="s">
        <v>8182</v>
      </c>
      <c r="N4017" t="s">
        <v>8183</v>
      </c>
      <c r="O4017" t="s">
        <v>8184</v>
      </c>
      <c r="P4017" t="s">
        <v>8185</v>
      </c>
    </row>
    <row r="4018" spans="1:25" x14ac:dyDescent="0.2">
      <c r="A4018">
        <v>6977</v>
      </c>
      <c r="B4018" t="s">
        <v>8172</v>
      </c>
      <c r="C4018" t="s">
        <v>18</v>
      </c>
      <c r="D4018" t="s">
        <v>92</v>
      </c>
      <c r="E4018" t="s">
        <v>93</v>
      </c>
      <c r="F4018" t="s">
        <v>23</v>
      </c>
      <c r="G4018" t="s">
        <v>94</v>
      </c>
      <c r="H4018" t="b">
        <v>0</v>
      </c>
      <c r="I4018" t="b">
        <v>0</v>
      </c>
      <c r="L4018" t="b">
        <v>0</v>
      </c>
      <c r="M4018" t="s">
        <v>8186</v>
      </c>
      <c r="N4018" t="s">
        <v>8187</v>
      </c>
    </row>
    <row r="4020" spans="1:25" x14ac:dyDescent="0.2">
      <c r="A4020" s="2">
        <v>6986</v>
      </c>
      <c r="B4020" s="2" t="s">
        <v>8188</v>
      </c>
      <c r="C4020" s="2" t="s">
        <v>13</v>
      </c>
      <c r="D4020" s="2" t="s">
        <v>1445</v>
      </c>
      <c r="E4020" s="2" t="s">
        <v>1446</v>
      </c>
      <c r="F4020" s="2" t="s">
        <v>654</v>
      </c>
      <c r="G4020" s="2" t="s">
        <v>88</v>
      </c>
      <c r="H4020" s="2"/>
      <c r="I4020" s="2"/>
      <c r="J4020" s="2"/>
      <c r="K4020" s="2"/>
      <c r="L4020" s="2"/>
      <c r="M4020" s="2"/>
      <c r="N4020" s="2"/>
      <c r="O4020" s="2"/>
      <c r="P4020" s="2"/>
      <c r="Q4020" s="2"/>
      <c r="R4020" s="2"/>
      <c r="S4020" s="2"/>
      <c r="T4020" s="2"/>
      <c r="U4020" s="2"/>
      <c r="V4020" s="2"/>
      <c r="W4020" s="2"/>
      <c r="X4020" s="2"/>
      <c r="Y4020" s="2"/>
    </row>
    <row r="4021" spans="1:25" x14ac:dyDescent="0.2">
      <c r="A4021">
        <v>6987</v>
      </c>
      <c r="B4021" t="s">
        <v>8188</v>
      </c>
      <c r="C4021" t="s">
        <v>18</v>
      </c>
      <c r="D4021" t="s">
        <v>1445</v>
      </c>
      <c r="E4021" t="s">
        <v>1446</v>
      </c>
      <c r="F4021" t="s">
        <v>654</v>
      </c>
      <c r="G4021" t="s">
        <v>88</v>
      </c>
      <c r="H4021" t="b">
        <v>1</v>
      </c>
      <c r="I4021" t="b">
        <v>1</v>
      </c>
      <c r="L4021" t="b">
        <v>1</v>
      </c>
      <c r="M4021" t="s">
        <v>1447</v>
      </c>
      <c r="N4021" t="s">
        <v>1448</v>
      </c>
    </row>
    <row r="4022" spans="1:25" x14ac:dyDescent="0.2">
      <c r="A4022">
        <v>6988</v>
      </c>
      <c r="B4022" t="s">
        <v>8188</v>
      </c>
      <c r="C4022" t="s">
        <v>18</v>
      </c>
      <c r="D4022" t="s">
        <v>6312</v>
      </c>
      <c r="E4022" t="s">
        <v>6313</v>
      </c>
      <c r="F4022" t="s">
        <v>654</v>
      </c>
      <c r="G4022" t="s">
        <v>88</v>
      </c>
      <c r="H4022" t="b">
        <v>0</v>
      </c>
      <c r="I4022" t="b">
        <v>0</v>
      </c>
      <c r="L4022" t="b">
        <v>0</v>
      </c>
      <c r="M4022" t="s">
        <v>6314</v>
      </c>
      <c r="N4022" t="s">
        <v>6315</v>
      </c>
    </row>
    <row r="4023" spans="1:25" x14ac:dyDescent="0.2">
      <c r="A4023">
        <v>6989</v>
      </c>
      <c r="B4023" t="s">
        <v>8188</v>
      </c>
      <c r="C4023" t="s">
        <v>18</v>
      </c>
      <c r="D4023" t="s">
        <v>6310</v>
      </c>
      <c r="E4023" t="s">
        <v>6311</v>
      </c>
      <c r="F4023" t="s">
        <v>654</v>
      </c>
      <c r="G4023" t="s">
        <v>88</v>
      </c>
      <c r="H4023" t="b">
        <v>0</v>
      </c>
      <c r="I4023" t="b">
        <v>0</v>
      </c>
      <c r="L4023" t="b">
        <v>0</v>
      </c>
    </row>
    <row r="4024" spans="1:25" x14ac:dyDescent="0.2">
      <c r="A4024">
        <v>6990</v>
      </c>
      <c r="B4024" t="s">
        <v>8188</v>
      </c>
      <c r="C4024" t="s">
        <v>18</v>
      </c>
      <c r="D4024" t="s">
        <v>6306</v>
      </c>
      <c r="E4024" t="s">
        <v>6307</v>
      </c>
      <c r="F4024" t="s">
        <v>654</v>
      </c>
      <c r="G4024" t="s">
        <v>88</v>
      </c>
      <c r="H4024" t="b">
        <v>0</v>
      </c>
      <c r="I4024" t="b">
        <v>0</v>
      </c>
      <c r="L4024" t="b">
        <v>0</v>
      </c>
      <c r="M4024" t="s">
        <v>6308</v>
      </c>
      <c r="N4024" t="s">
        <v>6309</v>
      </c>
    </row>
    <row r="4025" spans="1:25" x14ac:dyDescent="0.2">
      <c r="A4025">
        <v>6991</v>
      </c>
      <c r="B4025" t="s">
        <v>8188</v>
      </c>
      <c r="C4025" t="s">
        <v>18</v>
      </c>
      <c r="D4025" t="s">
        <v>6316</v>
      </c>
      <c r="E4025" t="s">
        <v>6317</v>
      </c>
      <c r="F4025" t="s">
        <v>654</v>
      </c>
      <c r="G4025" t="s">
        <v>88</v>
      </c>
      <c r="H4025" t="b">
        <v>0</v>
      </c>
      <c r="I4025" t="b">
        <v>0</v>
      </c>
      <c r="L4025" t="b">
        <v>0</v>
      </c>
      <c r="M4025" t="s">
        <v>6318</v>
      </c>
      <c r="N4025" t="s">
        <v>6319</v>
      </c>
    </row>
    <row r="4027" spans="1:25" x14ac:dyDescent="0.2">
      <c r="A4027" s="2">
        <v>6993</v>
      </c>
      <c r="B4027" s="2" t="s">
        <v>8189</v>
      </c>
      <c r="C4027" s="2" t="s">
        <v>13</v>
      </c>
      <c r="D4027" s="2" t="s">
        <v>8190</v>
      </c>
      <c r="E4027" s="2" t="s">
        <v>8191</v>
      </c>
      <c r="F4027" s="2" t="s">
        <v>205</v>
      </c>
      <c r="G4027" s="2" t="s">
        <v>88</v>
      </c>
      <c r="H4027" s="2"/>
      <c r="I4027" s="2"/>
      <c r="J4027" s="2"/>
      <c r="K4027" s="2"/>
      <c r="L4027" s="2"/>
      <c r="M4027" s="2"/>
      <c r="N4027" s="2"/>
      <c r="O4027" s="2"/>
      <c r="P4027" s="2"/>
      <c r="Q4027" s="2"/>
      <c r="R4027" s="2"/>
      <c r="S4027" s="2"/>
      <c r="T4027" s="2"/>
      <c r="U4027" s="2"/>
      <c r="V4027" s="2"/>
      <c r="W4027" s="2"/>
      <c r="X4027" s="2"/>
      <c r="Y4027" s="2"/>
    </row>
    <row r="4028" spans="1:25" x14ac:dyDescent="0.2">
      <c r="A4028">
        <v>6994</v>
      </c>
      <c r="B4028" t="s">
        <v>8189</v>
      </c>
      <c r="C4028" t="s">
        <v>18</v>
      </c>
      <c r="D4028" t="s">
        <v>8190</v>
      </c>
      <c r="E4028" t="s">
        <v>8192</v>
      </c>
      <c r="F4028" t="s">
        <v>205</v>
      </c>
      <c r="G4028" t="s">
        <v>88</v>
      </c>
      <c r="H4028" t="b">
        <v>1</v>
      </c>
      <c r="I4028" t="b">
        <v>1</v>
      </c>
      <c r="L4028" t="b">
        <v>1</v>
      </c>
      <c r="M4028" t="s">
        <v>8193</v>
      </c>
      <c r="N4028" t="s">
        <v>8194</v>
      </c>
    </row>
    <row r="4029" spans="1:25" x14ac:dyDescent="0.2">
      <c r="A4029">
        <v>6995</v>
      </c>
      <c r="B4029" t="s">
        <v>8189</v>
      </c>
      <c r="C4029" t="s">
        <v>18</v>
      </c>
      <c r="D4029" t="s">
        <v>8195</v>
      </c>
      <c r="E4029" t="s">
        <v>7093</v>
      </c>
      <c r="F4029" t="s">
        <v>205</v>
      </c>
      <c r="G4029" t="s">
        <v>88</v>
      </c>
      <c r="H4029" t="b">
        <v>1</v>
      </c>
      <c r="I4029" t="b">
        <v>1</v>
      </c>
      <c r="L4029" t="b">
        <v>1</v>
      </c>
      <c r="M4029" t="s">
        <v>8196</v>
      </c>
      <c r="N4029" t="s">
        <v>8197</v>
      </c>
    </row>
    <row r="4030" spans="1:25" x14ac:dyDescent="0.2">
      <c r="A4030">
        <v>6996</v>
      </c>
      <c r="B4030" t="s">
        <v>8189</v>
      </c>
      <c r="C4030" t="s">
        <v>18</v>
      </c>
      <c r="D4030" t="s">
        <v>8198</v>
      </c>
      <c r="E4030" t="s">
        <v>8199</v>
      </c>
      <c r="F4030" t="s">
        <v>16</v>
      </c>
      <c r="G4030" t="s">
        <v>107</v>
      </c>
      <c r="H4030" t="b">
        <v>0</v>
      </c>
      <c r="I4030" t="b">
        <v>0</v>
      </c>
      <c r="L4030" t="b">
        <v>0</v>
      </c>
    </row>
    <row r="4031" spans="1:25" x14ac:dyDescent="0.2">
      <c r="A4031">
        <v>6997</v>
      </c>
      <c r="B4031" t="s">
        <v>8189</v>
      </c>
      <c r="C4031" t="s">
        <v>18</v>
      </c>
      <c r="D4031" t="s">
        <v>7491</v>
      </c>
      <c r="E4031" t="s">
        <v>7492</v>
      </c>
      <c r="F4031" t="s">
        <v>205</v>
      </c>
      <c r="G4031" t="s">
        <v>2278</v>
      </c>
      <c r="H4031" t="b">
        <v>0</v>
      </c>
      <c r="I4031" t="b">
        <v>0</v>
      </c>
      <c r="L4031" t="b">
        <v>0</v>
      </c>
    </row>
    <row r="4032" spans="1:25" x14ac:dyDescent="0.2">
      <c r="A4032">
        <v>6998</v>
      </c>
      <c r="B4032" t="s">
        <v>8189</v>
      </c>
      <c r="C4032" t="s">
        <v>18</v>
      </c>
      <c r="D4032" t="s">
        <v>8200</v>
      </c>
      <c r="E4032" t="s">
        <v>6717</v>
      </c>
      <c r="F4032" t="s">
        <v>205</v>
      </c>
      <c r="G4032" t="s">
        <v>88</v>
      </c>
      <c r="H4032" t="b">
        <v>0</v>
      </c>
      <c r="I4032" t="b">
        <v>0</v>
      </c>
      <c r="L4032" t="b">
        <v>0</v>
      </c>
    </row>
    <row r="4034" spans="1:25" x14ac:dyDescent="0.2">
      <c r="A4034" s="2">
        <v>6881</v>
      </c>
      <c r="B4034" s="2" t="s">
        <v>8201</v>
      </c>
      <c r="C4034" s="2" t="s">
        <v>13</v>
      </c>
      <c r="D4034" s="2" t="s">
        <v>8202</v>
      </c>
      <c r="E4034" s="2" t="s">
        <v>8203</v>
      </c>
      <c r="F4034" s="2" t="s">
        <v>20</v>
      </c>
      <c r="G4034" s="2" t="s">
        <v>17</v>
      </c>
      <c r="H4034" s="2"/>
      <c r="I4034" s="2"/>
      <c r="J4034" s="2"/>
      <c r="K4034" s="2"/>
      <c r="L4034" s="2"/>
      <c r="M4034" s="2"/>
      <c r="N4034" s="2"/>
      <c r="O4034" s="2"/>
      <c r="P4034" s="2"/>
      <c r="Q4034" s="2"/>
      <c r="R4034" s="2"/>
      <c r="S4034" s="2"/>
      <c r="T4034" s="2"/>
      <c r="U4034" s="2"/>
      <c r="V4034" s="2"/>
      <c r="W4034" s="2"/>
      <c r="X4034" s="2"/>
      <c r="Y4034" s="2"/>
    </row>
    <row r="4035" spans="1:25" x14ac:dyDescent="0.2">
      <c r="A4035">
        <v>6882</v>
      </c>
      <c r="B4035" t="s">
        <v>8201</v>
      </c>
      <c r="C4035" t="s">
        <v>18</v>
      </c>
      <c r="D4035" t="s">
        <v>8202</v>
      </c>
      <c r="E4035" t="s">
        <v>8203</v>
      </c>
      <c r="F4035" t="s">
        <v>20</v>
      </c>
      <c r="G4035" t="s">
        <v>17</v>
      </c>
      <c r="H4035" t="b">
        <v>1</v>
      </c>
      <c r="I4035" t="b">
        <v>1</v>
      </c>
      <c r="L4035" t="b">
        <v>1</v>
      </c>
      <c r="M4035" t="str">
        <f>HYPERLINK("https://arizona.app.box.com/file/389164213756")</f>
        <v>https://arizona.app.box.com/file/389164213756</v>
      </c>
      <c r="N4035" t="str">
        <f>HYPERLINK("https://arizona.app.box.com/file/386241113911")</f>
        <v>https://arizona.app.box.com/file/386241113911</v>
      </c>
    </row>
    <row r="4036" spans="1:25" x14ac:dyDescent="0.2">
      <c r="A4036">
        <v>6883</v>
      </c>
      <c r="B4036" t="s">
        <v>8201</v>
      </c>
      <c r="C4036" t="s">
        <v>18</v>
      </c>
      <c r="D4036" t="s">
        <v>543</v>
      </c>
      <c r="E4036" t="s">
        <v>544</v>
      </c>
      <c r="F4036" t="s">
        <v>20</v>
      </c>
      <c r="G4036" t="s">
        <v>17</v>
      </c>
      <c r="H4036" t="b">
        <v>0</v>
      </c>
      <c r="I4036" t="b">
        <v>0</v>
      </c>
      <c r="L4036" t="b">
        <v>0</v>
      </c>
      <c r="M4036" t="str">
        <f>HYPERLINK("https://arizona.app.box.com/file/389164099737")</f>
        <v>https://arizona.app.box.com/file/389164099737</v>
      </c>
      <c r="N4036" t="str">
        <f>HYPERLINK("https://arizona.app.box.com/file/389161641018")</f>
        <v>https://arizona.app.box.com/file/389161641018</v>
      </c>
    </row>
    <row r="4037" spans="1:25" x14ac:dyDescent="0.2">
      <c r="A4037">
        <v>6884</v>
      </c>
      <c r="B4037" t="s">
        <v>8201</v>
      </c>
      <c r="C4037" t="s">
        <v>18</v>
      </c>
      <c r="D4037" t="s">
        <v>8204</v>
      </c>
      <c r="E4037" t="s">
        <v>8205</v>
      </c>
      <c r="F4037" t="s">
        <v>20</v>
      </c>
      <c r="G4037" t="s">
        <v>17</v>
      </c>
      <c r="H4037" t="b">
        <v>0</v>
      </c>
      <c r="I4037" t="b">
        <v>0</v>
      </c>
      <c r="L4037" t="b">
        <v>0</v>
      </c>
      <c r="M4037" t="str">
        <f>HYPERLINK("https://arizona.app.box.com/file/389136854983")</f>
        <v>https://arizona.app.box.com/file/389136854983</v>
      </c>
      <c r="N4037" t="str">
        <f>HYPERLINK("https://arizona.app.box.com/file/389164863456")</f>
        <v>https://arizona.app.box.com/file/389164863456</v>
      </c>
    </row>
    <row r="4038" spans="1:25" x14ac:dyDescent="0.2">
      <c r="A4038">
        <v>6885</v>
      </c>
      <c r="B4038" t="s">
        <v>8201</v>
      </c>
      <c r="C4038" t="s">
        <v>18</v>
      </c>
      <c r="D4038" t="s">
        <v>8206</v>
      </c>
      <c r="E4038" t="s">
        <v>8207</v>
      </c>
      <c r="F4038" t="s">
        <v>20</v>
      </c>
      <c r="G4038" t="s">
        <v>17</v>
      </c>
      <c r="H4038" t="b">
        <v>0</v>
      </c>
      <c r="I4038" t="b">
        <v>0</v>
      </c>
      <c r="L4038" t="b">
        <v>0</v>
      </c>
      <c r="M4038" t="str">
        <f>HYPERLINK("https://arizona.app.box.com/file/389151599716")</f>
        <v>https://arizona.app.box.com/file/389151599716</v>
      </c>
      <c r="N4038" t="str">
        <f>HYPERLINK("https://arizona.app.box.com/file/386241113911")</f>
        <v>https://arizona.app.box.com/file/386241113911</v>
      </c>
    </row>
    <row r="4039" spans="1:25" x14ac:dyDescent="0.2">
      <c r="A4039">
        <v>6886</v>
      </c>
      <c r="B4039" t="s">
        <v>8201</v>
      </c>
      <c r="C4039" t="s">
        <v>18</v>
      </c>
      <c r="D4039" t="s">
        <v>8208</v>
      </c>
      <c r="E4039" t="s">
        <v>8209</v>
      </c>
      <c r="F4039" t="s">
        <v>20</v>
      </c>
      <c r="G4039" t="s">
        <v>17</v>
      </c>
      <c r="H4039" t="b">
        <v>0</v>
      </c>
      <c r="I4039" t="b">
        <v>0</v>
      </c>
      <c r="L4039" t="b">
        <v>0</v>
      </c>
      <c r="M4039" t="str">
        <f>HYPERLINK("https://arizona.app.box.com/file/389165770725")</f>
        <v>https://arizona.app.box.com/file/389165770725</v>
      </c>
      <c r="N4039" t="str">
        <f>HYPERLINK("https://arizona.app.box.com/file/389138272367")</f>
        <v>https://arizona.app.box.com/file/389138272367</v>
      </c>
    </row>
    <row r="4041" spans="1:25" x14ac:dyDescent="0.2">
      <c r="A4041" s="2">
        <v>693</v>
      </c>
      <c r="B4041" s="2" t="s">
        <v>8210</v>
      </c>
      <c r="C4041" s="2" t="s">
        <v>13</v>
      </c>
      <c r="D4041" s="2" t="s">
        <v>8069</v>
      </c>
      <c r="E4041" s="2" t="s">
        <v>8211</v>
      </c>
      <c r="F4041" s="2" t="s">
        <v>31</v>
      </c>
      <c r="G4041" s="2" t="s">
        <v>62</v>
      </c>
      <c r="H4041" s="2"/>
      <c r="I4041" s="2"/>
      <c r="J4041" s="2"/>
      <c r="K4041" s="2"/>
      <c r="L4041" s="2"/>
      <c r="M4041" s="2"/>
      <c r="N4041" s="2"/>
      <c r="O4041" s="2"/>
      <c r="P4041" s="2"/>
      <c r="Q4041" s="2"/>
      <c r="R4041" s="2"/>
      <c r="S4041" s="2"/>
      <c r="T4041" s="2"/>
      <c r="U4041" s="2"/>
      <c r="V4041" s="2"/>
      <c r="W4041" s="2"/>
      <c r="X4041" s="2"/>
      <c r="Y4041" s="2"/>
    </row>
    <row r="4042" spans="1:25" x14ac:dyDescent="0.2">
      <c r="A4042">
        <v>694</v>
      </c>
      <c r="B4042" t="s">
        <v>8210</v>
      </c>
      <c r="C4042" t="s">
        <v>18</v>
      </c>
      <c r="D4042" t="s">
        <v>8069</v>
      </c>
      <c r="E4042" t="s">
        <v>8070</v>
      </c>
      <c r="F4042" t="s">
        <v>31</v>
      </c>
      <c r="G4042" t="s">
        <v>62</v>
      </c>
      <c r="H4042" t="b">
        <v>1</v>
      </c>
      <c r="K4042" t="b">
        <v>1</v>
      </c>
      <c r="L4042" t="b">
        <v>1</v>
      </c>
      <c r="M4042" t="str">
        <f>HYPERLINK("https://arizona.app.box.com/file/389262519739")</f>
        <v>https://arizona.app.box.com/file/389262519739</v>
      </c>
    </row>
    <row r="4043" spans="1:25" x14ac:dyDescent="0.2">
      <c r="A4043">
        <v>695</v>
      </c>
      <c r="B4043" t="s">
        <v>8210</v>
      </c>
      <c r="C4043" t="s">
        <v>18</v>
      </c>
      <c r="D4043" t="s">
        <v>194</v>
      </c>
      <c r="E4043" t="s">
        <v>195</v>
      </c>
      <c r="F4043" t="s">
        <v>196</v>
      </c>
      <c r="G4043" t="s">
        <v>17</v>
      </c>
      <c r="H4043" t="b">
        <v>0</v>
      </c>
      <c r="K4043" t="b">
        <v>0</v>
      </c>
      <c r="L4043" t="b">
        <v>0</v>
      </c>
      <c r="M4043" t="str">
        <f>HYPERLINK("https://arizona.app.box.com/file/389259890773")</f>
        <v>https://arizona.app.box.com/file/389259890773</v>
      </c>
    </row>
    <row r="4044" spans="1:25" x14ac:dyDescent="0.2">
      <c r="A4044">
        <v>696</v>
      </c>
      <c r="B4044" t="s">
        <v>8210</v>
      </c>
      <c r="C4044" t="s">
        <v>18</v>
      </c>
      <c r="D4044" t="s">
        <v>8212</v>
      </c>
      <c r="E4044" t="s">
        <v>1362</v>
      </c>
      <c r="F4044" t="s">
        <v>31</v>
      </c>
      <c r="G4044" t="s">
        <v>62</v>
      </c>
      <c r="H4044" t="b">
        <v>1</v>
      </c>
      <c r="K4044" t="b">
        <v>1</v>
      </c>
      <c r="L4044" t="b">
        <v>1</v>
      </c>
      <c r="M4044" t="str">
        <f>HYPERLINK("https://arizona.app.box.com/file/386242833723")</f>
        <v>https://arizona.app.box.com/file/386242833723</v>
      </c>
    </row>
    <row r="4045" spans="1:25" x14ac:dyDescent="0.2">
      <c r="A4045">
        <v>697</v>
      </c>
      <c r="B4045" t="s">
        <v>8210</v>
      </c>
      <c r="C4045" t="s">
        <v>18</v>
      </c>
      <c r="D4045" t="s">
        <v>8065</v>
      </c>
      <c r="E4045" t="s">
        <v>3844</v>
      </c>
      <c r="F4045" t="s">
        <v>31</v>
      </c>
      <c r="G4045" t="s">
        <v>24</v>
      </c>
      <c r="H4045" t="b">
        <v>0</v>
      </c>
      <c r="K4045" t="b">
        <v>0</v>
      </c>
      <c r="L4045" t="b">
        <v>0</v>
      </c>
      <c r="M4045" t="str">
        <f>HYPERLINK("https://arizona.app.box.com/file/389268210325")</f>
        <v>https://arizona.app.box.com/file/389268210325</v>
      </c>
      <c r="N4045" t="str">
        <f>HYPERLINK("https://arizona.app.box.com/file/389161806971")</f>
        <v>https://arizona.app.box.com/file/389161806971</v>
      </c>
    </row>
    <row r="4046" spans="1:25" x14ac:dyDescent="0.2">
      <c r="A4046">
        <v>698</v>
      </c>
      <c r="B4046" t="s">
        <v>8210</v>
      </c>
      <c r="C4046" t="s">
        <v>18</v>
      </c>
      <c r="D4046" t="s">
        <v>6771</v>
      </c>
      <c r="E4046" t="s">
        <v>381</v>
      </c>
      <c r="F4046" t="s">
        <v>31</v>
      </c>
      <c r="G4046" t="s">
        <v>24</v>
      </c>
      <c r="H4046" t="b">
        <v>0</v>
      </c>
      <c r="K4046" t="b">
        <v>0</v>
      </c>
      <c r="L4046" t="b">
        <v>0</v>
      </c>
      <c r="M4046" t="str">
        <f>HYPERLINK("https://arizona.app.box.com/file/389172141078")</f>
        <v>https://arizona.app.box.com/file/389172141078</v>
      </c>
      <c r="N4046" t="str">
        <f>HYPERLINK("https://arizona.app.box.com/file/386239077764")</f>
        <v>https://arizona.app.box.com/file/386239077764</v>
      </c>
    </row>
    <row r="4048" spans="1:25" x14ac:dyDescent="0.2">
      <c r="A4048" s="2">
        <v>6944</v>
      </c>
      <c r="B4048" s="2" t="s">
        <v>8213</v>
      </c>
      <c r="C4048" s="2" t="s">
        <v>13</v>
      </c>
      <c r="D4048" s="2" t="s">
        <v>8214</v>
      </c>
      <c r="E4048" s="2" t="s">
        <v>8215</v>
      </c>
      <c r="F4048" s="2" t="s">
        <v>174</v>
      </c>
      <c r="G4048" s="2" t="s">
        <v>17</v>
      </c>
      <c r="H4048" s="2"/>
      <c r="I4048" s="2"/>
      <c r="J4048" s="2"/>
      <c r="K4048" s="2"/>
      <c r="L4048" s="2"/>
      <c r="M4048" s="2"/>
      <c r="N4048" s="2"/>
      <c r="O4048" s="2"/>
      <c r="P4048" s="2"/>
      <c r="Q4048" s="2"/>
      <c r="R4048" s="2"/>
      <c r="S4048" s="2"/>
      <c r="T4048" s="2"/>
      <c r="U4048" s="2"/>
      <c r="V4048" s="2"/>
      <c r="W4048" s="2"/>
      <c r="X4048" s="2"/>
      <c r="Y4048" s="2"/>
    </row>
    <row r="4049" spans="1:25" x14ac:dyDescent="0.2">
      <c r="A4049">
        <v>6945</v>
      </c>
      <c r="B4049" t="s">
        <v>8213</v>
      </c>
      <c r="C4049" t="s">
        <v>18</v>
      </c>
      <c r="D4049" t="s">
        <v>8214</v>
      </c>
      <c r="E4049" t="s">
        <v>8216</v>
      </c>
      <c r="F4049" t="s">
        <v>174</v>
      </c>
      <c r="G4049" t="s">
        <v>17</v>
      </c>
      <c r="H4049" t="b">
        <v>1</v>
      </c>
      <c r="I4049" t="b">
        <v>1</v>
      </c>
      <c r="L4049" t="b">
        <v>1</v>
      </c>
      <c r="M4049" t="str">
        <f>HYPERLINK("https://arizona.app.box.com/file/389267286739")</f>
        <v>https://arizona.app.box.com/file/389267286739</v>
      </c>
    </row>
    <row r="4050" spans="1:25" x14ac:dyDescent="0.2">
      <c r="A4050">
        <v>6946</v>
      </c>
      <c r="B4050" t="s">
        <v>8213</v>
      </c>
      <c r="C4050" t="s">
        <v>18</v>
      </c>
      <c r="D4050" t="s">
        <v>8217</v>
      </c>
      <c r="E4050" t="s">
        <v>4850</v>
      </c>
      <c r="F4050" t="s">
        <v>174</v>
      </c>
      <c r="G4050" t="s">
        <v>17</v>
      </c>
      <c r="H4050" t="b">
        <v>1</v>
      </c>
      <c r="I4050" t="b">
        <v>1</v>
      </c>
      <c r="L4050" t="b">
        <v>1</v>
      </c>
      <c r="M4050" t="str">
        <f>HYPERLINK("https://arizona.app.box.com/file/389261750792")</f>
        <v>https://arizona.app.box.com/file/389261750792</v>
      </c>
      <c r="N4050" t="str">
        <f>HYPERLINK("https://arizona.app.box.com/file/389162293564")</f>
        <v>https://arizona.app.box.com/file/389162293564</v>
      </c>
    </row>
    <row r="4051" spans="1:25" x14ac:dyDescent="0.2">
      <c r="A4051">
        <v>6947</v>
      </c>
      <c r="B4051" t="s">
        <v>8213</v>
      </c>
      <c r="C4051" t="s">
        <v>18</v>
      </c>
      <c r="D4051" t="s">
        <v>7682</v>
      </c>
      <c r="E4051" t="s">
        <v>7683</v>
      </c>
      <c r="F4051" t="s">
        <v>122</v>
      </c>
      <c r="G4051" t="s">
        <v>17</v>
      </c>
      <c r="H4051" t="b">
        <v>0</v>
      </c>
      <c r="I4051" t="b">
        <v>0</v>
      </c>
      <c r="L4051" t="b">
        <v>0</v>
      </c>
      <c r="M4051" t="str">
        <f>HYPERLINK("https://arizona.app.box.com/file/389161644127")</f>
        <v>https://arizona.app.box.com/file/389161644127</v>
      </c>
      <c r="N4051" t="str">
        <f>HYPERLINK("https://arizona.app.box.com/file/389161099648")</f>
        <v>https://arizona.app.box.com/file/389161099648</v>
      </c>
    </row>
    <row r="4052" spans="1:25" x14ac:dyDescent="0.2">
      <c r="A4052">
        <v>6948</v>
      </c>
      <c r="B4052" t="s">
        <v>8213</v>
      </c>
      <c r="C4052" t="s">
        <v>18</v>
      </c>
      <c r="D4052" t="s">
        <v>8218</v>
      </c>
      <c r="E4052" t="s">
        <v>8219</v>
      </c>
      <c r="F4052" t="s">
        <v>122</v>
      </c>
      <c r="G4052" t="s">
        <v>17</v>
      </c>
      <c r="H4052" t="b">
        <v>0</v>
      </c>
      <c r="I4052" t="b">
        <v>0</v>
      </c>
      <c r="L4052" t="b">
        <v>0</v>
      </c>
    </row>
    <row r="4053" spans="1:25" x14ac:dyDescent="0.2">
      <c r="A4053">
        <v>6949</v>
      </c>
      <c r="B4053" t="s">
        <v>8213</v>
      </c>
      <c r="C4053" t="s">
        <v>18</v>
      </c>
      <c r="D4053" t="s">
        <v>6248</v>
      </c>
      <c r="E4053" t="s">
        <v>6249</v>
      </c>
      <c r="F4053" t="s">
        <v>369</v>
      </c>
      <c r="G4053" t="s">
        <v>62</v>
      </c>
      <c r="H4053" t="b">
        <v>0</v>
      </c>
      <c r="I4053" t="b">
        <v>0</v>
      </c>
      <c r="L4053" t="b">
        <v>0</v>
      </c>
      <c r="M4053" t="str">
        <f>HYPERLINK("https://arizona.app.box.com/file/386215793660")</f>
        <v>https://arizona.app.box.com/file/386215793660</v>
      </c>
      <c r="N4053" t="str">
        <f>HYPERLINK("https://arizona.app.box.com/file/386244485636")</f>
        <v>https://arizona.app.box.com/file/386244485636</v>
      </c>
    </row>
    <row r="4055" spans="1:25" x14ac:dyDescent="0.2">
      <c r="A4055" s="2">
        <v>6965</v>
      </c>
      <c r="B4055" s="2" t="s">
        <v>8220</v>
      </c>
      <c r="C4055" s="2" t="s">
        <v>13</v>
      </c>
      <c r="D4055" s="2" t="s">
        <v>2917</v>
      </c>
      <c r="E4055" s="2" t="s">
        <v>2918</v>
      </c>
      <c r="F4055" s="2" t="s">
        <v>78</v>
      </c>
      <c r="G4055" s="2" t="s">
        <v>88</v>
      </c>
      <c r="H4055" s="2"/>
      <c r="I4055" s="2"/>
      <c r="J4055" s="2"/>
      <c r="K4055" s="2"/>
      <c r="L4055" s="2"/>
      <c r="M4055" s="2"/>
      <c r="N4055" s="2"/>
      <c r="O4055" s="2"/>
      <c r="P4055" s="2"/>
      <c r="Q4055" s="2"/>
      <c r="R4055" s="2"/>
      <c r="S4055" s="2"/>
      <c r="T4055" s="2"/>
      <c r="U4055" s="2"/>
      <c r="V4055" s="2"/>
      <c r="W4055" s="2"/>
      <c r="X4055" s="2"/>
      <c r="Y4055" s="2"/>
    </row>
    <row r="4056" spans="1:25" x14ac:dyDescent="0.2">
      <c r="A4056">
        <v>6966</v>
      </c>
      <c r="B4056" t="s">
        <v>8220</v>
      </c>
      <c r="C4056" t="s">
        <v>18</v>
      </c>
      <c r="D4056" t="s">
        <v>2917</v>
      </c>
      <c r="E4056" t="s">
        <v>2918</v>
      </c>
      <c r="F4056" t="s">
        <v>78</v>
      </c>
      <c r="G4056" t="s">
        <v>88</v>
      </c>
      <c r="H4056" t="b">
        <v>1</v>
      </c>
      <c r="K4056" t="b">
        <v>1</v>
      </c>
      <c r="L4056" t="b">
        <v>1</v>
      </c>
      <c r="M4056" t="str">
        <f>HYPERLINK("https://arizona.app.box.com/file/386244217144")</f>
        <v>https://arizona.app.box.com/file/386244217144</v>
      </c>
      <c r="N4056" t="str">
        <f>HYPERLINK("https://arizona.app.box.com/file/386265506299")</f>
        <v>https://arizona.app.box.com/file/386265506299</v>
      </c>
    </row>
    <row r="4057" spans="1:25" x14ac:dyDescent="0.2">
      <c r="A4057">
        <v>6967</v>
      </c>
      <c r="B4057" t="s">
        <v>8220</v>
      </c>
      <c r="C4057" t="s">
        <v>18</v>
      </c>
      <c r="D4057" t="s">
        <v>2909</v>
      </c>
      <c r="E4057" t="s">
        <v>2910</v>
      </c>
      <c r="F4057" t="s">
        <v>78</v>
      </c>
      <c r="G4057" t="s">
        <v>88</v>
      </c>
      <c r="H4057" t="b">
        <v>0</v>
      </c>
      <c r="K4057" t="b">
        <v>0</v>
      </c>
      <c r="L4057" t="b">
        <v>0</v>
      </c>
      <c r="M4057" t="str">
        <f>HYPERLINK("https://arizona.app.box.com/file/386250021060")</f>
        <v>https://arizona.app.box.com/file/386250021060</v>
      </c>
      <c r="N4057" t="str">
        <f>HYPERLINK("https://arizona.app.box.com/file/386246811480")</f>
        <v>https://arizona.app.box.com/file/386246811480</v>
      </c>
    </row>
    <row r="4058" spans="1:25" x14ac:dyDescent="0.2">
      <c r="A4058">
        <v>6968</v>
      </c>
      <c r="B4058" t="s">
        <v>8220</v>
      </c>
      <c r="C4058" t="s">
        <v>18</v>
      </c>
      <c r="D4058" t="s">
        <v>6240</v>
      </c>
      <c r="E4058" t="s">
        <v>6241</v>
      </c>
      <c r="F4058" t="s">
        <v>78</v>
      </c>
      <c r="G4058" t="s">
        <v>88</v>
      </c>
      <c r="H4058" t="b">
        <v>0</v>
      </c>
      <c r="K4058" t="b">
        <v>0</v>
      </c>
      <c r="L4058" t="b">
        <v>0</v>
      </c>
      <c r="M4058" t="str">
        <f>HYPERLINK("https://arizona.app.box.com/file/386265231632")</f>
        <v>https://arizona.app.box.com/file/386265231632</v>
      </c>
    </row>
    <row r="4059" spans="1:25" x14ac:dyDescent="0.2">
      <c r="A4059">
        <v>6969</v>
      </c>
      <c r="B4059" t="s">
        <v>8220</v>
      </c>
      <c r="C4059" t="s">
        <v>18</v>
      </c>
      <c r="D4059" t="s">
        <v>2901</v>
      </c>
      <c r="E4059" t="s">
        <v>2903</v>
      </c>
      <c r="F4059" t="s">
        <v>78</v>
      </c>
      <c r="G4059" t="s">
        <v>88</v>
      </c>
      <c r="H4059" t="b">
        <v>0</v>
      </c>
      <c r="K4059" t="b">
        <v>0</v>
      </c>
      <c r="L4059" t="b">
        <v>0</v>
      </c>
      <c r="M4059" t="str">
        <f>HYPERLINK("https://arizona.app.box.com/file/389174697644")</f>
        <v>https://arizona.app.box.com/file/389174697644</v>
      </c>
    </row>
    <row r="4060" spans="1:25" x14ac:dyDescent="0.2">
      <c r="A4060">
        <v>6970</v>
      </c>
      <c r="B4060" t="s">
        <v>8220</v>
      </c>
      <c r="C4060" t="s">
        <v>18</v>
      </c>
      <c r="D4060" t="s">
        <v>4428</v>
      </c>
      <c r="E4060" t="s">
        <v>4429</v>
      </c>
      <c r="F4060" t="s">
        <v>78</v>
      </c>
      <c r="G4060" t="s">
        <v>88</v>
      </c>
      <c r="H4060" t="b">
        <v>0</v>
      </c>
      <c r="K4060" t="b">
        <v>0</v>
      </c>
      <c r="L4060" t="b">
        <v>0</v>
      </c>
    </row>
    <row r="4062" spans="1:25" x14ac:dyDescent="0.2">
      <c r="A4062" s="2">
        <v>6979</v>
      </c>
      <c r="B4062" s="2" t="s">
        <v>8221</v>
      </c>
      <c r="C4062" s="2" t="s">
        <v>13</v>
      </c>
      <c r="D4062" s="2" t="s">
        <v>5926</v>
      </c>
      <c r="E4062" s="2" t="s">
        <v>8222</v>
      </c>
      <c r="F4062" s="2" t="s">
        <v>45</v>
      </c>
      <c r="G4062" s="2" t="s">
        <v>24</v>
      </c>
      <c r="H4062" s="2"/>
      <c r="I4062" s="2"/>
      <c r="J4062" s="2"/>
      <c r="K4062" s="2"/>
      <c r="L4062" s="2"/>
      <c r="M4062" s="2"/>
      <c r="N4062" s="2"/>
      <c r="O4062" s="2"/>
      <c r="P4062" s="2"/>
      <c r="Q4062" s="2"/>
      <c r="R4062" s="2"/>
      <c r="S4062" s="2"/>
      <c r="T4062" s="2"/>
      <c r="U4062" s="2"/>
      <c r="V4062" s="2"/>
      <c r="W4062" s="2"/>
      <c r="X4062" s="2"/>
      <c r="Y4062" s="2"/>
    </row>
    <row r="4063" spans="1:25" x14ac:dyDescent="0.2">
      <c r="A4063">
        <v>6980</v>
      </c>
      <c r="B4063" t="s">
        <v>8221</v>
      </c>
      <c r="C4063" t="s">
        <v>18</v>
      </c>
      <c r="D4063" t="s">
        <v>5926</v>
      </c>
      <c r="E4063" t="s">
        <v>5927</v>
      </c>
      <c r="F4063" t="s">
        <v>45</v>
      </c>
      <c r="G4063" t="s">
        <v>24</v>
      </c>
      <c r="H4063" t="b">
        <v>1</v>
      </c>
      <c r="I4063" t="b">
        <v>1</v>
      </c>
      <c r="L4063" t="b">
        <v>1</v>
      </c>
      <c r="M4063" t="str">
        <f>HYPERLINK("https://arizona.app.box.com/file/389262786359")</f>
        <v>https://arizona.app.box.com/file/389262786359</v>
      </c>
      <c r="N4063" t="str">
        <f>HYPERLINK("https://arizona.app.box.com/file/389171864750")</f>
        <v>https://arizona.app.box.com/file/389171864750</v>
      </c>
    </row>
    <row r="4064" spans="1:25" x14ac:dyDescent="0.2">
      <c r="A4064">
        <v>6981</v>
      </c>
      <c r="B4064" t="s">
        <v>8221</v>
      </c>
      <c r="C4064" t="s">
        <v>18</v>
      </c>
      <c r="D4064" t="s">
        <v>8223</v>
      </c>
      <c r="E4064" t="s">
        <v>3140</v>
      </c>
      <c r="F4064" t="s">
        <v>45</v>
      </c>
      <c r="G4064" t="s">
        <v>24</v>
      </c>
      <c r="H4064" t="b">
        <v>1</v>
      </c>
      <c r="I4064" t="b">
        <v>1</v>
      </c>
      <c r="L4064" t="b">
        <v>1</v>
      </c>
      <c r="M4064" t="str">
        <f>HYPERLINK("https://arizona.app.box.com/file/386228099400")</f>
        <v>https://arizona.app.box.com/file/386228099400</v>
      </c>
      <c r="N4064" t="str">
        <f>HYPERLINK("https://arizona.app.box.com/file/386227503731")</f>
        <v>https://arizona.app.box.com/file/386227503731</v>
      </c>
    </row>
    <row r="4065" spans="1:25" x14ac:dyDescent="0.2">
      <c r="A4065">
        <v>6982</v>
      </c>
      <c r="B4065" t="s">
        <v>8221</v>
      </c>
      <c r="C4065" t="s">
        <v>18</v>
      </c>
      <c r="D4065" t="s">
        <v>5912</v>
      </c>
      <c r="E4065" t="s">
        <v>4914</v>
      </c>
      <c r="F4065" t="s">
        <v>122</v>
      </c>
      <c r="G4065" t="s">
        <v>24</v>
      </c>
      <c r="H4065" t="b">
        <v>0</v>
      </c>
      <c r="I4065" t="b">
        <v>0</v>
      </c>
      <c r="L4065" t="b">
        <v>0</v>
      </c>
      <c r="M4065" t="str">
        <f>HYPERLINK("https://arizona.app.box.com/file/389170908051")</f>
        <v>https://arizona.app.box.com/file/389170908051</v>
      </c>
      <c r="N4065" t="str">
        <f>HYPERLINK("https://arizona.app.box.com/file/386225853497")</f>
        <v>https://arizona.app.box.com/file/386225853497</v>
      </c>
    </row>
    <row r="4066" spans="1:25" x14ac:dyDescent="0.2">
      <c r="A4066">
        <v>6983</v>
      </c>
      <c r="B4066" t="s">
        <v>8221</v>
      </c>
      <c r="C4066" t="s">
        <v>18</v>
      </c>
      <c r="D4066" t="s">
        <v>162</v>
      </c>
      <c r="E4066" t="s">
        <v>163</v>
      </c>
      <c r="F4066" t="s">
        <v>16</v>
      </c>
      <c r="G4066" t="s">
        <v>24</v>
      </c>
      <c r="H4066" t="b">
        <v>0</v>
      </c>
      <c r="I4066" t="b">
        <v>0</v>
      </c>
      <c r="L4066" t="b">
        <v>0</v>
      </c>
      <c r="M4066" t="str">
        <f>HYPERLINK("https://arizona.app.box.com/file/389255779743")</f>
        <v>https://arizona.app.box.com/file/389255779743</v>
      </c>
      <c r="N4066" t="str">
        <f>HYPERLINK("https://arizona.app.box.com/file/389152310670")</f>
        <v>https://arizona.app.box.com/file/389152310670</v>
      </c>
    </row>
    <row r="4067" spans="1:25" x14ac:dyDescent="0.2">
      <c r="A4067">
        <v>6984</v>
      </c>
      <c r="B4067" t="s">
        <v>8221</v>
      </c>
      <c r="C4067" t="s">
        <v>18</v>
      </c>
      <c r="D4067" t="s">
        <v>4158</v>
      </c>
      <c r="E4067" t="s">
        <v>4159</v>
      </c>
      <c r="F4067" t="s">
        <v>168</v>
      </c>
      <c r="G4067" t="s">
        <v>24</v>
      </c>
      <c r="H4067" t="b">
        <v>0</v>
      </c>
      <c r="I4067" t="b">
        <v>0</v>
      </c>
      <c r="L4067" t="b">
        <v>0</v>
      </c>
      <c r="M4067" t="str">
        <f>HYPERLINK("https://arizona.app.box.com/file/389171477193")</f>
        <v>https://arizona.app.box.com/file/389171477193</v>
      </c>
      <c r="N4067" t="str">
        <f>HYPERLINK("https://arizona.app.box.com/file/386238603596")</f>
        <v>https://arizona.app.box.com/file/386238603596</v>
      </c>
    </row>
    <row r="4069" spans="1:25" x14ac:dyDescent="0.2">
      <c r="A4069" s="2">
        <v>7637</v>
      </c>
      <c r="B4069" s="2" t="s">
        <v>8224</v>
      </c>
      <c r="C4069" s="2" t="s">
        <v>13</v>
      </c>
      <c r="D4069" s="2" t="s">
        <v>8225</v>
      </c>
      <c r="E4069" s="2" t="s">
        <v>8226</v>
      </c>
      <c r="F4069" s="2" t="s">
        <v>168</v>
      </c>
      <c r="G4069" s="2" t="s">
        <v>62</v>
      </c>
      <c r="H4069" s="2"/>
      <c r="I4069" s="2"/>
      <c r="J4069" s="2"/>
      <c r="K4069" s="2"/>
      <c r="L4069" s="2"/>
      <c r="M4069" s="2"/>
      <c r="N4069" s="2"/>
      <c r="O4069" s="2"/>
      <c r="P4069" s="2"/>
      <c r="Q4069" s="2"/>
      <c r="R4069" s="2"/>
      <c r="S4069" s="2"/>
      <c r="T4069" s="2"/>
      <c r="U4069" s="2"/>
      <c r="V4069" s="2"/>
      <c r="W4069" s="2"/>
      <c r="X4069" s="2"/>
      <c r="Y4069" s="2"/>
    </row>
    <row r="4070" spans="1:25" x14ac:dyDescent="0.2">
      <c r="A4070">
        <v>7638</v>
      </c>
      <c r="B4070" t="s">
        <v>8224</v>
      </c>
      <c r="C4070" t="s">
        <v>18</v>
      </c>
      <c r="D4070" t="s">
        <v>8225</v>
      </c>
      <c r="E4070" t="s">
        <v>8226</v>
      </c>
      <c r="F4070" t="s">
        <v>168</v>
      </c>
      <c r="G4070" t="s">
        <v>62</v>
      </c>
      <c r="I4070" t="b">
        <v>1</v>
      </c>
      <c r="J4070" t="b">
        <v>1</v>
      </c>
      <c r="L4070" t="b">
        <v>1</v>
      </c>
      <c r="M4070" t="str">
        <f>HYPERLINK("https://arizona.app.box.com/file/386239861816")</f>
        <v>https://arizona.app.box.com/file/386239861816</v>
      </c>
      <c r="N4070" t="str">
        <f>HYPERLINK("https://arizona.app.box.com/file/386217958402")</f>
        <v>https://arizona.app.box.com/file/386217958402</v>
      </c>
    </row>
    <row r="4071" spans="1:25" x14ac:dyDescent="0.2">
      <c r="A4071">
        <v>7639</v>
      </c>
      <c r="B4071" t="s">
        <v>8224</v>
      </c>
      <c r="C4071" t="s">
        <v>18</v>
      </c>
      <c r="D4071" t="s">
        <v>8227</v>
      </c>
      <c r="E4071" t="s">
        <v>354</v>
      </c>
      <c r="F4071" t="s">
        <v>71</v>
      </c>
      <c r="G4071" t="s">
        <v>62</v>
      </c>
      <c r="I4071" t="b">
        <v>0</v>
      </c>
      <c r="J4071" t="b">
        <v>0</v>
      </c>
      <c r="L4071" t="b">
        <v>0</v>
      </c>
      <c r="M4071" t="str">
        <f>HYPERLINK("https://arizona.app.box.com/file/386217609434")</f>
        <v>https://arizona.app.box.com/file/386217609434</v>
      </c>
    </row>
    <row r="4072" spans="1:25" x14ac:dyDescent="0.2">
      <c r="A4072">
        <v>7640</v>
      </c>
      <c r="B4072" t="s">
        <v>8224</v>
      </c>
      <c r="C4072" t="s">
        <v>18</v>
      </c>
      <c r="D4072" t="s">
        <v>6341</v>
      </c>
      <c r="E4072" t="s">
        <v>756</v>
      </c>
      <c r="F4072" t="s">
        <v>71</v>
      </c>
      <c r="G4072" t="s">
        <v>62</v>
      </c>
      <c r="I4072" t="b">
        <v>0</v>
      </c>
      <c r="J4072" t="b">
        <v>0</v>
      </c>
      <c r="L4072" t="b">
        <v>0</v>
      </c>
      <c r="M4072" t="str">
        <f>HYPERLINK("https://arizona.app.box.com/file/386217945615")</f>
        <v>https://arizona.app.box.com/file/386217945615</v>
      </c>
    </row>
    <row r="4073" spans="1:25" x14ac:dyDescent="0.2">
      <c r="A4073">
        <v>7641</v>
      </c>
      <c r="B4073" t="s">
        <v>8224</v>
      </c>
      <c r="C4073" t="s">
        <v>18</v>
      </c>
      <c r="D4073" t="s">
        <v>8228</v>
      </c>
      <c r="E4073" t="s">
        <v>1745</v>
      </c>
      <c r="F4073" t="s">
        <v>574</v>
      </c>
      <c r="G4073" t="s">
        <v>62</v>
      </c>
      <c r="I4073" t="b">
        <v>0</v>
      </c>
      <c r="J4073" t="b">
        <v>0</v>
      </c>
      <c r="L4073" t="b">
        <v>0</v>
      </c>
      <c r="M4073" t="str">
        <f>HYPERLINK("https://arizona.app.box.com/file/386241823691")</f>
        <v>https://arizona.app.box.com/file/386241823691</v>
      </c>
    </row>
    <row r="4074" spans="1:25" x14ac:dyDescent="0.2">
      <c r="A4074">
        <v>7642</v>
      </c>
      <c r="B4074" t="s">
        <v>8224</v>
      </c>
      <c r="C4074" t="s">
        <v>18</v>
      </c>
      <c r="D4074" t="s">
        <v>8229</v>
      </c>
      <c r="E4074" t="s">
        <v>740</v>
      </c>
      <c r="F4074" t="s">
        <v>1077</v>
      </c>
      <c r="G4074" t="s">
        <v>62</v>
      </c>
      <c r="I4074" t="b">
        <v>0</v>
      </c>
      <c r="J4074" t="b">
        <v>0</v>
      </c>
      <c r="L4074" t="b">
        <v>0</v>
      </c>
      <c r="M4074" t="str">
        <f>HYPERLINK("https://arizona.app.box.com/file/386216218912")</f>
        <v>https://arizona.app.box.com/file/386216218912</v>
      </c>
    </row>
    <row r="4076" spans="1:25" x14ac:dyDescent="0.2">
      <c r="A4076" s="2">
        <v>1547</v>
      </c>
      <c r="B4076" s="2" t="s">
        <v>8230</v>
      </c>
      <c r="C4076" s="2" t="s">
        <v>13</v>
      </c>
      <c r="D4076" s="2" t="s">
        <v>4207</v>
      </c>
      <c r="E4076" s="2" t="s">
        <v>8231</v>
      </c>
      <c r="F4076" s="2" t="s">
        <v>168</v>
      </c>
      <c r="G4076" s="2" t="s">
        <v>17</v>
      </c>
      <c r="H4076" s="2"/>
      <c r="I4076" s="2"/>
      <c r="J4076" s="2"/>
      <c r="K4076" s="2"/>
      <c r="L4076" s="2"/>
      <c r="M4076" s="2"/>
      <c r="N4076" s="2"/>
      <c r="O4076" s="2"/>
      <c r="P4076" s="2"/>
      <c r="Q4076" s="2"/>
      <c r="R4076" s="2"/>
      <c r="S4076" s="2"/>
      <c r="T4076" s="2"/>
      <c r="U4076" s="2"/>
      <c r="V4076" s="2"/>
      <c r="W4076" s="2"/>
      <c r="X4076" s="2"/>
      <c r="Y4076" s="2"/>
    </row>
    <row r="4077" spans="1:25" x14ac:dyDescent="0.2">
      <c r="A4077">
        <v>1548</v>
      </c>
      <c r="B4077" t="s">
        <v>8230</v>
      </c>
      <c r="C4077" t="s">
        <v>18</v>
      </c>
      <c r="D4077" t="s">
        <v>4207</v>
      </c>
      <c r="E4077" t="s">
        <v>4208</v>
      </c>
      <c r="F4077" t="s">
        <v>168</v>
      </c>
      <c r="G4077" t="s">
        <v>17</v>
      </c>
      <c r="I4077" t="b">
        <v>1</v>
      </c>
      <c r="J4077" t="b">
        <v>1</v>
      </c>
      <c r="L4077" t="b">
        <v>1</v>
      </c>
      <c r="M4077" t="str">
        <f>HYPERLINK("https://arizona.app.box.com/file/389162605250")</f>
        <v>https://arizona.app.box.com/file/389162605250</v>
      </c>
      <c r="N4077" t="str">
        <f>HYPERLINK("https://arizona.app.box.com/file/386214413565")</f>
        <v>https://arizona.app.box.com/file/386214413565</v>
      </c>
    </row>
    <row r="4078" spans="1:25" x14ac:dyDescent="0.2">
      <c r="A4078">
        <v>1549</v>
      </c>
      <c r="B4078" t="s">
        <v>8230</v>
      </c>
      <c r="C4078" t="s">
        <v>18</v>
      </c>
      <c r="D4078" t="s">
        <v>4200</v>
      </c>
      <c r="E4078" t="s">
        <v>190</v>
      </c>
      <c r="F4078" t="s">
        <v>168</v>
      </c>
      <c r="G4078" t="s">
        <v>17</v>
      </c>
      <c r="I4078" t="b">
        <v>1</v>
      </c>
      <c r="J4078" t="b">
        <v>1</v>
      </c>
      <c r="L4078" t="b">
        <v>1</v>
      </c>
      <c r="M4078" t="str">
        <f>HYPERLINK("https://arizona.app.box.com/file/389260397711")</f>
        <v>https://arizona.app.box.com/file/389260397711</v>
      </c>
      <c r="N4078" t="str">
        <f>HYPERLINK("https://arizona.app.box.com/file/389167187739")</f>
        <v>https://arizona.app.box.com/file/389167187739</v>
      </c>
    </row>
    <row r="4079" spans="1:25" x14ac:dyDescent="0.2">
      <c r="A4079">
        <v>1550</v>
      </c>
      <c r="B4079" t="s">
        <v>8230</v>
      </c>
      <c r="C4079" t="s">
        <v>18</v>
      </c>
      <c r="D4079" t="s">
        <v>8232</v>
      </c>
      <c r="E4079" t="s">
        <v>1167</v>
      </c>
      <c r="F4079" t="s">
        <v>168</v>
      </c>
      <c r="G4079" t="s">
        <v>17</v>
      </c>
      <c r="I4079" t="b">
        <v>1</v>
      </c>
      <c r="J4079" t="b">
        <v>1</v>
      </c>
      <c r="L4079" t="b">
        <v>1</v>
      </c>
      <c r="M4079" t="str">
        <f>HYPERLINK("https://arizona.app.box.com/file/389256405572")</f>
        <v>https://arizona.app.box.com/file/389256405572</v>
      </c>
    </row>
    <row r="4080" spans="1:25" x14ac:dyDescent="0.2">
      <c r="A4080">
        <v>1551</v>
      </c>
      <c r="B4080" t="s">
        <v>8230</v>
      </c>
      <c r="C4080" t="s">
        <v>18</v>
      </c>
      <c r="D4080" t="s">
        <v>4190</v>
      </c>
      <c r="E4080" t="s">
        <v>4191</v>
      </c>
      <c r="F4080" t="s">
        <v>122</v>
      </c>
      <c r="G4080" t="s">
        <v>4192</v>
      </c>
      <c r="I4080" t="b">
        <v>0</v>
      </c>
      <c r="J4080" t="b">
        <v>0</v>
      </c>
      <c r="L4080" t="b">
        <v>0</v>
      </c>
      <c r="M4080" t="str">
        <f>HYPERLINK("https://arizona.app.box.com/file/389260715601")</f>
        <v>https://arizona.app.box.com/file/389260715601</v>
      </c>
      <c r="N4080" t="str">
        <f>HYPERLINK("https://arizona.app.box.com/file/389166283125")</f>
        <v>https://arizona.app.box.com/file/389166283125</v>
      </c>
      <c r="O4080" t="str">
        <f>HYPERLINK("https://arizona.app.box.com/file/389262841081")</f>
        <v>https://arizona.app.box.com/file/389262841081</v>
      </c>
      <c r="P4080" t="str">
        <f>HYPERLINK("https://arizona.app.box.com/file/389152014559")</f>
        <v>https://arizona.app.box.com/file/389152014559</v>
      </c>
    </row>
    <row r="4081" spans="1:25" x14ac:dyDescent="0.2">
      <c r="A4081">
        <v>1552</v>
      </c>
      <c r="B4081" t="s">
        <v>8230</v>
      </c>
      <c r="C4081" t="s">
        <v>18</v>
      </c>
      <c r="D4081" t="s">
        <v>8233</v>
      </c>
      <c r="E4081" t="s">
        <v>8234</v>
      </c>
      <c r="F4081" t="s">
        <v>174</v>
      </c>
      <c r="G4081" t="s">
        <v>17</v>
      </c>
      <c r="I4081" t="b">
        <v>0</v>
      </c>
      <c r="J4081" t="b">
        <v>0</v>
      </c>
      <c r="L4081" t="b">
        <v>0</v>
      </c>
      <c r="M4081" t="str">
        <f>HYPERLINK("https://arizona.app.box.com/file/389150923999")</f>
        <v>https://arizona.app.box.com/file/389150923999</v>
      </c>
      <c r="N4081" t="str">
        <f>HYPERLINK("https://arizona.app.box.com/file/389150201488")</f>
        <v>https://arizona.app.box.com/file/389150201488</v>
      </c>
    </row>
    <row r="4083" spans="1:25" x14ac:dyDescent="0.2">
      <c r="A4083" s="2">
        <v>2282</v>
      </c>
      <c r="B4083" s="2" t="s">
        <v>8235</v>
      </c>
      <c r="C4083" s="2" t="s">
        <v>13</v>
      </c>
      <c r="D4083" s="2" t="s">
        <v>2423</v>
      </c>
      <c r="E4083" s="2" t="s">
        <v>8236</v>
      </c>
      <c r="F4083" s="2" t="s">
        <v>420</v>
      </c>
      <c r="G4083" s="2" t="s">
        <v>252</v>
      </c>
      <c r="H4083" s="2"/>
      <c r="I4083" s="2"/>
      <c r="J4083" s="2"/>
      <c r="K4083" s="2"/>
      <c r="L4083" s="2"/>
      <c r="M4083" s="2"/>
      <c r="N4083" s="2"/>
      <c r="O4083" s="2"/>
      <c r="P4083" s="2"/>
      <c r="Q4083" s="2"/>
      <c r="R4083" s="2"/>
      <c r="S4083" s="2"/>
      <c r="T4083" s="2"/>
      <c r="U4083" s="2"/>
      <c r="V4083" s="2"/>
      <c r="W4083" s="2"/>
      <c r="X4083" s="2"/>
      <c r="Y4083" s="2"/>
    </row>
    <row r="4084" spans="1:25" x14ac:dyDescent="0.2">
      <c r="A4084">
        <v>2283</v>
      </c>
      <c r="B4084" t="s">
        <v>8235</v>
      </c>
      <c r="C4084" t="s">
        <v>18</v>
      </c>
      <c r="D4084" t="s">
        <v>2423</v>
      </c>
      <c r="E4084" t="s">
        <v>2424</v>
      </c>
      <c r="F4084" t="s">
        <v>420</v>
      </c>
      <c r="G4084" t="s">
        <v>252</v>
      </c>
      <c r="I4084" t="b">
        <v>1</v>
      </c>
      <c r="J4084" t="b">
        <v>1</v>
      </c>
      <c r="L4084" t="b">
        <v>1</v>
      </c>
      <c r="M4084" t="str">
        <f>HYPERLINK("https://arizona.app.box.com/file/389257475838")</f>
        <v>https://arizona.app.box.com/file/389257475838</v>
      </c>
      <c r="N4084" t="str">
        <f>HYPERLINK("https://arizona.app.box.com/file/389137689415")</f>
        <v>https://arizona.app.box.com/file/389137689415</v>
      </c>
    </row>
    <row r="4085" spans="1:25" x14ac:dyDescent="0.2">
      <c r="A4085">
        <v>2284</v>
      </c>
      <c r="B4085" t="s">
        <v>8235</v>
      </c>
      <c r="C4085" t="s">
        <v>18</v>
      </c>
      <c r="D4085" t="s">
        <v>8237</v>
      </c>
      <c r="E4085" t="s">
        <v>1923</v>
      </c>
      <c r="F4085" t="s">
        <v>420</v>
      </c>
      <c r="G4085" t="s">
        <v>252</v>
      </c>
      <c r="I4085" t="b">
        <v>1</v>
      </c>
      <c r="J4085" t="b">
        <v>1</v>
      </c>
      <c r="L4085" t="b">
        <v>1</v>
      </c>
      <c r="M4085" t="str">
        <f>HYPERLINK("https://arizona.app.box.com/file/386251247100")</f>
        <v>https://arizona.app.box.com/file/386251247100</v>
      </c>
    </row>
    <row r="4086" spans="1:25" x14ac:dyDescent="0.2">
      <c r="A4086">
        <v>2285</v>
      </c>
      <c r="B4086" t="s">
        <v>8235</v>
      </c>
      <c r="C4086" t="s">
        <v>18</v>
      </c>
      <c r="D4086" t="s">
        <v>3504</v>
      </c>
      <c r="E4086" t="s">
        <v>3505</v>
      </c>
      <c r="F4086" t="s">
        <v>451</v>
      </c>
      <c r="G4086" t="s">
        <v>252</v>
      </c>
      <c r="I4086" t="b">
        <v>0</v>
      </c>
      <c r="J4086" t="b">
        <v>0</v>
      </c>
      <c r="L4086" t="b">
        <v>0</v>
      </c>
      <c r="M4086" t="str">
        <f>HYPERLINK("https://arizona.app.box.com/file/389256758395")</f>
        <v>https://arizona.app.box.com/file/389256758395</v>
      </c>
      <c r="N4086" t="str">
        <f>HYPERLINK("https://arizona.app.box.com/file/389162537379")</f>
        <v>https://arizona.app.box.com/file/389162537379</v>
      </c>
    </row>
    <row r="4087" spans="1:25" x14ac:dyDescent="0.2">
      <c r="A4087">
        <v>2286</v>
      </c>
      <c r="B4087" t="s">
        <v>8235</v>
      </c>
      <c r="C4087" t="s">
        <v>18</v>
      </c>
      <c r="D4087" t="s">
        <v>8238</v>
      </c>
      <c r="E4087" t="s">
        <v>8239</v>
      </c>
      <c r="F4087" t="s">
        <v>2388</v>
      </c>
      <c r="G4087" t="s">
        <v>252</v>
      </c>
      <c r="I4087" t="b">
        <v>0</v>
      </c>
      <c r="J4087" t="b">
        <v>0</v>
      </c>
      <c r="L4087" t="b">
        <v>0</v>
      </c>
      <c r="M4087" t="str">
        <f>HYPERLINK("https://arizona.app.box.com/file/389262285201")</f>
        <v>https://arizona.app.box.com/file/389262285201</v>
      </c>
      <c r="N4087" t="str">
        <f>HYPERLINK("https://arizona.app.box.com/file/389163742073")</f>
        <v>https://arizona.app.box.com/file/389163742073</v>
      </c>
    </row>
    <row r="4088" spans="1:25" x14ac:dyDescent="0.2">
      <c r="A4088">
        <v>2287</v>
      </c>
      <c r="B4088" t="s">
        <v>8235</v>
      </c>
      <c r="C4088" t="s">
        <v>18</v>
      </c>
      <c r="D4088" t="s">
        <v>4307</v>
      </c>
      <c r="E4088" t="s">
        <v>4308</v>
      </c>
      <c r="F4088" t="s">
        <v>420</v>
      </c>
      <c r="G4088" t="s">
        <v>252</v>
      </c>
      <c r="I4088" t="b">
        <v>0</v>
      </c>
      <c r="J4088" t="b">
        <v>0</v>
      </c>
      <c r="L4088" t="b">
        <v>0</v>
      </c>
      <c r="M4088" t="str">
        <f>HYPERLINK("https://arizona.app.box.com/file/389154072848")</f>
        <v>https://arizona.app.box.com/file/389154072848</v>
      </c>
      <c r="N4088" t="str">
        <f>HYPERLINK("https://arizona.app.box.com/file/386225521097")</f>
        <v>https://arizona.app.box.com/file/386225521097</v>
      </c>
    </row>
    <row r="4090" spans="1:25" x14ac:dyDescent="0.2">
      <c r="A4090" s="2">
        <v>2926</v>
      </c>
      <c r="B4090" s="2" t="s">
        <v>8240</v>
      </c>
      <c r="C4090" s="2" t="s">
        <v>13</v>
      </c>
      <c r="D4090" s="2" t="s">
        <v>8241</v>
      </c>
      <c r="E4090" s="2" t="s">
        <v>8242</v>
      </c>
      <c r="F4090" s="2" t="s">
        <v>159</v>
      </c>
      <c r="G4090" s="2" t="s">
        <v>1867</v>
      </c>
      <c r="H4090" s="2"/>
      <c r="I4090" s="2"/>
      <c r="J4090" s="2"/>
      <c r="K4090" s="2"/>
      <c r="L4090" s="2"/>
      <c r="M4090" s="2"/>
      <c r="N4090" s="2"/>
      <c r="O4090" s="2"/>
      <c r="P4090" s="2"/>
      <c r="Q4090" s="2"/>
      <c r="R4090" s="2"/>
      <c r="S4090" s="2"/>
      <c r="T4090" s="2"/>
      <c r="U4090" s="2"/>
      <c r="V4090" s="2"/>
      <c r="W4090" s="2"/>
      <c r="X4090" s="2"/>
      <c r="Y4090" s="2"/>
    </row>
    <row r="4091" spans="1:25" x14ac:dyDescent="0.2">
      <c r="A4091">
        <v>2927</v>
      </c>
      <c r="B4091" t="s">
        <v>8240</v>
      </c>
      <c r="C4091" t="s">
        <v>18</v>
      </c>
      <c r="D4091" t="s">
        <v>8241</v>
      </c>
      <c r="E4091" t="s">
        <v>8242</v>
      </c>
      <c r="F4091" t="s">
        <v>8243</v>
      </c>
      <c r="G4091" t="s">
        <v>1867</v>
      </c>
      <c r="I4091" t="b">
        <v>1</v>
      </c>
      <c r="J4091" t="b">
        <v>1</v>
      </c>
      <c r="L4091" t="b">
        <v>1</v>
      </c>
      <c r="M4091" t="str">
        <f>HYPERLINK("https://arizona.app.box.com/file/389256737375")</f>
        <v>https://arizona.app.box.com/file/389256737375</v>
      </c>
      <c r="N4091" t="str">
        <f>HYPERLINK("https://arizona.app.box.com/file/389152488846")</f>
        <v>https://arizona.app.box.com/file/389152488846</v>
      </c>
      <c r="O4091" t="str">
        <f>HYPERLINK("https://arizona.app.box.com/file/389168613651")</f>
        <v>https://arizona.app.box.com/file/389168613651</v>
      </c>
      <c r="P4091" t="str">
        <f>HYPERLINK("https://arizona.app.box.com/file/386237394128")</f>
        <v>https://arizona.app.box.com/file/386237394128</v>
      </c>
    </row>
    <row r="4092" spans="1:25" x14ac:dyDescent="0.2">
      <c r="A4092">
        <v>2928</v>
      </c>
      <c r="B4092" t="s">
        <v>8240</v>
      </c>
      <c r="C4092" t="s">
        <v>18</v>
      </c>
      <c r="D4092" t="s">
        <v>8244</v>
      </c>
      <c r="E4092" t="s">
        <v>8245</v>
      </c>
      <c r="F4092" t="s">
        <v>456</v>
      </c>
      <c r="G4092" t="s">
        <v>828</v>
      </c>
      <c r="I4092" t="b">
        <v>0</v>
      </c>
      <c r="J4092" t="b">
        <v>0</v>
      </c>
      <c r="L4092" t="b">
        <v>0</v>
      </c>
    </row>
    <row r="4093" spans="1:25" x14ac:dyDescent="0.2">
      <c r="A4093">
        <v>2929</v>
      </c>
      <c r="B4093" t="s">
        <v>8240</v>
      </c>
      <c r="C4093" t="s">
        <v>18</v>
      </c>
      <c r="D4093" t="s">
        <v>8246</v>
      </c>
      <c r="E4093" t="s">
        <v>8247</v>
      </c>
      <c r="F4093" t="s">
        <v>45</v>
      </c>
      <c r="G4093" t="s">
        <v>1867</v>
      </c>
      <c r="I4093" t="b">
        <v>0</v>
      </c>
      <c r="J4093" t="b">
        <v>0</v>
      </c>
      <c r="L4093" t="b">
        <v>0</v>
      </c>
      <c r="M4093" t="str">
        <f>HYPERLINK("https://arizona.app.box.com/file/386257506962")</f>
        <v>https://arizona.app.box.com/file/386257506962</v>
      </c>
      <c r="N4093" t="str">
        <f>HYPERLINK("https://arizona.app.box.com/file/386261900066")</f>
        <v>https://arizona.app.box.com/file/386261900066</v>
      </c>
    </row>
    <row r="4094" spans="1:25" x14ac:dyDescent="0.2">
      <c r="A4094">
        <v>2930</v>
      </c>
      <c r="B4094" t="s">
        <v>8240</v>
      </c>
      <c r="C4094" t="s">
        <v>18</v>
      </c>
      <c r="D4094" t="s">
        <v>8248</v>
      </c>
      <c r="E4094" t="s">
        <v>8249</v>
      </c>
      <c r="F4094" t="s">
        <v>45</v>
      </c>
      <c r="G4094" t="s">
        <v>502</v>
      </c>
      <c r="I4094" t="b">
        <v>0</v>
      </c>
      <c r="J4094" t="b">
        <v>0</v>
      </c>
      <c r="L4094" t="b">
        <v>0</v>
      </c>
      <c r="M4094" t="str">
        <f>HYPERLINK("https://arizona.app.box.com/file/386241449203")</f>
        <v>https://arizona.app.box.com/file/386241449203</v>
      </c>
    </row>
    <row r="4095" spans="1:25" x14ac:dyDescent="0.2">
      <c r="A4095">
        <v>2931</v>
      </c>
      <c r="B4095" t="s">
        <v>8240</v>
      </c>
      <c r="C4095" t="s">
        <v>18</v>
      </c>
      <c r="D4095" t="s">
        <v>8250</v>
      </c>
      <c r="E4095" t="s">
        <v>2835</v>
      </c>
      <c r="F4095" t="s">
        <v>82</v>
      </c>
      <c r="G4095" t="s">
        <v>280</v>
      </c>
      <c r="I4095" t="b">
        <v>0</v>
      </c>
      <c r="J4095" t="b">
        <v>0</v>
      </c>
      <c r="L4095" t="b">
        <v>0</v>
      </c>
    </row>
    <row r="4097" spans="1:25" x14ac:dyDescent="0.2">
      <c r="A4097" s="2">
        <v>3829</v>
      </c>
      <c r="B4097" s="2" t="s">
        <v>8251</v>
      </c>
      <c r="C4097" s="2" t="s">
        <v>13</v>
      </c>
      <c r="D4097" s="2" t="s">
        <v>8252</v>
      </c>
      <c r="E4097" s="2" t="s">
        <v>8253</v>
      </c>
      <c r="F4097" s="2" t="s">
        <v>16</v>
      </c>
      <c r="G4097" s="2" t="s">
        <v>24</v>
      </c>
      <c r="H4097" s="2"/>
      <c r="I4097" s="2"/>
      <c r="J4097" s="2"/>
      <c r="K4097" s="2"/>
      <c r="L4097" s="2"/>
      <c r="M4097" s="2"/>
      <c r="N4097" s="2"/>
      <c r="O4097" s="2"/>
      <c r="P4097" s="2"/>
      <c r="Q4097" s="2"/>
      <c r="R4097" s="2"/>
      <c r="S4097" s="2"/>
      <c r="T4097" s="2"/>
      <c r="U4097" s="2"/>
      <c r="V4097" s="2"/>
      <c r="W4097" s="2"/>
      <c r="X4097" s="2"/>
      <c r="Y4097" s="2"/>
    </row>
    <row r="4098" spans="1:25" x14ac:dyDescent="0.2">
      <c r="A4098">
        <v>3830</v>
      </c>
      <c r="B4098" t="s">
        <v>8251</v>
      </c>
      <c r="C4098" t="s">
        <v>18</v>
      </c>
      <c r="D4098" t="s">
        <v>8254</v>
      </c>
      <c r="E4098" t="s">
        <v>8255</v>
      </c>
      <c r="F4098" t="s">
        <v>16</v>
      </c>
      <c r="G4098" t="s">
        <v>24</v>
      </c>
      <c r="I4098" t="b">
        <v>1</v>
      </c>
      <c r="J4098" t="b">
        <v>1</v>
      </c>
      <c r="L4098" t="b">
        <v>1</v>
      </c>
      <c r="M4098" t="str">
        <f>HYPERLINK("https://arizona.app.box.com/file/389172341174")</f>
        <v>https://arizona.app.box.com/file/389172341174</v>
      </c>
    </row>
    <row r="4099" spans="1:25" x14ac:dyDescent="0.2">
      <c r="A4099">
        <v>3831</v>
      </c>
      <c r="B4099" t="s">
        <v>8251</v>
      </c>
      <c r="C4099" t="s">
        <v>18</v>
      </c>
      <c r="D4099" t="s">
        <v>4132</v>
      </c>
      <c r="E4099" t="s">
        <v>809</v>
      </c>
      <c r="F4099" t="s">
        <v>16</v>
      </c>
      <c r="G4099" t="s">
        <v>24</v>
      </c>
      <c r="I4099" t="b">
        <v>0</v>
      </c>
      <c r="J4099" t="b">
        <v>0</v>
      </c>
      <c r="L4099" t="b">
        <v>0</v>
      </c>
      <c r="M4099" t="str">
        <f>HYPERLINK("https://arizona.app.box.com/file/389263839623")</f>
        <v>https://arizona.app.box.com/file/389263839623</v>
      </c>
      <c r="N4099" t="str">
        <f>HYPERLINK("https://arizona.app.box.com/file/389139488641")</f>
        <v>https://arizona.app.box.com/file/389139488641</v>
      </c>
    </row>
    <row r="4100" spans="1:25" x14ac:dyDescent="0.2">
      <c r="A4100">
        <v>3832</v>
      </c>
      <c r="B4100" t="s">
        <v>8251</v>
      </c>
      <c r="C4100" t="s">
        <v>18</v>
      </c>
      <c r="D4100" t="s">
        <v>5918</v>
      </c>
      <c r="E4100" t="s">
        <v>5919</v>
      </c>
      <c r="F4100" t="s">
        <v>122</v>
      </c>
      <c r="G4100" t="s">
        <v>24</v>
      </c>
      <c r="I4100" t="b">
        <v>0</v>
      </c>
      <c r="J4100" t="b">
        <v>0</v>
      </c>
      <c r="L4100" t="b">
        <v>0</v>
      </c>
      <c r="M4100" t="str">
        <f>HYPERLINK("https://arizona.app.box.com/file/386244830102")</f>
        <v>https://arizona.app.box.com/file/386244830102</v>
      </c>
      <c r="N4100" t="str">
        <f>HYPERLINK("https://arizona.app.box.com/file/386217114853")</f>
        <v>https://arizona.app.box.com/file/386217114853</v>
      </c>
    </row>
    <row r="4101" spans="1:25" x14ac:dyDescent="0.2">
      <c r="A4101">
        <v>3833</v>
      </c>
      <c r="B4101" t="s">
        <v>8251</v>
      </c>
      <c r="C4101" t="s">
        <v>18</v>
      </c>
      <c r="D4101" t="s">
        <v>380</v>
      </c>
      <c r="E4101" t="s">
        <v>381</v>
      </c>
      <c r="F4101" t="s">
        <v>31</v>
      </c>
      <c r="G4101" t="s">
        <v>24</v>
      </c>
      <c r="I4101" t="b">
        <v>0</v>
      </c>
      <c r="J4101" t="b">
        <v>0</v>
      </c>
      <c r="L4101" t="b">
        <v>0</v>
      </c>
      <c r="M4101" t="str">
        <f>HYPERLINK("https://arizona.app.box.com/file/389172430439")</f>
        <v>https://arizona.app.box.com/file/389172430439</v>
      </c>
      <c r="N4101" t="str">
        <f>HYPERLINK("https://arizona.app.box.com/file/386238663428")</f>
        <v>https://arizona.app.box.com/file/386238663428</v>
      </c>
    </row>
    <row r="4102" spans="1:25" x14ac:dyDescent="0.2">
      <c r="A4102">
        <v>3834</v>
      </c>
      <c r="B4102" t="s">
        <v>8251</v>
      </c>
      <c r="C4102" t="s">
        <v>18</v>
      </c>
      <c r="D4102" t="s">
        <v>382</v>
      </c>
      <c r="E4102" t="s">
        <v>381</v>
      </c>
      <c r="F4102" t="s">
        <v>20</v>
      </c>
      <c r="G4102" t="s">
        <v>24</v>
      </c>
      <c r="I4102" t="b">
        <v>0</v>
      </c>
      <c r="J4102" t="b">
        <v>0</v>
      </c>
      <c r="L4102" t="b">
        <v>0</v>
      </c>
      <c r="M4102" t="str">
        <f>HYPERLINK("https://arizona.app.box.com/file/386237350867")</f>
        <v>https://arizona.app.box.com/file/386237350867</v>
      </c>
    </row>
    <row r="4104" spans="1:25" x14ac:dyDescent="0.2">
      <c r="A4104" s="2">
        <v>4165</v>
      </c>
      <c r="B4104" s="2" t="s">
        <v>8256</v>
      </c>
      <c r="C4104" s="2" t="s">
        <v>13</v>
      </c>
      <c r="D4104" s="2" t="s">
        <v>8257</v>
      </c>
      <c r="E4104" s="2" t="s">
        <v>8258</v>
      </c>
      <c r="F4104" s="2" t="s">
        <v>23</v>
      </c>
      <c r="G4104" s="2" t="s">
        <v>134</v>
      </c>
      <c r="H4104" s="2"/>
      <c r="I4104" s="2"/>
      <c r="J4104" s="2"/>
      <c r="K4104" s="2"/>
      <c r="L4104" s="2"/>
      <c r="M4104" s="2"/>
      <c r="N4104" s="2"/>
      <c r="O4104" s="2"/>
      <c r="P4104" s="2"/>
      <c r="Q4104" s="2"/>
      <c r="R4104" s="2"/>
      <c r="S4104" s="2"/>
      <c r="T4104" s="2"/>
      <c r="U4104" s="2"/>
      <c r="V4104" s="2"/>
      <c r="W4104" s="2"/>
      <c r="X4104" s="2"/>
      <c r="Y4104" s="2"/>
    </row>
    <row r="4105" spans="1:25" x14ac:dyDescent="0.2">
      <c r="A4105">
        <v>4166</v>
      </c>
      <c r="B4105" t="s">
        <v>8256</v>
      </c>
      <c r="C4105" t="s">
        <v>18</v>
      </c>
      <c r="D4105" t="s">
        <v>2202</v>
      </c>
      <c r="E4105" t="s">
        <v>2203</v>
      </c>
      <c r="F4105" t="s">
        <v>23</v>
      </c>
      <c r="G4105" t="s">
        <v>134</v>
      </c>
      <c r="I4105" t="b">
        <v>1</v>
      </c>
      <c r="J4105" t="b">
        <v>1</v>
      </c>
      <c r="L4105" t="b">
        <v>1</v>
      </c>
      <c r="M4105" t="str">
        <f>HYPERLINK("https://arizona.app.box.com/file/389257434042")</f>
        <v>https://arizona.app.box.com/file/389257434042</v>
      </c>
    </row>
    <row r="4106" spans="1:25" x14ac:dyDescent="0.2">
      <c r="A4106">
        <v>4167</v>
      </c>
      <c r="B4106" t="s">
        <v>8256</v>
      </c>
      <c r="C4106" t="s">
        <v>18</v>
      </c>
      <c r="D4106" t="s">
        <v>1731</v>
      </c>
      <c r="E4106" t="s">
        <v>1732</v>
      </c>
      <c r="F4106" t="s">
        <v>23</v>
      </c>
      <c r="G4106" t="s">
        <v>134</v>
      </c>
      <c r="I4106" t="b">
        <v>1</v>
      </c>
      <c r="J4106" t="b">
        <v>1</v>
      </c>
      <c r="L4106" t="b">
        <v>1</v>
      </c>
      <c r="M4106" t="str">
        <f>HYPERLINK("https://arizona.app.box.com/file/389171958578")</f>
        <v>https://arizona.app.box.com/file/389171958578</v>
      </c>
    </row>
    <row r="4107" spans="1:25" x14ac:dyDescent="0.2">
      <c r="A4107">
        <v>4168</v>
      </c>
      <c r="B4107" t="s">
        <v>8256</v>
      </c>
      <c r="C4107" t="s">
        <v>18</v>
      </c>
      <c r="D4107" t="s">
        <v>2308</v>
      </c>
      <c r="E4107" t="s">
        <v>2309</v>
      </c>
      <c r="F4107" t="s">
        <v>248</v>
      </c>
      <c r="G4107" t="s">
        <v>134</v>
      </c>
      <c r="I4107" t="b">
        <v>0</v>
      </c>
      <c r="J4107" t="b">
        <v>0</v>
      </c>
      <c r="L4107" t="b">
        <v>0</v>
      </c>
      <c r="M4107" t="str">
        <f>HYPERLINK("https://arizona.app.box.com/file/389169464705")</f>
        <v>https://arizona.app.box.com/file/389169464705</v>
      </c>
      <c r="N4107" t="str">
        <f>HYPERLINK("https://arizona.app.box.com/file/389262453311")</f>
        <v>https://arizona.app.box.com/file/389262453311</v>
      </c>
      <c r="O4107" t="str">
        <f>HYPERLINK("https://arizona.app.box.com/file/389153026289")</f>
        <v>https://arizona.app.box.com/file/389153026289</v>
      </c>
    </row>
    <row r="4108" spans="1:25" x14ac:dyDescent="0.2">
      <c r="A4108">
        <v>4169</v>
      </c>
      <c r="B4108" t="s">
        <v>8256</v>
      </c>
      <c r="C4108" t="s">
        <v>18</v>
      </c>
      <c r="D4108" t="s">
        <v>3127</v>
      </c>
      <c r="E4108" t="s">
        <v>1167</v>
      </c>
      <c r="F4108" t="s">
        <v>168</v>
      </c>
      <c r="G4108" t="s">
        <v>134</v>
      </c>
      <c r="I4108" t="b">
        <v>0</v>
      </c>
      <c r="J4108" t="b">
        <v>0</v>
      </c>
      <c r="L4108" t="b">
        <v>0</v>
      </c>
      <c r="M4108" t="str">
        <f>HYPERLINK("https://arizona.app.box.com/file/389264303346")</f>
        <v>https://arizona.app.box.com/file/389264303346</v>
      </c>
    </row>
    <row r="4109" spans="1:25" x14ac:dyDescent="0.2">
      <c r="A4109">
        <v>4170</v>
      </c>
      <c r="B4109" t="s">
        <v>8256</v>
      </c>
      <c r="C4109" t="s">
        <v>18</v>
      </c>
      <c r="D4109" t="s">
        <v>1715</v>
      </c>
      <c r="E4109" t="s">
        <v>1717</v>
      </c>
      <c r="F4109" t="s">
        <v>23</v>
      </c>
      <c r="G4109" t="s">
        <v>134</v>
      </c>
      <c r="I4109" t="b">
        <v>0</v>
      </c>
      <c r="J4109" t="b">
        <v>0</v>
      </c>
      <c r="L4109" t="b">
        <v>0</v>
      </c>
      <c r="M4109" t="str">
        <f>HYPERLINK("https://arizona.app.box.com/file/389161673931")</f>
        <v>https://arizona.app.box.com/file/389161673931</v>
      </c>
      <c r="N4109" t="str">
        <f>HYPERLINK("https://arizona.app.box.com/file/389165630656")</f>
        <v>https://arizona.app.box.com/file/389165630656</v>
      </c>
    </row>
    <row r="4111" spans="1:25" x14ac:dyDescent="0.2">
      <c r="A4111" s="2">
        <v>5432</v>
      </c>
      <c r="B4111" s="2" t="s">
        <v>8259</v>
      </c>
      <c r="C4111" s="2" t="s">
        <v>13</v>
      </c>
      <c r="D4111" s="2" t="s">
        <v>8260</v>
      </c>
      <c r="E4111" s="2" t="s">
        <v>8261</v>
      </c>
      <c r="F4111" s="2" t="s">
        <v>144</v>
      </c>
      <c r="G4111" s="2" t="s">
        <v>62</v>
      </c>
      <c r="H4111" s="2"/>
      <c r="I4111" s="2"/>
      <c r="J4111" s="2"/>
      <c r="K4111" s="2"/>
      <c r="L4111" s="2"/>
      <c r="M4111" s="2"/>
      <c r="N4111" s="2"/>
      <c r="O4111" s="2"/>
      <c r="P4111" s="2"/>
      <c r="Q4111" s="2"/>
      <c r="R4111" s="2"/>
      <c r="S4111" s="2"/>
      <c r="T4111" s="2"/>
      <c r="U4111" s="2"/>
      <c r="V4111" s="2"/>
      <c r="W4111" s="2"/>
      <c r="X4111" s="2"/>
      <c r="Y4111" s="2"/>
    </row>
    <row r="4112" spans="1:25" x14ac:dyDescent="0.2">
      <c r="A4112">
        <v>5433</v>
      </c>
      <c r="B4112" t="s">
        <v>8259</v>
      </c>
      <c r="C4112" t="s">
        <v>18</v>
      </c>
      <c r="D4112" t="s">
        <v>8260</v>
      </c>
      <c r="E4112" t="s">
        <v>8261</v>
      </c>
      <c r="F4112" t="s">
        <v>144</v>
      </c>
      <c r="G4112" t="s">
        <v>62</v>
      </c>
      <c r="I4112" t="b">
        <v>1</v>
      </c>
      <c r="J4112" t="b">
        <v>1</v>
      </c>
      <c r="L4112" t="b">
        <v>1</v>
      </c>
      <c r="M4112" t="str">
        <f>HYPERLINK("https://arizona.app.box.com/file/389265574404")</f>
        <v>https://arizona.app.box.com/file/389265574404</v>
      </c>
      <c r="N4112" t="str">
        <f>HYPERLINK("https://arizona.app.box.com/file/389162189638")</f>
        <v>https://arizona.app.box.com/file/389162189638</v>
      </c>
      <c r="O4112" t="str">
        <f>HYPERLINK("https://arizona.app.box.com/file/389262398781")</f>
        <v>https://arizona.app.box.com/file/389262398781</v>
      </c>
    </row>
    <row r="4113" spans="1:25" x14ac:dyDescent="0.2">
      <c r="A4113">
        <v>5434</v>
      </c>
      <c r="B4113" t="s">
        <v>8259</v>
      </c>
      <c r="C4113" t="s">
        <v>18</v>
      </c>
      <c r="D4113" t="s">
        <v>1106</v>
      </c>
      <c r="E4113" t="s">
        <v>1107</v>
      </c>
      <c r="F4113" t="s">
        <v>205</v>
      </c>
      <c r="G4113" t="s">
        <v>62</v>
      </c>
      <c r="I4113" t="b">
        <v>0</v>
      </c>
      <c r="J4113" t="b">
        <v>0</v>
      </c>
      <c r="L4113" t="b">
        <v>0</v>
      </c>
      <c r="M4113" t="str">
        <f>HYPERLINK("https://arizona.app.box.com/file/389261935250")</f>
        <v>https://arizona.app.box.com/file/389261935250</v>
      </c>
      <c r="N4113" t="str">
        <f>HYPERLINK("https://arizona.app.box.com/file/389169993252")</f>
        <v>https://arizona.app.box.com/file/389169993252</v>
      </c>
    </row>
    <row r="4114" spans="1:25" x14ac:dyDescent="0.2">
      <c r="A4114">
        <v>5435</v>
      </c>
      <c r="B4114" t="s">
        <v>8259</v>
      </c>
      <c r="C4114" t="s">
        <v>18</v>
      </c>
      <c r="D4114" t="s">
        <v>1110</v>
      </c>
      <c r="E4114" t="s">
        <v>1111</v>
      </c>
      <c r="F4114" t="s">
        <v>82</v>
      </c>
      <c r="G4114" t="s">
        <v>62</v>
      </c>
      <c r="I4114" t="b">
        <v>0</v>
      </c>
      <c r="J4114" t="b">
        <v>0</v>
      </c>
      <c r="L4114" t="b">
        <v>0</v>
      </c>
    </row>
    <row r="4115" spans="1:25" x14ac:dyDescent="0.2">
      <c r="A4115">
        <v>5436</v>
      </c>
      <c r="B4115" t="s">
        <v>8259</v>
      </c>
      <c r="C4115" t="s">
        <v>18</v>
      </c>
      <c r="D4115" t="s">
        <v>2032</v>
      </c>
      <c r="E4115" t="s">
        <v>2033</v>
      </c>
      <c r="F4115" t="s">
        <v>1617</v>
      </c>
      <c r="G4115" t="s">
        <v>74</v>
      </c>
      <c r="I4115" t="b">
        <v>0</v>
      </c>
      <c r="J4115" t="b">
        <v>0</v>
      </c>
      <c r="L4115" t="b">
        <v>0</v>
      </c>
      <c r="M4115" t="str">
        <f>HYPERLINK("https://arizona.app.box.com/file/389179786674")</f>
        <v>https://arizona.app.box.com/file/389179786674</v>
      </c>
    </row>
    <row r="4116" spans="1:25" x14ac:dyDescent="0.2">
      <c r="A4116">
        <v>5437</v>
      </c>
      <c r="B4116" t="s">
        <v>8259</v>
      </c>
      <c r="C4116" t="s">
        <v>18</v>
      </c>
      <c r="D4116" t="s">
        <v>8262</v>
      </c>
      <c r="E4116" t="s">
        <v>8263</v>
      </c>
      <c r="F4116" t="s">
        <v>420</v>
      </c>
      <c r="G4116" t="s">
        <v>828</v>
      </c>
      <c r="I4116" t="b">
        <v>0</v>
      </c>
      <c r="J4116" t="b">
        <v>0</v>
      </c>
      <c r="L4116" t="b">
        <v>0</v>
      </c>
      <c r="M4116" t="str">
        <f>HYPERLINK("https://arizona.app.box.com/file/389259776813")</f>
        <v>https://arizona.app.box.com/file/389259776813</v>
      </c>
      <c r="N4116" t="str">
        <f>HYPERLINK("https://arizona.app.box.com/file/389152187969")</f>
        <v>https://arizona.app.box.com/file/389152187969</v>
      </c>
      <c r="O4116" t="str">
        <f>HYPERLINK("https://arizona.app.box.com/file/389152709234")</f>
        <v>https://arizona.app.box.com/file/389152709234</v>
      </c>
    </row>
    <row r="4118" spans="1:25" x14ac:dyDescent="0.2">
      <c r="A4118" s="2">
        <v>6300</v>
      </c>
      <c r="B4118" s="2" t="s">
        <v>8264</v>
      </c>
      <c r="C4118" s="2" t="s">
        <v>13</v>
      </c>
      <c r="D4118" s="2" t="s">
        <v>946</v>
      </c>
      <c r="E4118" s="2" t="s">
        <v>8265</v>
      </c>
      <c r="F4118" s="2" t="s">
        <v>78</v>
      </c>
      <c r="G4118" s="2" t="s">
        <v>87</v>
      </c>
      <c r="H4118" s="2"/>
      <c r="I4118" s="2"/>
      <c r="J4118" s="2"/>
      <c r="K4118" s="2"/>
      <c r="L4118" s="2"/>
      <c r="M4118" s="2"/>
      <c r="N4118" s="2"/>
      <c r="O4118" s="2"/>
      <c r="P4118" s="2"/>
      <c r="Q4118" s="2"/>
      <c r="R4118" s="2"/>
      <c r="S4118" s="2"/>
      <c r="T4118" s="2"/>
      <c r="U4118" s="2"/>
      <c r="V4118" s="2"/>
      <c r="W4118" s="2"/>
      <c r="X4118" s="2"/>
      <c r="Y4118" s="2"/>
    </row>
    <row r="4119" spans="1:25" x14ac:dyDescent="0.2">
      <c r="A4119">
        <v>6301</v>
      </c>
      <c r="B4119" t="s">
        <v>8264</v>
      </c>
      <c r="C4119" t="s">
        <v>18</v>
      </c>
      <c r="D4119" t="s">
        <v>946</v>
      </c>
      <c r="E4119" t="s">
        <v>947</v>
      </c>
      <c r="F4119" t="s">
        <v>78</v>
      </c>
      <c r="G4119" t="s">
        <v>87</v>
      </c>
      <c r="I4119" t="b">
        <v>1</v>
      </c>
      <c r="J4119" t="b">
        <v>1</v>
      </c>
      <c r="L4119" t="b">
        <v>1</v>
      </c>
      <c r="M4119" t="str">
        <f>HYPERLINK("https://arizona.app.box.com/file/389167970484")</f>
        <v>https://arizona.app.box.com/file/389167970484</v>
      </c>
      <c r="N4119" t="str">
        <f>HYPERLINK("https://arizona.app.box.com/file/386215155536")</f>
        <v>https://arizona.app.box.com/file/386215155536</v>
      </c>
    </row>
    <row r="4120" spans="1:25" x14ac:dyDescent="0.2">
      <c r="A4120">
        <v>6302</v>
      </c>
      <c r="B4120" t="s">
        <v>8264</v>
      </c>
      <c r="C4120" t="s">
        <v>18</v>
      </c>
      <c r="D4120" t="s">
        <v>8266</v>
      </c>
      <c r="E4120" t="s">
        <v>8267</v>
      </c>
      <c r="F4120" t="s">
        <v>78</v>
      </c>
      <c r="G4120" t="s">
        <v>87</v>
      </c>
      <c r="I4120" t="b">
        <v>1</v>
      </c>
      <c r="J4120" t="b">
        <v>1</v>
      </c>
      <c r="L4120" t="b">
        <v>1</v>
      </c>
      <c r="M4120" t="str">
        <f>HYPERLINK("https://arizona.app.box.com/file/389165837260")</f>
        <v>https://arizona.app.box.com/file/389165837260</v>
      </c>
    </row>
    <row r="4121" spans="1:25" x14ac:dyDescent="0.2">
      <c r="A4121">
        <v>6303</v>
      </c>
      <c r="B4121" t="s">
        <v>8264</v>
      </c>
      <c r="C4121" t="s">
        <v>18</v>
      </c>
      <c r="D4121" t="s">
        <v>8268</v>
      </c>
      <c r="E4121" t="s">
        <v>8269</v>
      </c>
      <c r="F4121" t="s">
        <v>270</v>
      </c>
      <c r="G4121" t="s">
        <v>87</v>
      </c>
      <c r="I4121" t="b">
        <v>0</v>
      </c>
      <c r="J4121" t="b">
        <v>0</v>
      </c>
      <c r="L4121" t="b">
        <v>0</v>
      </c>
    </row>
    <row r="4122" spans="1:25" x14ac:dyDescent="0.2">
      <c r="A4122">
        <v>6304</v>
      </c>
      <c r="B4122" t="s">
        <v>8264</v>
      </c>
      <c r="C4122" t="s">
        <v>18</v>
      </c>
      <c r="D4122" t="s">
        <v>933</v>
      </c>
      <c r="E4122" t="s">
        <v>935</v>
      </c>
      <c r="F4122" t="s">
        <v>87</v>
      </c>
      <c r="G4122" t="s">
        <v>74</v>
      </c>
      <c r="I4122" t="b">
        <v>0</v>
      </c>
      <c r="J4122" t="b">
        <v>0</v>
      </c>
      <c r="L4122" t="b">
        <v>0</v>
      </c>
      <c r="M4122" t="str">
        <f>HYPERLINK("https://arizona.app.box.com/file/389169136049")</f>
        <v>https://arizona.app.box.com/file/389169136049</v>
      </c>
      <c r="N4122" t="str">
        <f>HYPERLINK("https://arizona.app.box.com/file/386237125666")</f>
        <v>https://arizona.app.box.com/file/386237125666</v>
      </c>
    </row>
    <row r="4123" spans="1:25" x14ac:dyDescent="0.2">
      <c r="A4123">
        <v>6305</v>
      </c>
      <c r="B4123" t="s">
        <v>8264</v>
      </c>
      <c r="C4123" t="s">
        <v>18</v>
      </c>
      <c r="D4123" t="s">
        <v>942</v>
      </c>
      <c r="E4123" t="s">
        <v>943</v>
      </c>
      <c r="F4123" t="s">
        <v>87</v>
      </c>
      <c r="G4123" t="s">
        <v>74</v>
      </c>
      <c r="I4123" t="b">
        <v>0</v>
      </c>
      <c r="J4123" t="b">
        <v>0</v>
      </c>
      <c r="L4123" t="b">
        <v>0</v>
      </c>
      <c r="M4123" t="str">
        <f>HYPERLINK("https://arizona.app.box.com/file/389262468373")</f>
        <v>https://arizona.app.box.com/file/389262468373</v>
      </c>
      <c r="N4123" t="str">
        <f>HYPERLINK("https://arizona.app.box.com/file/389163155379")</f>
        <v>https://arizona.app.box.com/file/389163155379</v>
      </c>
    </row>
    <row r="4125" spans="1:25" x14ac:dyDescent="0.2">
      <c r="A4125" s="2">
        <v>6692</v>
      </c>
      <c r="B4125" s="2" t="s">
        <v>8270</v>
      </c>
      <c r="C4125" s="2" t="s">
        <v>13</v>
      </c>
      <c r="D4125" s="2" t="s">
        <v>8271</v>
      </c>
      <c r="E4125" s="2" t="s">
        <v>8272</v>
      </c>
      <c r="F4125" s="2" t="s">
        <v>20</v>
      </c>
      <c r="G4125" s="2" t="s">
        <v>252</v>
      </c>
      <c r="H4125" s="2"/>
      <c r="I4125" s="2"/>
      <c r="J4125" s="2"/>
      <c r="K4125" s="2"/>
      <c r="L4125" s="2"/>
      <c r="M4125" s="2"/>
      <c r="N4125" s="2"/>
      <c r="O4125" s="2"/>
      <c r="P4125" s="2"/>
      <c r="Q4125" s="2"/>
      <c r="R4125" s="2"/>
      <c r="S4125" s="2"/>
      <c r="T4125" s="2"/>
      <c r="U4125" s="2"/>
      <c r="V4125" s="2"/>
      <c r="W4125" s="2"/>
      <c r="X4125" s="2"/>
      <c r="Y4125" s="2"/>
    </row>
    <row r="4126" spans="1:25" x14ac:dyDescent="0.2">
      <c r="A4126">
        <v>6693</v>
      </c>
      <c r="B4126" t="s">
        <v>8270</v>
      </c>
      <c r="C4126" t="s">
        <v>18</v>
      </c>
      <c r="D4126" t="s">
        <v>8271</v>
      </c>
      <c r="E4126" t="s">
        <v>8272</v>
      </c>
      <c r="F4126" t="s">
        <v>20</v>
      </c>
      <c r="G4126" t="s">
        <v>252</v>
      </c>
      <c r="I4126" t="b">
        <v>1</v>
      </c>
      <c r="J4126" t="b">
        <v>1</v>
      </c>
      <c r="L4126" t="b">
        <v>1</v>
      </c>
      <c r="M4126" t="str">
        <f>HYPERLINK("https://arizona.app.box.com/file/386218649068")</f>
        <v>https://arizona.app.box.com/file/386218649068</v>
      </c>
      <c r="N4126" t="str">
        <f>HYPERLINK("https://arizona.app.box.com/file/386241113911")</f>
        <v>https://arizona.app.box.com/file/386241113911</v>
      </c>
    </row>
    <row r="4127" spans="1:25" x14ac:dyDescent="0.2">
      <c r="A4127">
        <v>6694</v>
      </c>
      <c r="B4127" t="s">
        <v>8270</v>
      </c>
      <c r="C4127" t="s">
        <v>18</v>
      </c>
      <c r="D4127" t="s">
        <v>8273</v>
      </c>
      <c r="E4127" t="s">
        <v>8274</v>
      </c>
      <c r="F4127" t="s">
        <v>20</v>
      </c>
      <c r="G4127" t="s">
        <v>252</v>
      </c>
      <c r="I4127" t="b">
        <v>0</v>
      </c>
      <c r="J4127" t="b">
        <v>0</v>
      </c>
      <c r="L4127" t="b">
        <v>0</v>
      </c>
      <c r="M4127" t="str">
        <f>HYPERLINK("https://arizona.app.box.com/file/386263562091")</f>
        <v>https://arizona.app.box.com/file/386263562091</v>
      </c>
    </row>
    <row r="4128" spans="1:25" x14ac:dyDescent="0.2">
      <c r="A4128">
        <v>6695</v>
      </c>
      <c r="B4128" t="s">
        <v>8270</v>
      </c>
      <c r="C4128" t="s">
        <v>18</v>
      </c>
      <c r="D4128" t="s">
        <v>8275</v>
      </c>
      <c r="E4128" t="s">
        <v>8276</v>
      </c>
      <c r="F4128" t="s">
        <v>20</v>
      </c>
      <c r="G4128" t="s">
        <v>252</v>
      </c>
      <c r="I4128" t="b">
        <v>0</v>
      </c>
      <c r="J4128" t="b">
        <v>0</v>
      </c>
      <c r="L4128" t="b">
        <v>0</v>
      </c>
      <c r="M4128" t="str">
        <f>HYPERLINK("https://arizona.app.box.com/file/386246456727")</f>
        <v>https://arizona.app.box.com/file/386246456727</v>
      </c>
      <c r="N4128" t="str">
        <f>HYPERLINK("https://arizona.app.box.com/file/386241113911")</f>
        <v>https://arizona.app.box.com/file/386241113911</v>
      </c>
    </row>
    <row r="4129" spans="1:25" x14ac:dyDescent="0.2">
      <c r="A4129">
        <v>6696</v>
      </c>
      <c r="B4129" t="s">
        <v>8270</v>
      </c>
      <c r="C4129" t="s">
        <v>18</v>
      </c>
      <c r="D4129" t="s">
        <v>8277</v>
      </c>
      <c r="E4129" t="s">
        <v>8278</v>
      </c>
      <c r="F4129" t="s">
        <v>20</v>
      </c>
      <c r="G4129" t="s">
        <v>252</v>
      </c>
      <c r="I4129" t="b">
        <v>0</v>
      </c>
      <c r="J4129" t="b">
        <v>0</v>
      </c>
      <c r="L4129" t="b">
        <v>0</v>
      </c>
    </row>
    <row r="4130" spans="1:25" x14ac:dyDescent="0.2">
      <c r="A4130">
        <v>6697</v>
      </c>
      <c r="B4130" t="s">
        <v>8270</v>
      </c>
      <c r="C4130" t="s">
        <v>18</v>
      </c>
      <c r="D4130" t="s">
        <v>4307</v>
      </c>
      <c r="E4130" t="s">
        <v>4308</v>
      </c>
      <c r="F4130" t="s">
        <v>420</v>
      </c>
      <c r="G4130" t="s">
        <v>252</v>
      </c>
      <c r="I4130" t="b">
        <v>0</v>
      </c>
      <c r="J4130" t="b">
        <v>0</v>
      </c>
      <c r="L4130" t="b">
        <v>0</v>
      </c>
      <c r="M4130" t="str">
        <f>HYPERLINK("https://arizona.app.box.com/file/389154072848")</f>
        <v>https://arizona.app.box.com/file/389154072848</v>
      </c>
      <c r="N4130" t="str">
        <f>HYPERLINK("https://arizona.app.box.com/file/386225521097")</f>
        <v>https://arizona.app.box.com/file/386225521097</v>
      </c>
    </row>
    <row r="4132" spans="1:25" x14ac:dyDescent="0.2">
      <c r="A4132" s="2">
        <v>6937</v>
      </c>
      <c r="B4132" s="2" t="s">
        <v>8279</v>
      </c>
      <c r="C4132" s="2" t="s">
        <v>13</v>
      </c>
      <c r="D4132" s="2" t="s">
        <v>3282</v>
      </c>
      <c r="E4132" s="2" t="s">
        <v>3283</v>
      </c>
      <c r="F4132" s="2" t="s">
        <v>78</v>
      </c>
      <c r="G4132" s="2" t="s">
        <v>130</v>
      </c>
      <c r="H4132" s="2"/>
      <c r="I4132" s="2"/>
      <c r="J4132" s="2"/>
      <c r="K4132" s="2"/>
      <c r="L4132" s="2"/>
      <c r="M4132" s="2"/>
      <c r="N4132" s="2"/>
      <c r="O4132" s="2"/>
      <c r="P4132" s="2"/>
      <c r="Q4132" s="2"/>
      <c r="R4132" s="2"/>
      <c r="S4132" s="2"/>
      <c r="T4132" s="2"/>
      <c r="U4132" s="2"/>
      <c r="V4132" s="2"/>
      <c r="W4132" s="2"/>
      <c r="X4132" s="2"/>
      <c r="Y4132" s="2"/>
    </row>
    <row r="4133" spans="1:25" x14ac:dyDescent="0.2">
      <c r="A4133">
        <v>6938</v>
      </c>
      <c r="B4133" t="s">
        <v>8279</v>
      </c>
      <c r="C4133" t="s">
        <v>18</v>
      </c>
      <c r="D4133" t="s">
        <v>3282</v>
      </c>
      <c r="E4133" t="s">
        <v>3283</v>
      </c>
      <c r="F4133" t="s">
        <v>78</v>
      </c>
      <c r="G4133" t="s">
        <v>130</v>
      </c>
      <c r="I4133" t="b">
        <v>1</v>
      </c>
      <c r="J4133" t="b">
        <v>1</v>
      </c>
      <c r="L4133" t="b">
        <v>1</v>
      </c>
      <c r="M4133" t="str">
        <f>HYPERLINK("https://arizona.app.box.com/file/386214016270")</f>
        <v>https://arizona.app.box.com/file/386214016270</v>
      </c>
      <c r="N4133" t="str">
        <f>HYPERLINK("https://arizona.app.box.com/file/386217187232")</f>
        <v>https://arizona.app.box.com/file/386217187232</v>
      </c>
    </row>
    <row r="4134" spans="1:25" x14ac:dyDescent="0.2">
      <c r="A4134">
        <v>6939</v>
      </c>
      <c r="B4134" t="s">
        <v>8279</v>
      </c>
      <c r="C4134" t="s">
        <v>18</v>
      </c>
      <c r="D4134" t="s">
        <v>3275</v>
      </c>
      <c r="E4134" t="s">
        <v>3276</v>
      </c>
      <c r="F4134" t="s">
        <v>78</v>
      </c>
      <c r="G4134" t="s">
        <v>88</v>
      </c>
      <c r="I4134" t="b">
        <v>0</v>
      </c>
      <c r="J4134" t="b">
        <v>0</v>
      </c>
      <c r="L4134" t="b">
        <v>0</v>
      </c>
    </row>
    <row r="4135" spans="1:25" x14ac:dyDescent="0.2">
      <c r="A4135">
        <v>6940</v>
      </c>
      <c r="B4135" t="s">
        <v>8279</v>
      </c>
      <c r="C4135" t="s">
        <v>18</v>
      </c>
      <c r="D4135" t="s">
        <v>3277</v>
      </c>
      <c r="E4135" t="s">
        <v>3278</v>
      </c>
      <c r="F4135" t="s">
        <v>78</v>
      </c>
      <c r="G4135" t="s">
        <v>130</v>
      </c>
      <c r="I4135" t="b">
        <v>0</v>
      </c>
      <c r="J4135" t="b">
        <v>0</v>
      </c>
      <c r="L4135" t="b">
        <v>0</v>
      </c>
      <c r="M4135" t="str">
        <f>HYPERLINK("https://arizona.app.box.com/file/389257752661")</f>
        <v>https://arizona.app.box.com/file/389257752661</v>
      </c>
      <c r="N4135" t="str">
        <f>HYPERLINK("https://arizona.app.box.com/file/389166625461")</f>
        <v>https://arizona.app.box.com/file/389166625461</v>
      </c>
      <c r="O4135" t="str">
        <f>HYPERLINK("https://arizona.app.box.com/file/389168310778")</f>
        <v>https://arizona.app.box.com/file/389168310778</v>
      </c>
    </row>
    <row r="4136" spans="1:25" x14ac:dyDescent="0.2">
      <c r="A4136">
        <v>6941</v>
      </c>
      <c r="B4136" t="s">
        <v>8279</v>
      </c>
      <c r="C4136" t="s">
        <v>18</v>
      </c>
      <c r="D4136" t="s">
        <v>3269</v>
      </c>
      <c r="E4136" t="s">
        <v>3270</v>
      </c>
      <c r="F4136" t="s">
        <v>87</v>
      </c>
      <c r="G4136" t="s">
        <v>252</v>
      </c>
      <c r="I4136" t="b">
        <v>0</v>
      </c>
      <c r="J4136" t="b">
        <v>0</v>
      </c>
      <c r="L4136" t="b">
        <v>0</v>
      </c>
      <c r="M4136" t="str">
        <f>HYPERLINK("https://arizona.app.box.com/file/389264079205")</f>
        <v>https://arizona.app.box.com/file/389264079205</v>
      </c>
      <c r="N4136" t="str">
        <f>HYPERLINK("https://arizona.app.box.com/file/389162913532")</f>
        <v>https://arizona.app.box.com/file/389162913532</v>
      </c>
      <c r="O4136" t="str">
        <f>HYPERLINK("https://arizona.app.box.com/file/389257096466")</f>
        <v>https://arizona.app.box.com/file/389257096466</v>
      </c>
      <c r="P4136" t="str">
        <f>HYPERLINK("https://arizona.app.box.com/file/389169156620")</f>
        <v>https://arizona.app.box.com/file/389169156620</v>
      </c>
    </row>
    <row r="4137" spans="1:25" x14ac:dyDescent="0.2">
      <c r="A4137">
        <v>6942</v>
      </c>
      <c r="B4137" t="s">
        <v>8279</v>
      </c>
      <c r="C4137" t="s">
        <v>18</v>
      </c>
      <c r="D4137" t="s">
        <v>8280</v>
      </c>
      <c r="E4137" t="s">
        <v>8281</v>
      </c>
      <c r="F4137" t="s">
        <v>78</v>
      </c>
      <c r="G4137" t="s">
        <v>88</v>
      </c>
      <c r="I4137" t="b">
        <v>0</v>
      </c>
      <c r="J4137" t="b">
        <v>0</v>
      </c>
      <c r="L4137" t="b">
        <v>0</v>
      </c>
      <c r="M4137" t="str">
        <f>HYPERLINK("https://arizona.app.box.com/file/386231475025")</f>
        <v>https://arizona.app.box.com/file/386231475025</v>
      </c>
    </row>
    <row r="4139" spans="1:25" x14ac:dyDescent="0.2">
      <c r="A4139" s="2">
        <v>1442</v>
      </c>
      <c r="B4139" s="2" t="s">
        <v>8282</v>
      </c>
      <c r="C4139" s="2" t="s">
        <v>13</v>
      </c>
      <c r="D4139" s="2" t="s">
        <v>4295</v>
      </c>
      <c r="E4139" s="2" t="s">
        <v>8283</v>
      </c>
      <c r="F4139" s="2" t="s">
        <v>159</v>
      </c>
      <c r="G4139" s="2" t="s">
        <v>130</v>
      </c>
      <c r="H4139" s="2"/>
      <c r="I4139" s="2"/>
      <c r="J4139" s="2"/>
      <c r="K4139" s="2"/>
      <c r="L4139" s="2"/>
      <c r="M4139" s="2"/>
      <c r="N4139" s="2"/>
      <c r="O4139" s="2"/>
      <c r="P4139" s="2"/>
      <c r="Q4139" s="2"/>
      <c r="R4139" s="2"/>
      <c r="S4139" s="2"/>
      <c r="T4139" s="2"/>
      <c r="U4139" s="2"/>
      <c r="V4139" s="2"/>
      <c r="W4139" s="2"/>
      <c r="X4139" s="2"/>
      <c r="Y4139" s="2"/>
    </row>
    <row r="4140" spans="1:25" x14ac:dyDescent="0.2">
      <c r="A4140">
        <v>1443</v>
      </c>
      <c r="B4140" t="s">
        <v>8282</v>
      </c>
      <c r="C4140" t="s">
        <v>18</v>
      </c>
      <c r="D4140" t="s">
        <v>4295</v>
      </c>
      <c r="E4140" t="s">
        <v>4296</v>
      </c>
      <c r="F4140" t="s">
        <v>159</v>
      </c>
      <c r="G4140" t="s">
        <v>130</v>
      </c>
      <c r="I4140" t="b">
        <v>1</v>
      </c>
      <c r="J4140" t="b">
        <v>1</v>
      </c>
      <c r="L4140" t="b">
        <v>1</v>
      </c>
      <c r="M4140" t="str">
        <f>HYPERLINK("https://arizona.app.box.com/file/389164150607")</f>
        <v>https://arizona.app.box.com/file/389164150607</v>
      </c>
      <c r="N4140" t="str">
        <f>HYPERLINK("https://arizona.app.box.com/file/386241074728")</f>
        <v>https://arizona.app.box.com/file/386241074728</v>
      </c>
    </row>
    <row r="4141" spans="1:25" x14ac:dyDescent="0.2">
      <c r="A4141">
        <v>1444</v>
      </c>
      <c r="B4141" t="s">
        <v>8282</v>
      </c>
      <c r="C4141" t="s">
        <v>18</v>
      </c>
      <c r="D4141" t="s">
        <v>8284</v>
      </c>
      <c r="E4141" t="s">
        <v>8285</v>
      </c>
      <c r="F4141" t="s">
        <v>159</v>
      </c>
      <c r="G4141" t="s">
        <v>130</v>
      </c>
      <c r="I4141" t="b">
        <v>1</v>
      </c>
      <c r="J4141" t="b">
        <v>1</v>
      </c>
      <c r="L4141" t="b">
        <v>1</v>
      </c>
      <c r="M4141" t="str">
        <f>HYPERLINK("https://arizona.app.box.com/file/389175162295")</f>
        <v>https://arizona.app.box.com/file/389175162295</v>
      </c>
      <c r="N4141" t="str">
        <f>HYPERLINK("https://arizona.app.box.com/file/386216428330")</f>
        <v>https://arizona.app.box.com/file/386216428330</v>
      </c>
    </row>
    <row r="4142" spans="1:25" x14ac:dyDescent="0.2">
      <c r="A4142">
        <v>1445</v>
      </c>
      <c r="B4142" t="s">
        <v>8282</v>
      </c>
      <c r="C4142" t="s">
        <v>18</v>
      </c>
      <c r="D4142" t="s">
        <v>897</v>
      </c>
      <c r="E4142" t="s">
        <v>898</v>
      </c>
      <c r="F4142" t="s">
        <v>205</v>
      </c>
      <c r="G4142" t="s">
        <v>345</v>
      </c>
      <c r="I4142" t="b">
        <v>0</v>
      </c>
      <c r="J4142" t="b">
        <v>0</v>
      </c>
      <c r="L4142" t="b">
        <v>0</v>
      </c>
      <c r="M4142" t="str">
        <f>HYPERLINK("https://arizona.app.box.com/file/389175562367")</f>
        <v>https://arizona.app.box.com/file/389175562367</v>
      </c>
    </row>
    <row r="4143" spans="1:25" x14ac:dyDescent="0.2">
      <c r="A4143">
        <v>1446</v>
      </c>
      <c r="B4143" t="s">
        <v>8282</v>
      </c>
      <c r="C4143" t="s">
        <v>18</v>
      </c>
      <c r="D4143" t="s">
        <v>893</v>
      </c>
      <c r="E4143" t="s">
        <v>894</v>
      </c>
      <c r="F4143" t="s">
        <v>159</v>
      </c>
      <c r="G4143" t="s">
        <v>17</v>
      </c>
      <c r="I4143" t="b">
        <v>0</v>
      </c>
      <c r="J4143" t="b">
        <v>0</v>
      </c>
      <c r="L4143" t="b">
        <v>0</v>
      </c>
      <c r="M4143" t="str">
        <f>HYPERLINK("https://arizona.app.box.com/file/389169004177")</f>
        <v>https://arizona.app.box.com/file/389169004177</v>
      </c>
      <c r="N4143" t="str">
        <f>HYPERLINK("https://arizona.app.box.com/file/386237773651")</f>
        <v>https://arizona.app.box.com/file/386237773651</v>
      </c>
    </row>
    <row r="4144" spans="1:25" x14ac:dyDescent="0.2">
      <c r="A4144">
        <v>1447</v>
      </c>
      <c r="B4144" t="s">
        <v>8282</v>
      </c>
      <c r="C4144" t="s">
        <v>18</v>
      </c>
      <c r="D4144" t="s">
        <v>886</v>
      </c>
      <c r="E4144" t="s">
        <v>888</v>
      </c>
      <c r="F4144" t="s">
        <v>369</v>
      </c>
      <c r="G4144" t="s">
        <v>17</v>
      </c>
      <c r="I4144" t="b">
        <v>0</v>
      </c>
      <c r="J4144" t="b">
        <v>0</v>
      </c>
      <c r="L4144" t="b">
        <v>0</v>
      </c>
      <c r="M4144" t="str">
        <f>HYPERLINK("https://arizona.app.box.com/file/389266669185")</f>
        <v>https://arizona.app.box.com/file/389266669185</v>
      </c>
    </row>
    <row r="4146" spans="1:25" x14ac:dyDescent="0.2">
      <c r="A4146" s="2">
        <v>6818</v>
      </c>
      <c r="B4146" s="2" t="s">
        <v>8286</v>
      </c>
      <c r="C4146" s="2" t="s">
        <v>13</v>
      </c>
      <c r="D4146" s="2" t="s">
        <v>8287</v>
      </c>
      <c r="E4146" s="2" t="s">
        <v>8288</v>
      </c>
      <c r="F4146" s="2" t="s">
        <v>574</v>
      </c>
      <c r="G4146" s="2" t="s">
        <v>62</v>
      </c>
      <c r="H4146" s="2"/>
      <c r="I4146" s="2"/>
      <c r="J4146" s="2"/>
      <c r="K4146" s="2"/>
      <c r="L4146" s="2"/>
      <c r="M4146" s="2"/>
      <c r="N4146" s="2"/>
      <c r="O4146" s="2"/>
      <c r="P4146" s="2"/>
      <c r="Q4146" s="2"/>
      <c r="R4146" s="2"/>
      <c r="S4146" s="2"/>
      <c r="T4146" s="2"/>
      <c r="U4146" s="2"/>
      <c r="V4146" s="2"/>
      <c r="W4146" s="2"/>
      <c r="X4146" s="2"/>
      <c r="Y4146" s="2"/>
    </row>
    <row r="4147" spans="1:25" x14ac:dyDescent="0.2">
      <c r="A4147">
        <v>6819</v>
      </c>
      <c r="B4147" t="s">
        <v>8286</v>
      </c>
      <c r="C4147" t="s">
        <v>18</v>
      </c>
      <c r="D4147" t="s">
        <v>8289</v>
      </c>
      <c r="E4147" t="s">
        <v>8290</v>
      </c>
      <c r="F4147" t="s">
        <v>574</v>
      </c>
      <c r="G4147" t="s">
        <v>62</v>
      </c>
      <c r="I4147" t="b">
        <v>1</v>
      </c>
      <c r="J4147" t="b">
        <v>1</v>
      </c>
      <c r="L4147" t="b">
        <v>1</v>
      </c>
      <c r="M4147" t="str">
        <f>HYPERLINK("https://arizona.app.box.com/file/386256168817")</f>
        <v>https://arizona.app.box.com/file/386256168817</v>
      </c>
    </row>
    <row r="4148" spans="1:25" x14ac:dyDescent="0.2">
      <c r="A4148">
        <v>6820</v>
      </c>
      <c r="B4148" t="s">
        <v>8286</v>
      </c>
      <c r="C4148" t="s">
        <v>18</v>
      </c>
      <c r="D4148" t="s">
        <v>5763</v>
      </c>
      <c r="E4148" t="s">
        <v>282</v>
      </c>
      <c r="F4148" t="s">
        <v>78</v>
      </c>
      <c r="G4148" t="s">
        <v>62</v>
      </c>
      <c r="I4148" t="b">
        <v>0</v>
      </c>
      <c r="J4148" t="b">
        <v>0</v>
      </c>
      <c r="L4148" t="b">
        <v>0</v>
      </c>
      <c r="M4148" t="str">
        <f>HYPERLINK("https://arizona.app.box.com/file/386244972310")</f>
        <v>https://arizona.app.box.com/file/386244972310</v>
      </c>
    </row>
    <row r="4149" spans="1:25" x14ac:dyDescent="0.2">
      <c r="A4149">
        <v>6821</v>
      </c>
      <c r="B4149" t="s">
        <v>8286</v>
      </c>
      <c r="C4149" t="s">
        <v>18</v>
      </c>
      <c r="D4149" t="s">
        <v>8291</v>
      </c>
      <c r="E4149" t="s">
        <v>8292</v>
      </c>
      <c r="F4149" t="s">
        <v>2451</v>
      </c>
      <c r="G4149" t="s">
        <v>62</v>
      </c>
      <c r="I4149" t="b">
        <v>0</v>
      </c>
      <c r="J4149" t="b">
        <v>0</v>
      </c>
      <c r="L4149" t="b">
        <v>0</v>
      </c>
    </row>
    <row r="4150" spans="1:25" x14ac:dyDescent="0.2">
      <c r="A4150">
        <v>6822</v>
      </c>
      <c r="B4150" t="s">
        <v>8286</v>
      </c>
      <c r="C4150" t="s">
        <v>18</v>
      </c>
      <c r="D4150" t="s">
        <v>8293</v>
      </c>
      <c r="E4150" t="s">
        <v>4471</v>
      </c>
      <c r="F4150" t="s">
        <v>122</v>
      </c>
      <c r="G4150" t="s">
        <v>62</v>
      </c>
      <c r="I4150" t="b">
        <v>0</v>
      </c>
      <c r="J4150" t="b">
        <v>0</v>
      </c>
      <c r="L4150" t="b">
        <v>0</v>
      </c>
      <c r="M4150" t="str">
        <f>HYPERLINK("https://arizona.app.box.com/file/389267467537")</f>
        <v>https://arizona.app.box.com/file/389267467537</v>
      </c>
      <c r="N4150" t="str">
        <f>HYPERLINK("https://arizona.app.box.com/file/389168743346")</f>
        <v>https://arizona.app.box.com/file/389168743346</v>
      </c>
    </row>
    <row r="4151" spans="1:25" x14ac:dyDescent="0.2">
      <c r="A4151">
        <v>6823</v>
      </c>
      <c r="B4151" t="s">
        <v>8286</v>
      </c>
      <c r="C4151" t="s">
        <v>18</v>
      </c>
      <c r="D4151" t="s">
        <v>8294</v>
      </c>
      <c r="E4151" t="s">
        <v>8295</v>
      </c>
      <c r="F4151" t="s">
        <v>8296</v>
      </c>
      <c r="G4151" t="s">
        <v>62</v>
      </c>
      <c r="I4151" t="b">
        <v>0</v>
      </c>
      <c r="J4151" t="b">
        <v>0</v>
      </c>
      <c r="L4151" t="b">
        <v>0</v>
      </c>
      <c r="M4151" t="str">
        <f>HYPERLINK("https://arizona.app.box.com/file/386228607047")</f>
        <v>https://arizona.app.box.com/file/386228607047</v>
      </c>
      <c r="N4151" t="str">
        <f>HYPERLINK("https://arizona.app.box.com/file/386236584134")</f>
        <v>https://arizona.app.box.com/file/386236584134</v>
      </c>
    </row>
    <row r="4153" spans="1:25" x14ac:dyDescent="0.2">
      <c r="A4153" s="2">
        <v>7364</v>
      </c>
      <c r="B4153" s="2" t="s">
        <v>8297</v>
      </c>
      <c r="C4153" s="2" t="s">
        <v>13</v>
      </c>
      <c r="D4153" s="2" t="s">
        <v>8298</v>
      </c>
      <c r="E4153" s="2" t="s">
        <v>8299</v>
      </c>
      <c r="F4153" s="2" t="s">
        <v>420</v>
      </c>
      <c r="G4153" s="2" t="s">
        <v>1405</v>
      </c>
      <c r="H4153" s="2"/>
      <c r="I4153" s="2"/>
      <c r="J4153" s="2"/>
      <c r="K4153" s="2"/>
      <c r="L4153" s="2"/>
      <c r="M4153" s="2"/>
      <c r="N4153" s="2"/>
      <c r="O4153" s="2"/>
      <c r="P4153" s="2"/>
      <c r="Q4153" s="2"/>
      <c r="R4153" s="2"/>
      <c r="S4153" s="2"/>
      <c r="T4153" s="2"/>
      <c r="U4153" s="2"/>
      <c r="V4153" s="2"/>
      <c r="W4153" s="2"/>
      <c r="X4153" s="2"/>
      <c r="Y4153" s="2"/>
    </row>
    <row r="4154" spans="1:25" x14ac:dyDescent="0.2">
      <c r="A4154">
        <v>7365</v>
      </c>
      <c r="B4154" t="s">
        <v>8297</v>
      </c>
      <c r="C4154" t="s">
        <v>18</v>
      </c>
      <c r="D4154" t="s">
        <v>5352</v>
      </c>
      <c r="E4154" t="s">
        <v>3146</v>
      </c>
      <c r="F4154" t="s">
        <v>420</v>
      </c>
      <c r="G4154" t="s">
        <v>1406</v>
      </c>
      <c r="I4154" t="b">
        <v>1</v>
      </c>
      <c r="J4154" t="b">
        <v>1</v>
      </c>
      <c r="L4154" t="b">
        <v>1</v>
      </c>
      <c r="M4154" t="str">
        <f>HYPERLINK("https://arizona.app.box.com/file/389262469868")</f>
        <v>https://arizona.app.box.com/file/389262469868</v>
      </c>
      <c r="N4154" t="str">
        <f>HYPERLINK("https://arizona.app.box.com/file/389172332985")</f>
        <v>https://arizona.app.box.com/file/389172332985</v>
      </c>
    </row>
    <row r="4155" spans="1:25" x14ac:dyDescent="0.2">
      <c r="A4155">
        <v>7366</v>
      </c>
      <c r="B4155" t="s">
        <v>8297</v>
      </c>
      <c r="C4155" t="s">
        <v>18</v>
      </c>
      <c r="D4155" t="s">
        <v>8300</v>
      </c>
      <c r="E4155" t="s">
        <v>5558</v>
      </c>
      <c r="F4155" t="s">
        <v>82</v>
      </c>
      <c r="G4155" t="s">
        <v>82</v>
      </c>
      <c r="I4155" t="b">
        <v>0</v>
      </c>
      <c r="J4155" t="b">
        <v>1</v>
      </c>
      <c r="L4155" t="b">
        <v>1</v>
      </c>
    </row>
    <row r="4156" spans="1:25" x14ac:dyDescent="0.2">
      <c r="A4156">
        <v>7367</v>
      </c>
      <c r="B4156" t="s">
        <v>8297</v>
      </c>
      <c r="C4156" t="s">
        <v>18</v>
      </c>
      <c r="D4156" t="s">
        <v>5343</v>
      </c>
      <c r="E4156" t="s">
        <v>5344</v>
      </c>
      <c r="F4156" t="s">
        <v>420</v>
      </c>
      <c r="G4156" t="s">
        <v>1406</v>
      </c>
      <c r="I4156" t="b">
        <v>0</v>
      </c>
      <c r="J4156" t="b">
        <v>0</v>
      </c>
      <c r="L4156" t="b">
        <v>0</v>
      </c>
      <c r="M4156" t="str">
        <f>HYPERLINK("https://arizona.app.box.com/file/386233921516")</f>
        <v>https://arizona.app.box.com/file/386233921516</v>
      </c>
    </row>
    <row r="4157" spans="1:25" x14ac:dyDescent="0.2">
      <c r="A4157">
        <v>7368</v>
      </c>
      <c r="B4157" t="s">
        <v>8297</v>
      </c>
      <c r="C4157" t="s">
        <v>18</v>
      </c>
      <c r="D4157" t="s">
        <v>5341</v>
      </c>
      <c r="E4157" t="s">
        <v>5346</v>
      </c>
      <c r="F4157" t="s">
        <v>420</v>
      </c>
      <c r="G4157" t="s">
        <v>1406</v>
      </c>
      <c r="I4157" t="b">
        <v>0</v>
      </c>
      <c r="J4157" t="b">
        <v>0</v>
      </c>
      <c r="L4157" t="b">
        <v>0</v>
      </c>
      <c r="M4157" t="str">
        <f>HYPERLINK("https://arizona.app.box.com/file/386249319302")</f>
        <v>https://arizona.app.box.com/file/386249319302</v>
      </c>
    </row>
    <row r="4158" spans="1:25" x14ac:dyDescent="0.2">
      <c r="A4158">
        <v>7369</v>
      </c>
      <c r="B4158" t="s">
        <v>8297</v>
      </c>
      <c r="C4158" t="s">
        <v>18</v>
      </c>
      <c r="D4158" t="s">
        <v>5348</v>
      </c>
      <c r="E4158" t="s">
        <v>5349</v>
      </c>
      <c r="F4158" t="s">
        <v>205</v>
      </c>
      <c r="G4158" t="s">
        <v>1406</v>
      </c>
      <c r="I4158" t="b">
        <v>0</v>
      </c>
      <c r="J4158" t="b">
        <v>0</v>
      </c>
      <c r="L4158" t="b">
        <v>0</v>
      </c>
      <c r="M4158" t="str">
        <f>HYPERLINK("https://arizona.app.box.com/file/386231113346")</f>
        <v>https://arizona.app.box.com/file/386231113346</v>
      </c>
      <c r="N4158" t="str">
        <f>HYPERLINK("https://arizona.app.box.com/file/386264559165")</f>
        <v>https://arizona.app.box.com/file/386264559165</v>
      </c>
    </row>
    <row r="4160" spans="1:25" x14ac:dyDescent="0.2">
      <c r="A4160" s="2">
        <v>7763</v>
      </c>
      <c r="B4160" s="2" t="s">
        <v>8301</v>
      </c>
      <c r="C4160" s="2" t="s">
        <v>13</v>
      </c>
      <c r="D4160" s="2" t="s">
        <v>7951</v>
      </c>
      <c r="E4160" s="2" t="s">
        <v>7952</v>
      </c>
      <c r="F4160" s="2" t="s">
        <v>451</v>
      </c>
      <c r="G4160" s="2" t="s">
        <v>1405</v>
      </c>
      <c r="H4160" s="2"/>
      <c r="I4160" s="2"/>
      <c r="J4160" s="2"/>
      <c r="K4160" s="2"/>
      <c r="L4160" s="2"/>
      <c r="M4160" s="2"/>
      <c r="N4160" s="2"/>
      <c r="O4160" s="2"/>
      <c r="P4160" s="2"/>
      <c r="Q4160" s="2"/>
      <c r="R4160" s="2"/>
      <c r="S4160" s="2"/>
      <c r="T4160" s="2"/>
      <c r="U4160" s="2"/>
      <c r="V4160" s="2"/>
      <c r="W4160" s="2"/>
      <c r="X4160" s="2"/>
      <c r="Y4160" s="2"/>
    </row>
    <row r="4161" spans="1:25" x14ac:dyDescent="0.2">
      <c r="A4161">
        <v>7764</v>
      </c>
      <c r="B4161" t="s">
        <v>8301</v>
      </c>
      <c r="C4161" t="s">
        <v>18</v>
      </c>
      <c r="D4161" t="s">
        <v>7951</v>
      </c>
      <c r="E4161" t="s">
        <v>7952</v>
      </c>
      <c r="F4161" t="s">
        <v>451</v>
      </c>
      <c r="G4161" t="s">
        <v>1406</v>
      </c>
      <c r="I4161" t="b">
        <v>1</v>
      </c>
      <c r="J4161" t="b">
        <v>1</v>
      </c>
      <c r="L4161" t="b">
        <v>1</v>
      </c>
      <c r="M4161" t="str">
        <f>HYPERLINK("https://arizona.app.box.com/file/386247212207")</f>
        <v>https://arizona.app.box.com/file/386247212207</v>
      </c>
      <c r="N4161" t="str">
        <f>HYPERLINK("https://arizona.app.box.com/file/386244382158")</f>
        <v>https://arizona.app.box.com/file/386244382158</v>
      </c>
    </row>
    <row r="4162" spans="1:25" x14ac:dyDescent="0.2">
      <c r="A4162">
        <v>7765</v>
      </c>
      <c r="B4162" t="s">
        <v>8301</v>
      </c>
      <c r="C4162" t="s">
        <v>18</v>
      </c>
      <c r="D4162" t="s">
        <v>5355</v>
      </c>
      <c r="E4162" t="s">
        <v>5356</v>
      </c>
      <c r="F4162" t="s">
        <v>205</v>
      </c>
      <c r="G4162" t="s">
        <v>1406</v>
      </c>
      <c r="I4162" t="b">
        <v>0</v>
      </c>
      <c r="J4162" t="b">
        <v>0</v>
      </c>
      <c r="L4162" t="b">
        <v>0</v>
      </c>
      <c r="M4162" t="str">
        <f>HYPERLINK("https://arizona.app.box.com/file/386241143148")</f>
        <v>https://arizona.app.box.com/file/386241143148</v>
      </c>
      <c r="N4162" t="str">
        <f>HYPERLINK("https://arizona.app.box.com/file/386241113911")</f>
        <v>https://arizona.app.box.com/file/386241113911</v>
      </c>
    </row>
    <row r="4163" spans="1:25" x14ac:dyDescent="0.2">
      <c r="A4163">
        <v>7766</v>
      </c>
      <c r="B4163" t="s">
        <v>8301</v>
      </c>
      <c r="C4163" t="s">
        <v>18</v>
      </c>
      <c r="D4163" t="s">
        <v>5343</v>
      </c>
      <c r="E4163" t="s">
        <v>5344</v>
      </c>
      <c r="F4163" t="s">
        <v>420</v>
      </c>
      <c r="G4163" t="s">
        <v>1406</v>
      </c>
      <c r="I4163" t="b">
        <v>0</v>
      </c>
      <c r="J4163" t="b">
        <v>0</v>
      </c>
      <c r="L4163" t="b">
        <v>0</v>
      </c>
      <c r="M4163" t="str">
        <f>HYPERLINK("https://arizona.app.box.com/file/386233921516")</f>
        <v>https://arizona.app.box.com/file/386233921516</v>
      </c>
    </row>
    <row r="4164" spans="1:25" x14ac:dyDescent="0.2">
      <c r="A4164">
        <v>7767</v>
      </c>
      <c r="B4164" t="s">
        <v>8301</v>
      </c>
      <c r="C4164" t="s">
        <v>18</v>
      </c>
      <c r="D4164" t="s">
        <v>5341</v>
      </c>
      <c r="E4164" t="s">
        <v>5346</v>
      </c>
      <c r="F4164" t="s">
        <v>420</v>
      </c>
      <c r="G4164" t="s">
        <v>1406</v>
      </c>
      <c r="I4164" t="b">
        <v>0</v>
      </c>
      <c r="J4164" t="b">
        <v>0</v>
      </c>
      <c r="L4164" t="b">
        <v>0</v>
      </c>
      <c r="M4164" t="str">
        <f>HYPERLINK("https://arizona.app.box.com/file/386249319302")</f>
        <v>https://arizona.app.box.com/file/386249319302</v>
      </c>
    </row>
    <row r="4165" spans="1:25" x14ac:dyDescent="0.2">
      <c r="A4165">
        <v>7768</v>
      </c>
      <c r="B4165" t="s">
        <v>8301</v>
      </c>
      <c r="C4165" t="s">
        <v>18</v>
      </c>
      <c r="D4165" t="s">
        <v>5352</v>
      </c>
      <c r="E4165" t="s">
        <v>3146</v>
      </c>
      <c r="F4165" t="s">
        <v>420</v>
      </c>
      <c r="G4165" t="s">
        <v>1406</v>
      </c>
      <c r="I4165" t="b">
        <v>0</v>
      </c>
      <c r="J4165" t="b">
        <v>0</v>
      </c>
      <c r="L4165" t="b">
        <v>0</v>
      </c>
      <c r="M4165" t="str">
        <f>HYPERLINK("https://arizona.app.box.com/file/389262469868")</f>
        <v>https://arizona.app.box.com/file/389262469868</v>
      </c>
      <c r="N4165" t="str">
        <f>HYPERLINK("https://arizona.app.box.com/file/389172332985")</f>
        <v>https://arizona.app.box.com/file/389172332985</v>
      </c>
    </row>
    <row r="4167" spans="1:25" x14ac:dyDescent="0.2">
      <c r="A4167" s="2">
        <v>6454</v>
      </c>
      <c r="B4167" s="2" t="s">
        <v>8302</v>
      </c>
      <c r="C4167" s="2" t="s">
        <v>13</v>
      </c>
      <c r="D4167" s="2" t="s">
        <v>7056</v>
      </c>
      <c r="E4167" s="2" t="s">
        <v>8303</v>
      </c>
      <c r="F4167" s="2" t="s">
        <v>16</v>
      </c>
      <c r="G4167" s="2" t="s">
        <v>24</v>
      </c>
      <c r="H4167" s="2"/>
      <c r="I4167" s="2"/>
      <c r="J4167" s="2"/>
      <c r="K4167" s="2"/>
      <c r="L4167" s="2"/>
      <c r="M4167" s="2"/>
      <c r="N4167" s="2"/>
      <c r="O4167" s="2"/>
      <c r="P4167" s="2"/>
      <c r="Q4167" s="2"/>
      <c r="R4167" s="2"/>
      <c r="S4167" s="2"/>
      <c r="T4167" s="2"/>
      <c r="U4167" s="2"/>
      <c r="V4167" s="2"/>
      <c r="W4167" s="2"/>
      <c r="X4167" s="2"/>
      <c r="Y4167" s="2"/>
    </row>
    <row r="4168" spans="1:25" x14ac:dyDescent="0.2">
      <c r="A4168">
        <v>6455</v>
      </c>
      <c r="B4168" t="s">
        <v>8302</v>
      </c>
      <c r="C4168" t="s">
        <v>18</v>
      </c>
      <c r="D4168" t="s">
        <v>7056</v>
      </c>
      <c r="E4168" t="s">
        <v>2408</v>
      </c>
      <c r="F4168" t="s">
        <v>16</v>
      </c>
      <c r="G4168" t="s">
        <v>24</v>
      </c>
      <c r="I4168" t="b">
        <v>1</v>
      </c>
      <c r="J4168" t="b">
        <v>1</v>
      </c>
      <c r="L4168" t="b">
        <v>1</v>
      </c>
      <c r="M4168" t="str">
        <f>HYPERLINK("https://arizona.app.box.com/file/389262446717")</f>
        <v>https://arizona.app.box.com/file/389262446717</v>
      </c>
      <c r="N4168" t="str">
        <f>HYPERLINK("https://arizona.app.box.com/file/389168260655")</f>
        <v>https://arizona.app.box.com/file/389168260655</v>
      </c>
    </row>
    <row r="4169" spans="1:25" x14ac:dyDescent="0.2">
      <c r="A4169">
        <v>6456</v>
      </c>
      <c r="B4169" t="s">
        <v>8302</v>
      </c>
      <c r="C4169" t="s">
        <v>18</v>
      </c>
      <c r="D4169" t="s">
        <v>7049</v>
      </c>
      <c r="E4169" t="s">
        <v>407</v>
      </c>
      <c r="F4169" t="s">
        <v>369</v>
      </c>
      <c r="G4169" t="s">
        <v>32</v>
      </c>
      <c r="I4169" t="b">
        <v>0</v>
      </c>
      <c r="J4169" t="b">
        <v>0</v>
      </c>
      <c r="L4169" t="b">
        <v>0</v>
      </c>
      <c r="M4169" t="str">
        <f>HYPERLINK("https://arizona.app.box.com/file/389263760115")</f>
        <v>https://arizona.app.box.com/file/389263760115</v>
      </c>
      <c r="N4169" t="str">
        <f>HYPERLINK("https://arizona.app.box.com/file/389169036394")</f>
        <v>https://arizona.app.box.com/file/389169036394</v>
      </c>
    </row>
    <row r="4170" spans="1:25" x14ac:dyDescent="0.2">
      <c r="A4170">
        <v>6457</v>
      </c>
      <c r="B4170" t="s">
        <v>8302</v>
      </c>
      <c r="C4170" t="s">
        <v>18</v>
      </c>
      <c r="D4170" t="s">
        <v>7053</v>
      </c>
      <c r="E4170" t="s">
        <v>1725</v>
      </c>
      <c r="F4170" t="s">
        <v>369</v>
      </c>
      <c r="G4170" t="s">
        <v>32</v>
      </c>
      <c r="I4170" t="b">
        <v>0</v>
      </c>
      <c r="J4170" t="b">
        <v>0</v>
      </c>
      <c r="L4170" t="b">
        <v>0</v>
      </c>
      <c r="M4170" t="str">
        <f>HYPERLINK("https://arizona.app.box.com/file/389264812040")</f>
        <v>https://arizona.app.box.com/file/389264812040</v>
      </c>
      <c r="N4170" t="str">
        <f>HYPERLINK("https://arizona.app.box.com/file/389165786084")</f>
        <v>https://arizona.app.box.com/file/389165786084</v>
      </c>
    </row>
    <row r="4171" spans="1:25" x14ac:dyDescent="0.2">
      <c r="A4171">
        <v>6458</v>
      </c>
      <c r="B4171" t="s">
        <v>8302</v>
      </c>
      <c r="C4171" t="s">
        <v>18</v>
      </c>
      <c r="D4171" t="s">
        <v>8304</v>
      </c>
      <c r="E4171" t="s">
        <v>8305</v>
      </c>
      <c r="F4171" t="s">
        <v>159</v>
      </c>
      <c r="G4171" t="s">
        <v>8306</v>
      </c>
      <c r="I4171" t="b">
        <v>0</v>
      </c>
      <c r="J4171" t="b">
        <v>0</v>
      </c>
      <c r="L4171" t="b">
        <v>0</v>
      </c>
      <c r="M4171" t="str">
        <f>HYPERLINK("https://arizona.app.box.com/file/389176417895")</f>
        <v>https://arizona.app.box.com/file/389176417895</v>
      </c>
    </row>
    <row r="4172" spans="1:25" x14ac:dyDescent="0.2">
      <c r="A4172">
        <v>6459</v>
      </c>
      <c r="B4172" t="s">
        <v>8302</v>
      </c>
      <c r="C4172" t="s">
        <v>18</v>
      </c>
      <c r="D4172" t="s">
        <v>5252</v>
      </c>
      <c r="E4172" t="s">
        <v>5253</v>
      </c>
      <c r="F4172" t="s">
        <v>16</v>
      </c>
      <c r="G4172" t="s">
        <v>24</v>
      </c>
      <c r="I4172" t="b">
        <v>0</v>
      </c>
      <c r="J4172" t="b">
        <v>0</v>
      </c>
      <c r="L4172" t="b">
        <v>0</v>
      </c>
      <c r="M4172" t="str">
        <f>HYPERLINK("https://arizona.app.box.com/file/389262987081")</f>
        <v>https://arizona.app.box.com/file/389262987081</v>
      </c>
      <c r="N4172" t="str">
        <f>HYPERLINK("https://arizona.app.box.com/file/389153999622")</f>
        <v>https://arizona.app.box.com/file/389153999622</v>
      </c>
    </row>
    <row r="4174" spans="1:25" x14ac:dyDescent="0.2">
      <c r="A4174" s="2">
        <v>3374</v>
      </c>
      <c r="B4174" s="2" t="s">
        <v>8307</v>
      </c>
      <c r="C4174" s="2" t="s">
        <v>13</v>
      </c>
      <c r="D4174" s="2" t="s">
        <v>8308</v>
      </c>
      <c r="E4174" s="2" t="s">
        <v>8309</v>
      </c>
      <c r="F4174" s="2" t="s">
        <v>717</v>
      </c>
      <c r="G4174" s="2" t="s">
        <v>62</v>
      </c>
      <c r="H4174" s="2"/>
      <c r="I4174" s="2"/>
      <c r="J4174" s="2"/>
      <c r="K4174" s="2"/>
      <c r="L4174" s="2"/>
      <c r="M4174" s="2"/>
      <c r="N4174" s="2"/>
      <c r="O4174" s="2"/>
      <c r="P4174" s="2"/>
      <c r="Q4174" s="2"/>
      <c r="R4174" s="2"/>
      <c r="S4174" s="2"/>
      <c r="T4174" s="2"/>
      <c r="U4174" s="2"/>
      <c r="V4174" s="2"/>
      <c r="W4174" s="2"/>
      <c r="X4174" s="2"/>
      <c r="Y4174" s="2"/>
    </row>
    <row r="4175" spans="1:25" x14ac:dyDescent="0.2">
      <c r="A4175">
        <v>3375</v>
      </c>
      <c r="B4175" t="s">
        <v>8307</v>
      </c>
      <c r="C4175" t="s">
        <v>18</v>
      </c>
      <c r="D4175" t="s">
        <v>7109</v>
      </c>
      <c r="E4175" t="s">
        <v>7110</v>
      </c>
      <c r="F4175" t="s">
        <v>616</v>
      </c>
      <c r="G4175" t="s">
        <v>252</v>
      </c>
      <c r="I4175" t="b">
        <v>0</v>
      </c>
      <c r="J4175" t="b">
        <v>0</v>
      </c>
      <c r="L4175" t="b">
        <v>0</v>
      </c>
    </row>
    <row r="4176" spans="1:25" x14ac:dyDescent="0.2">
      <c r="A4176">
        <v>3376</v>
      </c>
      <c r="B4176" t="s">
        <v>8307</v>
      </c>
      <c r="C4176" t="s">
        <v>18</v>
      </c>
      <c r="D4176" t="s">
        <v>1127</v>
      </c>
      <c r="E4176" t="s">
        <v>1128</v>
      </c>
      <c r="F4176" t="s">
        <v>205</v>
      </c>
      <c r="G4176" t="s">
        <v>62</v>
      </c>
      <c r="I4176" t="b">
        <v>0</v>
      </c>
      <c r="J4176" t="b">
        <v>0</v>
      </c>
      <c r="L4176" t="b">
        <v>0</v>
      </c>
      <c r="M4176" t="str">
        <f>HYPERLINK("https://arizona.app.box.com/file/386228949781")</f>
        <v>https://arizona.app.box.com/file/386228949781</v>
      </c>
      <c r="N4176" t="str">
        <f>HYPERLINK("https://arizona.app.box.com/file/386241113911")</f>
        <v>https://arizona.app.box.com/file/386241113911</v>
      </c>
    </row>
    <row r="4177" spans="1:25" x14ac:dyDescent="0.2">
      <c r="A4177">
        <v>3377</v>
      </c>
      <c r="B4177" t="s">
        <v>8307</v>
      </c>
      <c r="C4177" t="s">
        <v>18</v>
      </c>
      <c r="D4177" t="s">
        <v>8310</v>
      </c>
      <c r="E4177" t="s">
        <v>8311</v>
      </c>
      <c r="F4177" t="s">
        <v>205</v>
      </c>
      <c r="G4177" t="s">
        <v>62</v>
      </c>
      <c r="I4177" t="b">
        <v>0</v>
      </c>
      <c r="J4177" t="b">
        <v>0</v>
      </c>
      <c r="L4177" t="b">
        <v>0</v>
      </c>
    </row>
    <row r="4178" spans="1:25" x14ac:dyDescent="0.2">
      <c r="A4178">
        <v>3378</v>
      </c>
      <c r="B4178" t="s">
        <v>8307</v>
      </c>
      <c r="C4178" t="s">
        <v>18</v>
      </c>
      <c r="D4178" t="s">
        <v>2604</v>
      </c>
      <c r="E4178" t="s">
        <v>2605</v>
      </c>
      <c r="F4178" t="s">
        <v>78</v>
      </c>
      <c r="G4178" t="s">
        <v>88</v>
      </c>
      <c r="I4178" t="b">
        <v>0</v>
      </c>
      <c r="J4178" t="b">
        <v>0</v>
      </c>
      <c r="L4178" t="b">
        <v>0</v>
      </c>
      <c r="M4178" t="str">
        <f>HYPERLINK("https://arizona.app.box.com/file/389172393202")</f>
        <v>https://arizona.app.box.com/file/389172393202</v>
      </c>
    </row>
    <row r="4179" spans="1:25" x14ac:dyDescent="0.2">
      <c r="A4179">
        <v>3379</v>
      </c>
      <c r="B4179" t="s">
        <v>8307</v>
      </c>
      <c r="C4179" t="s">
        <v>18</v>
      </c>
      <c r="D4179" t="s">
        <v>2701</v>
      </c>
      <c r="E4179" t="s">
        <v>2702</v>
      </c>
      <c r="F4179" t="s">
        <v>420</v>
      </c>
      <c r="G4179" t="s">
        <v>62</v>
      </c>
      <c r="I4179" t="b">
        <v>0</v>
      </c>
      <c r="J4179" t="b">
        <v>0</v>
      </c>
      <c r="L4179" t="b">
        <v>0</v>
      </c>
      <c r="M4179" t="str">
        <f>HYPERLINK("https://arizona.app.box.com/file/389264129585")</f>
        <v>https://arizona.app.box.com/file/389264129585</v>
      </c>
    </row>
    <row r="4181" spans="1:25" x14ac:dyDescent="0.2">
      <c r="A4181" s="2">
        <v>2891</v>
      </c>
      <c r="B4181" s="2" t="s">
        <v>8312</v>
      </c>
      <c r="C4181" s="2" t="s">
        <v>13</v>
      </c>
      <c r="D4181" s="2" t="s">
        <v>4387</v>
      </c>
      <c r="E4181" s="2" t="s">
        <v>8313</v>
      </c>
      <c r="F4181" s="2" t="s">
        <v>159</v>
      </c>
      <c r="G4181" s="2" t="s">
        <v>201</v>
      </c>
      <c r="H4181" s="2"/>
      <c r="I4181" s="2"/>
      <c r="J4181" s="2"/>
      <c r="K4181" s="2"/>
      <c r="L4181" s="2"/>
      <c r="M4181" s="2"/>
      <c r="N4181" s="2"/>
      <c r="O4181" s="2"/>
      <c r="P4181" s="2"/>
      <c r="Q4181" s="2"/>
      <c r="R4181" s="2"/>
      <c r="S4181" s="2"/>
      <c r="T4181" s="2"/>
      <c r="U4181" s="2"/>
      <c r="V4181" s="2"/>
      <c r="W4181" s="2"/>
      <c r="X4181" s="2"/>
      <c r="Y4181" s="2"/>
    </row>
    <row r="4182" spans="1:25" x14ac:dyDescent="0.2">
      <c r="A4182">
        <v>2892</v>
      </c>
      <c r="B4182" t="s">
        <v>8312</v>
      </c>
      <c r="C4182" t="s">
        <v>18</v>
      </c>
      <c r="D4182" t="s">
        <v>4387</v>
      </c>
      <c r="E4182" t="s">
        <v>4388</v>
      </c>
      <c r="F4182" t="s">
        <v>159</v>
      </c>
      <c r="G4182" t="s">
        <v>201</v>
      </c>
      <c r="I4182" t="b">
        <v>1</v>
      </c>
      <c r="J4182" t="b">
        <v>1</v>
      </c>
      <c r="L4182" t="b">
        <v>1</v>
      </c>
      <c r="M4182" t="str">
        <f>HYPERLINK("https://arizona.app.box.com/file/389184805704")</f>
        <v>https://arizona.app.box.com/file/389184805704</v>
      </c>
      <c r="N4182" t="str">
        <f>HYPERLINK("https://arizona.app.box.com/file/386227827786")</f>
        <v>https://arizona.app.box.com/file/386227827786</v>
      </c>
    </row>
    <row r="4183" spans="1:25" x14ac:dyDescent="0.2">
      <c r="A4183">
        <v>2893</v>
      </c>
      <c r="B4183" t="s">
        <v>8312</v>
      </c>
      <c r="C4183" t="s">
        <v>18</v>
      </c>
      <c r="D4183" t="s">
        <v>4375</v>
      </c>
      <c r="E4183" t="s">
        <v>4376</v>
      </c>
      <c r="F4183" t="s">
        <v>159</v>
      </c>
      <c r="G4183" t="s">
        <v>201</v>
      </c>
      <c r="I4183" t="b">
        <v>1</v>
      </c>
      <c r="J4183" t="b">
        <v>1</v>
      </c>
      <c r="L4183" t="b">
        <v>1</v>
      </c>
      <c r="M4183" t="str">
        <f>HYPERLINK("https://arizona.app.box.com/file/389263645999")</f>
        <v>https://arizona.app.box.com/file/389263645999</v>
      </c>
      <c r="N4183" t="str">
        <f>HYPERLINK("https://arizona.app.box.com/file/389163555750")</f>
        <v>https://arizona.app.box.com/file/389163555750</v>
      </c>
    </row>
    <row r="4184" spans="1:25" x14ac:dyDescent="0.2">
      <c r="A4184">
        <v>2894</v>
      </c>
      <c r="B4184" t="s">
        <v>8312</v>
      </c>
      <c r="C4184" t="s">
        <v>18</v>
      </c>
      <c r="D4184" t="s">
        <v>7022</v>
      </c>
      <c r="E4184" t="s">
        <v>7023</v>
      </c>
      <c r="F4184" t="s">
        <v>82</v>
      </c>
      <c r="G4184" t="s">
        <v>1114</v>
      </c>
      <c r="I4184" t="b">
        <v>0</v>
      </c>
      <c r="J4184" t="b">
        <v>0</v>
      </c>
      <c r="L4184" t="b">
        <v>0</v>
      </c>
      <c r="M4184" t="str">
        <f>HYPERLINK("https://arizona.app.box.com/file/386222349670")</f>
        <v>https://arizona.app.box.com/file/386222349670</v>
      </c>
      <c r="N4184" t="str">
        <f>HYPERLINK("https://arizona.app.box.com/file/386251097411")</f>
        <v>https://arizona.app.box.com/file/386251097411</v>
      </c>
    </row>
    <row r="4185" spans="1:25" x14ac:dyDescent="0.2">
      <c r="A4185">
        <v>2895</v>
      </c>
      <c r="B4185" t="s">
        <v>8312</v>
      </c>
      <c r="C4185" t="s">
        <v>18</v>
      </c>
      <c r="D4185" t="s">
        <v>8314</v>
      </c>
      <c r="E4185" t="s">
        <v>8315</v>
      </c>
      <c r="F4185" t="s">
        <v>82</v>
      </c>
      <c r="G4185" t="s">
        <v>1114</v>
      </c>
      <c r="I4185" t="b">
        <v>0</v>
      </c>
      <c r="J4185" t="b">
        <v>0</v>
      </c>
      <c r="L4185" t="b">
        <v>0</v>
      </c>
    </row>
    <row r="4186" spans="1:25" x14ac:dyDescent="0.2">
      <c r="A4186">
        <v>2896</v>
      </c>
      <c r="B4186" t="s">
        <v>8312</v>
      </c>
      <c r="C4186" t="s">
        <v>18</v>
      </c>
      <c r="D4186" t="s">
        <v>210</v>
      </c>
      <c r="E4186" t="s">
        <v>211</v>
      </c>
      <c r="F4186" t="s">
        <v>159</v>
      </c>
      <c r="G4186" t="s">
        <v>201</v>
      </c>
      <c r="I4186" t="b">
        <v>1</v>
      </c>
      <c r="J4186" t="b">
        <v>0</v>
      </c>
      <c r="L4186" t="b">
        <v>1</v>
      </c>
      <c r="M4186" s="3" t="str">
        <f>HYPERLINK("https://arizona.app.box.com/file/389266347022")</f>
        <v>https://arizona.app.box.com/file/389266347022</v>
      </c>
      <c r="N4186" t="str">
        <f>HYPERLINK("https://arizona.app.box.com/file/389152134689")</f>
        <v>https://arizona.app.box.com/file/389152134689</v>
      </c>
    </row>
    <row r="4188" spans="1:25" x14ac:dyDescent="0.2">
      <c r="A4188" s="2">
        <v>4788</v>
      </c>
      <c r="B4188" s="2" t="s">
        <v>8316</v>
      </c>
      <c r="C4188" s="2" t="s">
        <v>13</v>
      </c>
      <c r="D4188" s="2" t="s">
        <v>8317</v>
      </c>
      <c r="E4188" s="2" t="s">
        <v>8318</v>
      </c>
      <c r="F4188" s="2" t="s">
        <v>200</v>
      </c>
      <c r="G4188" s="2" t="s">
        <v>88</v>
      </c>
      <c r="H4188" s="2"/>
      <c r="I4188" s="2"/>
      <c r="J4188" s="2"/>
      <c r="K4188" s="2"/>
      <c r="L4188" s="2"/>
      <c r="M4188" s="2"/>
      <c r="N4188" s="2"/>
      <c r="O4188" s="2"/>
      <c r="P4188" s="2"/>
      <c r="Q4188" s="2"/>
      <c r="R4188" s="2"/>
      <c r="S4188" s="2"/>
      <c r="T4188" s="2"/>
      <c r="U4188" s="2"/>
      <c r="V4188" s="2"/>
      <c r="W4188" s="2"/>
      <c r="X4188" s="2"/>
      <c r="Y4188" s="2"/>
    </row>
    <row r="4189" spans="1:25" x14ac:dyDescent="0.2">
      <c r="A4189">
        <v>4789</v>
      </c>
      <c r="B4189" t="s">
        <v>8316</v>
      </c>
      <c r="C4189" t="s">
        <v>18</v>
      </c>
      <c r="D4189" t="s">
        <v>8317</v>
      </c>
      <c r="E4189" t="s">
        <v>3137</v>
      </c>
      <c r="F4189" t="s">
        <v>200</v>
      </c>
      <c r="G4189" t="s">
        <v>88</v>
      </c>
      <c r="I4189" t="b">
        <v>1</v>
      </c>
      <c r="J4189" t="b">
        <v>1</v>
      </c>
      <c r="L4189" t="b">
        <v>1</v>
      </c>
      <c r="M4189" t="str">
        <f>HYPERLINK("https://arizona.app.box.com/file/386243855266")</f>
        <v>https://arizona.app.box.com/file/386243855266</v>
      </c>
    </row>
    <row r="4190" spans="1:25" x14ac:dyDescent="0.2">
      <c r="A4190">
        <v>4790</v>
      </c>
      <c r="B4190" t="s">
        <v>8316</v>
      </c>
      <c r="C4190" t="s">
        <v>18</v>
      </c>
      <c r="D4190" t="s">
        <v>8319</v>
      </c>
      <c r="E4190" t="s">
        <v>3531</v>
      </c>
      <c r="F4190" t="s">
        <v>200</v>
      </c>
      <c r="G4190" t="s">
        <v>88</v>
      </c>
      <c r="I4190" t="b">
        <v>1</v>
      </c>
      <c r="J4190" t="b">
        <v>1</v>
      </c>
      <c r="L4190" t="b">
        <v>1</v>
      </c>
      <c r="M4190" t="str">
        <f>HYPERLINK("https://arizona.app.box.com/file/386260527962")</f>
        <v>https://arizona.app.box.com/file/386260527962</v>
      </c>
    </row>
    <row r="4191" spans="1:25" x14ac:dyDescent="0.2">
      <c r="A4191">
        <v>4791</v>
      </c>
      <c r="B4191" t="s">
        <v>8316</v>
      </c>
      <c r="C4191" t="s">
        <v>18</v>
      </c>
      <c r="D4191" t="s">
        <v>8320</v>
      </c>
      <c r="E4191" t="s">
        <v>8321</v>
      </c>
      <c r="F4191" t="s">
        <v>200</v>
      </c>
      <c r="G4191" t="s">
        <v>88</v>
      </c>
      <c r="I4191" t="b">
        <v>0</v>
      </c>
      <c r="J4191" t="b">
        <v>0</v>
      </c>
      <c r="L4191" t="b">
        <v>0</v>
      </c>
    </row>
    <row r="4192" spans="1:25" x14ac:dyDescent="0.2">
      <c r="A4192">
        <v>4792</v>
      </c>
      <c r="B4192" t="s">
        <v>8316</v>
      </c>
      <c r="C4192" t="s">
        <v>18</v>
      </c>
      <c r="D4192" t="s">
        <v>8322</v>
      </c>
      <c r="E4192" t="s">
        <v>8323</v>
      </c>
      <c r="F4192" t="s">
        <v>200</v>
      </c>
      <c r="G4192" t="s">
        <v>88</v>
      </c>
      <c r="I4192" t="b">
        <v>0</v>
      </c>
      <c r="J4192" t="b">
        <v>1</v>
      </c>
      <c r="L4192" t="b">
        <v>1</v>
      </c>
      <c r="M4192" t="str">
        <f>HYPERLINK("https://arizona.app.box.com/file/386254210045")</f>
        <v>https://arizona.app.box.com/file/386254210045</v>
      </c>
      <c r="N4192" t="str">
        <f>HYPERLINK("https://arizona.app.box.com/file/386265606589")</f>
        <v>https://arizona.app.box.com/file/386265606589</v>
      </c>
    </row>
    <row r="4193" spans="1:25" x14ac:dyDescent="0.2">
      <c r="A4193">
        <v>4793</v>
      </c>
      <c r="B4193" t="s">
        <v>8316</v>
      </c>
      <c r="C4193" t="s">
        <v>18</v>
      </c>
      <c r="D4193" t="s">
        <v>8324</v>
      </c>
      <c r="E4193" t="s">
        <v>8325</v>
      </c>
      <c r="F4193" t="s">
        <v>200</v>
      </c>
      <c r="G4193" t="s">
        <v>88</v>
      </c>
      <c r="I4193" t="b">
        <v>0</v>
      </c>
      <c r="J4193" t="b">
        <v>0</v>
      </c>
      <c r="L4193" t="b">
        <v>0</v>
      </c>
    </row>
    <row r="4195" spans="1:25" x14ac:dyDescent="0.2">
      <c r="A4195" s="2">
        <v>5908</v>
      </c>
      <c r="B4195" s="2" t="s">
        <v>8326</v>
      </c>
      <c r="C4195" s="2" t="s">
        <v>13</v>
      </c>
      <c r="D4195" s="2" t="s">
        <v>8327</v>
      </c>
      <c r="E4195" s="2" t="s">
        <v>8328</v>
      </c>
      <c r="F4195" s="2" t="s">
        <v>151</v>
      </c>
      <c r="G4195" s="2" t="s">
        <v>62</v>
      </c>
      <c r="H4195" s="2"/>
      <c r="I4195" s="2"/>
      <c r="J4195" s="2"/>
      <c r="K4195" s="2"/>
      <c r="L4195" s="2"/>
      <c r="M4195" s="2"/>
      <c r="N4195" s="2"/>
      <c r="O4195" s="2"/>
      <c r="P4195" s="2"/>
      <c r="Q4195" s="2"/>
      <c r="R4195" s="2"/>
      <c r="S4195" s="2"/>
      <c r="T4195" s="2"/>
      <c r="U4195" s="2"/>
      <c r="V4195" s="2"/>
      <c r="W4195" s="2"/>
      <c r="X4195" s="2"/>
      <c r="Y4195" s="2"/>
    </row>
    <row r="4196" spans="1:25" x14ac:dyDescent="0.2">
      <c r="A4196">
        <v>5909</v>
      </c>
      <c r="B4196" t="s">
        <v>8326</v>
      </c>
      <c r="C4196" t="s">
        <v>18</v>
      </c>
      <c r="D4196" t="s">
        <v>8327</v>
      </c>
      <c r="E4196" t="s">
        <v>3408</v>
      </c>
      <c r="F4196" t="s">
        <v>151</v>
      </c>
      <c r="G4196" t="s">
        <v>62</v>
      </c>
      <c r="I4196" t="b">
        <v>1</v>
      </c>
      <c r="J4196" t="b">
        <v>1</v>
      </c>
      <c r="L4196" t="b">
        <v>1</v>
      </c>
      <c r="M4196" t="str">
        <f>HYPERLINK("https://arizona.app.box.com/file/389256837886")</f>
        <v>https://arizona.app.box.com/file/389256837886</v>
      </c>
      <c r="N4196" t="str">
        <f>HYPERLINK("https://arizona.app.box.com/file/386241113911")</f>
        <v>https://arizona.app.box.com/file/386241113911</v>
      </c>
    </row>
    <row r="4197" spans="1:25" x14ac:dyDescent="0.2">
      <c r="A4197">
        <v>5910</v>
      </c>
      <c r="B4197" t="s">
        <v>8326</v>
      </c>
      <c r="C4197" t="s">
        <v>18</v>
      </c>
      <c r="D4197" t="s">
        <v>8329</v>
      </c>
      <c r="E4197" t="s">
        <v>209</v>
      </c>
      <c r="F4197" t="s">
        <v>151</v>
      </c>
      <c r="G4197" t="s">
        <v>62</v>
      </c>
      <c r="I4197" t="b">
        <v>1</v>
      </c>
      <c r="J4197" t="b">
        <v>1</v>
      </c>
      <c r="L4197" t="b">
        <v>1</v>
      </c>
      <c r="M4197" t="str">
        <f>HYPERLINK("https://arizona.app.box.com/file/389266314791")</f>
        <v>https://arizona.app.box.com/file/389266314791</v>
      </c>
      <c r="N4197" t="str">
        <f>HYPERLINK("https://arizona.app.box.com/file/389171483025")</f>
        <v>https://arizona.app.box.com/file/389171483025</v>
      </c>
    </row>
    <row r="4198" spans="1:25" x14ac:dyDescent="0.2">
      <c r="A4198">
        <v>5911</v>
      </c>
      <c r="B4198" t="s">
        <v>8326</v>
      </c>
      <c r="C4198" t="s">
        <v>18</v>
      </c>
      <c r="D4198" t="s">
        <v>8330</v>
      </c>
      <c r="E4198" t="s">
        <v>8331</v>
      </c>
      <c r="F4198" t="s">
        <v>78</v>
      </c>
      <c r="G4198" t="s">
        <v>417</v>
      </c>
      <c r="I4198" t="b">
        <v>1</v>
      </c>
      <c r="J4198" t="b">
        <v>0</v>
      </c>
      <c r="L4198" t="b">
        <v>0</v>
      </c>
      <c r="M4198" t="str">
        <f>HYPERLINK("https://arizona.app.box.com/file/389263575333")</f>
        <v>https://arizona.app.box.com/file/389263575333</v>
      </c>
      <c r="N4198" t="str">
        <f>HYPERLINK("https://arizona.app.box.com/file/389167301704")</f>
        <v>https://arizona.app.box.com/file/389167301704</v>
      </c>
    </row>
    <row r="4199" spans="1:25" x14ac:dyDescent="0.2">
      <c r="A4199">
        <v>5912</v>
      </c>
      <c r="B4199" t="s">
        <v>8326</v>
      </c>
      <c r="C4199" t="s">
        <v>18</v>
      </c>
      <c r="D4199" t="s">
        <v>4566</v>
      </c>
      <c r="E4199" t="s">
        <v>4567</v>
      </c>
      <c r="F4199" t="s">
        <v>270</v>
      </c>
      <c r="G4199" t="s">
        <v>417</v>
      </c>
      <c r="I4199" t="b">
        <v>0</v>
      </c>
      <c r="J4199" t="b">
        <v>0</v>
      </c>
      <c r="L4199" t="b">
        <v>0</v>
      </c>
      <c r="M4199" t="str">
        <f>HYPERLINK("https://arizona.app.box.com/file/389261263250")</f>
        <v>https://arizona.app.box.com/file/389261263250</v>
      </c>
    </row>
    <row r="4200" spans="1:25" x14ac:dyDescent="0.2">
      <c r="A4200">
        <v>5913</v>
      </c>
      <c r="B4200" t="s">
        <v>8326</v>
      </c>
      <c r="C4200" t="s">
        <v>18</v>
      </c>
      <c r="D4200" t="s">
        <v>8332</v>
      </c>
      <c r="E4200" t="s">
        <v>4847</v>
      </c>
      <c r="F4200" t="s">
        <v>87</v>
      </c>
      <c r="G4200" t="s">
        <v>62</v>
      </c>
      <c r="I4200" t="b">
        <v>0</v>
      </c>
      <c r="J4200" t="b">
        <v>0</v>
      </c>
      <c r="L4200" t="b">
        <v>0</v>
      </c>
      <c r="M4200" t="str">
        <f>HYPERLINK("https://arizona.app.box.com/file/389265515737")</f>
        <v>https://arizona.app.box.com/file/389265515737</v>
      </c>
    </row>
    <row r="4202" spans="1:25" x14ac:dyDescent="0.2">
      <c r="A4202" s="2">
        <v>7112</v>
      </c>
      <c r="B4202" s="2" t="s">
        <v>8333</v>
      </c>
      <c r="C4202" s="2" t="s">
        <v>13</v>
      </c>
      <c r="D4202" s="2" t="s">
        <v>8334</v>
      </c>
      <c r="E4202" s="2" t="s">
        <v>8335</v>
      </c>
      <c r="F4202" s="2" t="s">
        <v>159</v>
      </c>
      <c r="G4202" s="2" t="s">
        <v>879</v>
      </c>
      <c r="H4202" s="2"/>
      <c r="I4202" s="2"/>
      <c r="J4202" s="2"/>
      <c r="K4202" s="2"/>
      <c r="L4202" s="2"/>
      <c r="M4202" s="2"/>
      <c r="N4202" s="2"/>
      <c r="O4202" s="2"/>
      <c r="P4202" s="2"/>
      <c r="Q4202" s="2"/>
      <c r="R4202" s="2"/>
      <c r="S4202" s="2"/>
      <c r="T4202" s="2"/>
      <c r="U4202" s="2"/>
      <c r="V4202" s="2"/>
      <c r="W4202" s="2"/>
      <c r="X4202" s="2"/>
      <c r="Y4202" s="2"/>
    </row>
    <row r="4203" spans="1:25" x14ac:dyDescent="0.2">
      <c r="A4203">
        <v>7113</v>
      </c>
      <c r="B4203" t="s">
        <v>8333</v>
      </c>
      <c r="C4203" t="s">
        <v>18</v>
      </c>
      <c r="D4203" t="s">
        <v>2522</v>
      </c>
      <c r="E4203" t="s">
        <v>2523</v>
      </c>
      <c r="F4203" t="s">
        <v>78</v>
      </c>
      <c r="G4203" t="s">
        <v>417</v>
      </c>
      <c r="I4203" t="b">
        <v>0</v>
      </c>
      <c r="J4203" t="b">
        <v>0</v>
      </c>
      <c r="L4203" t="b">
        <v>0</v>
      </c>
      <c r="M4203" t="str">
        <f>HYPERLINK("https://arizona.app.box.com/file/389260493159")</f>
        <v>https://arizona.app.box.com/file/389260493159</v>
      </c>
      <c r="N4203" t="str">
        <f>HYPERLINK("https://arizona.app.box.com/file/389163455213")</f>
        <v>https://arizona.app.box.com/file/389163455213</v>
      </c>
      <c r="O4203" t="str">
        <f>HYPERLINK("https://arizona.app.box.com/file/389257191441")</f>
        <v>https://arizona.app.box.com/file/389257191441</v>
      </c>
    </row>
    <row r="4204" spans="1:25" x14ac:dyDescent="0.2">
      <c r="A4204">
        <v>7114</v>
      </c>
      <c r="B4204" t="s">
        <v>8333</v>
      </c>
      <c r="C4204" t="s">
        <v>18</v>
      </c>
      <c r="D4204" t="s">
        <v>5518</v>
      </c>
      <c r="E4204" t="s">
        <v>2709</v>
      </c>
      <c r="F4204" t="s">
        <v>670</v>
      </c>
      <c r="G4204" t="s">
        <v>879</v>
      </c>
      <c r="I4204" t="b">
        <v>0</v>
      </c>
      <c r="J4204" t="b">
        <v>0</v>
      </c>
      <c r="L4204" t="b">
        <v>0</v>
      </c>
      <c r="M4204" t="str">
        <f>HYPERLINK("https://arizona.app.box.com/file/389154783142")</f>
        <v>https://arizona.app.box.com/file/389154783142</v>
      </c>
      <c r="N4204" t="str">
        <f>HYPERLINK("https://arizona.app.box.com/file/386216183490")</f>
        <v>https://arizona.app.box.com/file/386216183490</v>
      </c>
    </row>
    <row r="4205" spans="1:25" x14ac:dyDescent="0.2">
      <c r="A4205">
        <v>7115</v>
      </c>
      <c r="B4205" t="s">
        <v>8333</v>
      </c>
      <c r="C4205" t="s">
        <v>18</v>
      </c>
      <c r="D4205" t="s">
        <v>5523</v>
      </c>
      <c r="E4205" t="s">
        <v>898</v>
      </c>
      <c r="F4205" t="s">
        <v>174</v>
      </c>
      <c r="G4205" t="s">
        <v>879</v>
      </c>
      <c r="I4205" t="b">
        <v>0</v>
      </c>
      <c r="J4205" t="b">
        <v>0</v>
      </c>
      <c r="L4205" t="b">
        <v>0</v>
      </c>
      <c r="M4205" t="str">
        <f>HYPERLINK("https://arizona.app.box.com/file/389179086295")</f>
        <v>https://arizona.app.box.com/file/389179086295</v>
      </c>
    </row>
    <row r="4206" spans="1:25" x14ac:dyDescent="0.2">
      <c r="A4206">
        <v>7116</v>
      </c>
      <c r="B4206" t="s">
        <v>8333</v>
      </c>
      <c r="C4206" t="s">
        <v>18</v>
      </c>
      <c r="D4206" t="s">
        <v>8336</v>
      </c>
      <c r="E4206" t="s">
        <v>4302</v>
      </c>
      <c r="F4206" t="s">
        <v>2388</v>
      </c>
      <c r="G4206" t="s">
        <v>879</v>
      </c>
      <c r="I4206" t="b">
        <v>0</v>
      </c>
      <c r="J4206" t="b">
        <v>0</v>
      </c>
      <c r="L4206" t="b">
        <v>0</v>
      </c>
      <c r="M4206" t="str">
        <f>HYPERLINK("https://arizona.app.box.com/file/389256776513")</f>
        <v>https://arizona.app.box.com/file/389256776513</v>
      </c>
      <c r="N4206" t="str">
        <f>HYPERLINK("https://arizona.app.box.com/file/389153287185")</f>
        <v>https://arizona.app.box.com/file/389153287185</v>
      </c>
    </row>
    <row r="4207" spans="1:25" x14ac:dyDescent="0.2">
      <c r="A4207">
        <v>7117</v>
      </c>
      <c r="B4207" t="s">
        <v>8333</v>
      </c>
      <c r="C4207" t="s">
        <v>18</v>
      </c>
      <c r="D4207" t="s">
        <v>8337</v>
      </c>
      <c r="E4207" t="s">
        <v>8338</v>
      </c>
      <c r="F4207" t="s">
        <v>205</v>
      </c>
      <c r="G4207" t="s">
        <v>345</v>
      </c>
      <c r="I4207" t="b">
        <v>0</v>
      </c>
      <c r="J4207" t="b">
        <v>0</v>
      </c>
      <c r="L4207" t="b">
        <v>0</v>
      </c>
      <c r="M4207" t="str">
        <f>HYPERLINK("https://arizona.app.box.com/file/389169930058")</f>
        <v>https://arizona.app.box.com/file/389169930058</v>
      </c>
    </row>
    <row r="4209" spans="1:25" x14ac:dyDescent="0.2">
      <c r="A4209" s="2">
        <v>5565</v>
      </c>
      <c r="B4209" s="2" t="s">
        <v>8339</v>
      </c>
      <c r="C4209" s="2" t="s">
        <v>13</v>
      </c>
      <c r="D4209" s="2" t="s">
        <v>8340</v>
      </c>
      <c r="E4209" s="2" t="s">
        <v>8341</v>
      </c>
      <c r="F4209" s="2" t="s">
        <v>2924</v>
      </c>
      <c r="G4209" s="2" t="s">
        <v>6854</v>
      </c>
      <c r="H4209" s="2"/>
      <c r="I4209" s="2"/>
      <c r="J4209" s="2"/>
      <c r="K4209" s="2"/>
      <c r="L4209" s="2"/>
      <c r="M4209" s="2"/>
      <c r="N4209" s="2"/>
      <c r="O4209" s="2"/>
      <c r="P4209" s="2"/>
      <c r="Q4209" s="2"/>
      <c r="R4209" s="2"/>
      <c r="S4209" s="2"/>
      <c r="T4209" s="2"/>
      <c r="U4209" s="2"/>
      <c r="V4209" s="2"/>
      <c r="W4209" s="2"/>
      <c r="X4209" s="2"/>
      <c r="Y4209" s="2"/>
    </row>
    <row r="4210" spans="1:25" x14ac:dyDescent="0.2">
      <c r="A4210">
        <v>5566</v>
      </c>
      <c r="B4210" t="s">
        <v>8339</v>
      </c>
      <c r="C4210" t="s">
        <v>18</v>
      </c>
      <c r="D4210" t="s">
        <v>8342</v>
      </c>
      <c r="E4210" t="s">
        <v>8343</v>
      </c>
      <c r="F4210" t="s">
        <v>82</v>
      </c>
      <c r="G4210" t="s">
        <v>6854</v>
      </c>
      <c r="I4210" t="b">
        <v>0</v>
      </c>
      <c r="J4210" t="b">
        <v>0</v>
      </c>
      <c r="L4210" t="b">
        <v>0</v>
      </c>
      <c r="M4210" t="str">
        <f>HYPERLINK("https://arizona.app.box.com/file/386241478596")</f>
        <v>https://arizona.app.box.com/file/386241478596</v>
      </c>
      <c r="N4210" t="str">
        <f>HYPERLINK("https://arizona.app.box.com/file/386241812645")</f>
        <v>https://arizona.app.box.com/file/386241812645</v>
      </c>
    </row>
    <row r="4211" spans="1:25" x14ac:dyDescent="0.2">
      <c r="A4211">
        <v>5567</v>
      </c>
      <c r="B4211" t="s">
        <v>8339</v>
      </c>
      <c r="C4211" t="s">
        <v>18</v>
      </c>
      <c r="D4211" t="s">
        <v>8344</v>
      </c>
      <c r="E4211" t="s">
        <v>8345</v>
      </c>
      <c r="F4211" t="s">
        <v>82</v>
      </c>
      <c r="G4211" t="s">
        <v>6854</v>
      </c>
      <c r="I4211" t="b">
        <v>0</v>
      </c>
      <c r="J4211" t="b">
        <v>0</v>
      </c>
      <c r="L4211" t="b">
        <v>0</v>
      </c>
    </row>
    <row r="4212" spans="1:25" x14ac:dyDescent="0.2">
      <c r="A4212">
        <v>5568</v>
      </c>
      <c r="B4212" t="s">
        <v>8339</v>
      </c>
      <c r="C4212" t="s">
        <v>18</v>
      </c>
      <c r="D4212" t="s">
        <v>8346</v>
      </c>
      <c r="E4212" t="s">
        <v>2408</v>
      </c>
      <c r="F4212" t="s">
        <v>159</v>
      </c>
      <c r="G4212" t="s">
        <v>32</v>
      </c>
      <c r="I4212" t="b">
        <v>0</v>
      </c>
      <c r="J4212" t="b">
        <v>0</v>
      </c>
      <c r="L4212" t="b">
        <v>0</v>
      </c>
      <c r="M4212" t="str">
        <f>HYPERLINK("https://arizona.app.box.com/file/389264525532")</f>
        <v>https://arizona.app.box.com/file/389264525532</v>
      </c>
      <c r="N4212" t="str">
        <f>HYPERLINK("https://arizona.app.box.com/file/389166119346")</f>
        <v>https://arizona.app.box.com/file/389166119346</v>
      </c>
    </row>
    <row r="4213" spans="1:25" x14ac:dyDescent="0.2">
      <c r="A4213">
        <v>5569</v>
      </c>
      <c r="B4213" t="s">
        <v>8339</v>
      </c>
      <c r="C4213" t="s">
        <v>18</v>
      </c>
      <c r="D4213" t="s">
        <v>449</v>
      </c>
      <c r="E4213" t="s">
        <v>450</v>
      </c>
      <c r="F4213" t="s">
        <v>451</v>
      </c>
      <c r="G4213" t="s">
        <v>255</v>
      </c>
      <c r="I4213" t="b">
        <v>0</v>
      </c>
      <c r="J4213" t="b">
        <v>0</v>
      </c>
      <c r="L4213" t="b">
        <v>0</v>
      </c>
      <c r="M4213" t="str">
        <f>HYPERLINK("https://arizona.app.box.com/file/386264061036")</f>
        <v>https://arizona.app.box.com/file/386264061036</v>
      </c>
      <c r="N4213" t="str">
        <f>HYPERLINK("https://arizona.app.box.com/file/386264746042")</f>
        <v>https://arizona.app.box.com/file/386264746042</v>
      </c>
    </row>
    <row r="4214" spans="1:25" x14ac:dyDescent="0.2">
      <c r="A4214">
        <v>5570</v>
      </c>
      <c r="B4214" t="s">
        <v>8339</v>
      </c>
      <c r="C4214" t="s">
        <v>18</v>
      </c>
      <c r="D4214" t="s">
        <v>6852</v>
      </c>
      <c r="E4214" t="s">
        <v>6853</v>
      </c>
      <c r="F4214" t="s">
        <v>82</v>
      </c>
      <c r="G4214" t="s">
        <v>6854</v>
      </c>
      <c r="I4214" t="b">
        <v>0</v>
      </c>
      <c r="J4214" t="b">
        <v>0</v>
      </c>
      <c r="L4214" t="b">
        <v>0</v>
      </c>
      <c r="M4214" t="str">
        <f>HYPERLINK("https://arizona.app.box.com/file/389262523862")</f>
        <v>https://arizona.app.box.com/file/389262523862</v>
      </c>
    </row>
    <row r="4216" spans="1:25" x14ac:dyDescent="0.2">
      <c r="A4216" s="2">
        <v>3031</v>
      </c>
      <c r="B4216" s="2" t="s">
        <v>8347</v>
      </c>
      <c r="C4216" s="2" t="s">
        <v>13</v>
      </c>
      <c r="D4216" s="2" t="s">
        <v>4478</v>
      </c>
      <c r="E4216" s="2" t="s">
        <v>8348</v>
      </c>
      <c r="F4216" s="2" t="s">
        <v>270</v>
      </c>
      <c r="G4216" s="2" t="s">
        <v>252</v>
      </c>
      <c r="H4216" s="2"/>
      <c r="I4216" s="2"/>
      <c r="J4216" s="2"/>
      <c r="K4216" s="2"/>
      <c r="L4216" s="2"/>
      <c r="M4216" s="2"/>
      <c r="N4216" s="2"/>
      <c r="O4216" s="2"/>
      <c r="P4216" s="2"/>
      <c r="Q4216" s="2"/>
      <c r="R4216" s="2"/>
      <c r="S4216" s="2"/>
      <c r="T4216" s="2"/>
      <c r="U4216" s="2"/>
      <c r="V4216" s="2"/>
      <c r="W4216" s="2"/>
      <c r="X4216" s="2"/>
      <c r="Y4216" s="2"/>
    </row>
    <row r="4217" spans="1:25" x14ac:dyDescent="0.2">
      <c r="A4217">
        <v>3032</v>
      </c>
      <c r="B4217" t="s">
        <v>8347</v>
      </c>
      <c r="C4217" t="s">
        <v>18</v>
      </c>
      <c r="D4217" t="s">
        <v>4478</v>
      </c>
      <c r="E4217" t="s">
        <v>658</v>
      </c>
      <c r="F4217" t="s">
        <v>270</v>
      </c>
      <c r="G4217" t="s">
        <v>252</v>
      </c>
      <c r="I4217" t="b">
        <v>1</v>
      </c>
      <c r="J4217" t="b">
        <v>1</v>
      </c>
      <c r="L4217" t="b">
        <v>1</v>
      </c>
      <c r="M4217" t="str">
        <f>HYPERLINK("https://arizona.app.box.com/file/389173249428")</f>
        <v>https://arizona.app.box.com/file/389173249428</v>
      </c>
    </row>
    <row r="4218" spans="1:25" x14ac:dyDescent="0.2">
      <c r="A4218">
        <v>3033</v>
      </c>
      <c r="B4218" t="s">
        <v>8347</v>
      </c>
      <c r="C4218" t="s">
        <v>18</v>
      </c>
      <c r="D4218" t="s">
        <v>4475</v>
      </c>
      <c r="E4218" t="s">
        <v>4476</v>
      </c>
      <c r="F4218" t="s">
        <v>270</v>
      </c>
      <c r="G4218" t="s">
        <v>252</v>
      </c>
      <c r="I4218" t="b">
        <v>0</v>
      </c>
      <c r="J4218" t="b">
        <v>0</v>
      </c>
      <c r="L4218" t="b">
        <v>0</v>
      </c>
      <c r="M4218" t="str">
        <f>HYPERLINK("https://arizona.app.box.com/file/386245024003")</f>
        <v>https://arizona.app.box.com/file/386245024003</v>
      </c>
      <c r="N4218" t="str">
        <f>HYPERLINK("https://arizona.app.box.com/file/386241113911")</f>
        <v>https://arizona.app.box.com/file/386241113911</v>
      </c>
    </row>
    <row r="4219" spans="1:25" x14ac:dyDescent="0.2">
      <c r="A4219">
        <v>3034</v>
      </c>
      <c r="B4219" t="s">
        <v>8347</v>
      </c>
      <c r="C4219" t="s">
        <v>18</v>
      </c>
      <c r="D4219" t="s">
        <v>8349</v>
      </c>
      <c r="E4219" t="s">
        <v>8350</v>
      </c>
      <c r="F4219" t="s">
        <v>270</v>
      </c>
      <c r="G4219" t="s">
        <v>252</v>
      </c>
      <c r="I4219" t="b">
        <v>0</v>
      </c>
      <c r="J4219" t="b">
        <v>0</v>
      </c>
      <c r="L4219" t="b">
        <v>0</v>
      </c>
    </row>
    <row r="4220" spans="1:25" x14ac:dyDescent="0.2">
      <c r="A4220">
        <v>3035</v>
      </c>
      <c r="B4220" t="s">
        <v>8347</v>
      </c>
      <c r="C4220" t="s">
        <v>18</v>
      </c>
      <c r="D4220" t="s">
        <v>6673</v>
      </c>
      <c r="E4220" t="s">
        <v>6674</v>
      </c>
      <c r="F4220" t="s">
        <v>270</v>
      </c>
      <c r="G4220" t="s">
        <v>32</v>
      </c>
      <c r="I4220" t="b">
        <v>0</v>
      </c>
      <c r="J4220" t="b">
        <v>0</v>
      </c>
      <c r="L4220" t="b">
        <v>0</v>
      </c>
      <c r="M4220" t="str">
        <f>HYPERLINK("https://arizona.app.box.com/file/389261163371")</f>
        <v>https://arizona.app.box.com/file/389261163371</v>
      </c>
      <c r="N4220" t="str">
        <f>HYPERLINK("https://arizona.app.box.com/file/389165835050")</f>
        <v>https://arizona.app.box.com/file/389165835050</v>
      </c>
      <c r="O4220" t="str">
        <f>HYPERLINK("https://arizona.app.box.com/file/389163372735")</f>
        <v>https://arizona.app.box.com/file/389163372735</v>
      </c>
      <c r="P4220" t="str">
        <f>HYPERLINK("https://arizona.app.box.com/file/386225853731")</f>
        <v>https://arizona.app.box.com/file/386225853731</v>
      </c>
    </row>
    <row r="4221" spans="1:25" x14ac:dyDescent="0.2">
      <c r="A4221">
        <v>3036</v>
      </c>
      <c r="B4221" t="s">
        <v>8347</v>
      </c>
      <c r="C4221" t="s">
        <v>18</v>
      </c>
      <c r="D4221" t="s">
        <v>6874</v>
      </c>
      <c r="E4221" t="s">
        <v>5951</v>
      </c>
      <c r="F4221" t="s">
        <v>420</v>
      </c>
      <c r="G4221" t="s">
        <v>252</v>
      </c>
      <c r="I4221" t="b">
        <v>0</v>
      </c>
      <c r="J4221" t="b">
        <v>0</v>
      </c>
      <c r="L4221" t="b">
        <v>0</v>
      </c>
      <c r="M4221" t="str">
        <f>HYPERLINK("https://arizona.app.box.com/file/389256879622")</f>
        <v>https://arizona.app.box.com/file/389256879622</v>
      </c>
      <c r="N4221" t="str">
        <f>HYPERLINK("https://arizona.app.box.com/file/389164469116")</f>
        <v>https://arizona.app.box.com/file/389164469116</v>
      </c>
    </row>
    <row r="4223" spans="1:25" x14ac:dyDescent="0.2">
      <c r="A4223" s="2">
        <v>2940</v>
      </c>
      <c r="B4223" s="2" t="s">
        <v>8351</v>
      </c>
      <c r="C4223" s="2" t="s">
        <v>13</v>
      </c>
      <c r="D4223" s="2" t="s">
        <v>8352</v>
      </c>
      <c r="E4223" s="2" t="s">
        <v>8353</v>
      </c>
      <c r="F4223" s="2" t="s">
        <v>369</v>
      </c>
      <c r="G4223" s="2" t="s">
        <v>17</v>
      </c>
      <c r="H4223" s="2"/>
      <c r="I4223" s="2"/>
      <c r="J4223" s="2"/>
      <c r="K4223" s="2"/>
      <c r="L4223" s="2"/>
      <c r="M4223" s="2"/>
      <c r="N4223" s="2"/>
      <c r="O4223" s="2"/>
      <c r="P4223" s="2"/>
      <c r="Q4223" s="2"/>
      <c r="R4223" s="2"/>
      <c r="S4223" s="2"/>
      <c r="T4223" s="2"/>
      <c r="U4223" s="2"/>
      <c r="V4223" s="2"/>
      <c r="W4223" s="2"/>
      <c r="X4223" s="2"/>
      <c r="Y4223" s="2"/>
    </row>
    <row r="4224" spans="1:25" x14ac:dyDescent="0.2">
      <c r="A4224">
        <v>2941</v>
      </c>
      <c r="B4224" t="s">
        <v>8351</v>
      </c>
      <c r="C4224" t="s">
        <v>18</v>
      </c>
      <c r="D4224" t="s">
        <v>8352</v>
      </c>
      <c r="E4224" t="s">
        <v>8353</v>
      </c>
      <c r="F4224" t="s">
        <v>369</v>
      </c>
      <c r="G4224" t="s">
        <v>17</v>
      </c>
      <c r="I4224" t="b">
        <v>1</v>
      </c>
      <c r="J4224" t="b">
        <v>1</v>
      </c>
      <c r="L4224" t="b">
        <v>1</v>
      </c>
      <c r="M4224" t="str">
        <f>HYPERLINK("https://arizona.app.box.com/file/389152074472")</f>
        <v>https://arizona.app.box.com/file/389152074472</v>
      </c>
      <c r="N4224" t="str">
        <f>HYPERLINK("https://arizona.app.box.com/file/389151099090")</f>
        <v>https://arizona.app.box.com/file/389151099090</v>
      </c>
    </row>
    <row r="4225" spans="1:25" x14ac:dyDescent="0.2">
      <c r="A4225">
        <v>2942</v>
      </c>
      <c r="B4225" t="s">
        <v>8351</v>
      </c>
      <c r="C4225" t="s">
        <v>18</v>
      </c>
      <c r="D4225" t="s">
        <v>8354</v>
      </c>
      <c r="E4225" t="s">
        <v>8355</v>
      </c>
      <c r="F4225" t="s">
        <v>369</v>
      </c>
      <c r="G4225" t="s">
        <v>24</v>
      </c>
      <c r="I4225" t="b">
        <v>0</v>
      </c>
      <c r="J4225" t="b">
        <v>0</v>
      </c>
      <c r="L4225" t="b">
        <v>0</v>
      </c>
    </row>
    <row r="4226" spans="1:25" x14ac:dyDescent="0.2">
      <c r="A4226">
        <v>2943</v>
      </c>
      <c r="B4226" t="s">
        <v>8351</v>
      </c>
      <c r="C4226" t="s">
        <v>18</v>
      </c>
      <c r="D4226" t="s">
        <v>5769</v>
      </c>
      <c r="E4226" t="s">
        <v>5770</v>
      </c>
      <c r="F4226" t="s">
        <v>369</v>
      </c>
      <c r="G4226" t="s">
        <v>17</v>
      </c>
      <c r="I4226" t="b">
        <v>0</v>
      </c>
      <c r="J4226" t="b">
        <v>0</v>
      </c>
      <c r="L4226" t="b">
        <v>0</v>
      </c>
    </row>
    <row r="4227" spans="1:25" x14ac:dyDescent="0.2">
      <c r="A4227">
        <v>2944</v>
      </c>
      <c r="B4227" t="s">
        <v>8351</v>
      </c>
      <c r="C4227" t="s">
        <v>18</v>
      </c>
      <c r="D4227" t="s">
        <v>5771</v>
      </c>
      <c r="E4227" t="s">
        <v>5772</v>
      </c>
      <c r="F4227" t="s">
        <v>369</v>
      </c>
      <c r="G4227" t="s">
        <v>17</v>
      </c>
      <c r="I4227" t="b">
        <v>0</v>
      </c>
      <c r="J4227" t="b">
        <v>0</v>
      </c>
      <c r="L4227" t="b">
        <v>0</v>
      </c>
    </row>
    <row r="4228" spans="1:25" x14ac:dyDescent="0.2">
      <c r="A4228">
        <v>2945</v>
      </c>
      <c r="B4228" t="s">
        <v>8351</v>
      </c>
      <c r="C4228" t="s">
        <v>18</v>
      </c>
      <c r="D4228" t="s">
        <v>3212</v>
      </c>
      <c r="E4228" t="s">
        <v>3213</v>
      </c>
      <c r="F4228" t="s">
        <v>369</v>
      </c>
      <c r="G4228" t="s">
        <v>24</v>
      </c>
      <c r="I4228" t="b">
        <v>0</v>
      </c>
      <c r="J4228" t="b">
        <v>0</v>
      </c>
      <c r="L4228" t="b">
        <v>0</v>
      </c>
      <c r="M4228" t="str">
        <f>HYPERLINK("https://arizona.app.box.com/file/386246527293")</f>
        <v>https://arizona.app.box.com/file/386246527293</v>
      </c>
      <c r="N4228" t="str">
        <f>HYPERLINK("https://arizona.app.box.com/file/386241113911")</f>
        <v>https://arizona.app.box.com/file/386241113911</v>
      </c>
    </row>
    <row r="4230" spans="1:25" x14ac:dyDescent="0.2">
      <c r="A4230" s="2">
        <v>7567</v>
      </c>
      <c r="B4230" s="2" t="s">
        <v>8356</v>
      </c>
      <c r="C4230" s="2" t="s">
        <v>13</v>
      </c>
      <c r="D4230" s="2" t="s">
        <v>8357</v>
      </c>
      <c r="E4230" s="2" t="s">
        <v>8358</v>
      </c>
      <c r="F4230" s="2" t="s">
        <v>264</v>
      </c>
      <c r="G4230" s="2" t="s">
        <v>62</v>
      </c>
      <c r="H4230" s="2"/>
      <c r="I4230" s="2"/>
      <c r="J4230" s="2"/>
      <c r="K4230" s="2"/>
      <c r="L4230" s="2"/>
      <c r="M4230" s="2"/>
      <c r="N4230" s="2"/>
      <c r="O4230" s="2"/>
      <c r="P4230" s="2"/>
      <c r="Q4230" s="2"/>
      <c r="R4230" s="2"/>
      <c r="S4230" s="2"/>
      <c r="T4230" s="2"/>
      <c r="U4230" s="2"/>
      <c r="V4230" s="2"/>
      <c r="W4230" s="2"/>
      <c r="X4230" s="2"/>
      <c r="Y4230" s="2"/>
    </row>
    <row r="4231" spans="1:25" x14ac:dyDescent="0.2">
      <c r="A4231">
        <v>7568</v>
      </c>
      <c r="B4231" t="s">
        <v>8356</v>
      </c>
      <c r="C4231" t="s">
        <v>18</v>
      </c>
      <c r="D4231" t="s">
        <v>8357</v>
      </c>
      <c r="E4231" t="s">
        <v>8358</v>
      </c>
      <c r="F4231" t="s">
        <v>264</v>
      </c>
      <c r="G4231" t="s">
        <v>62</v>
      </c>
      <c r="I4231" t="b">
        <v>1</v>
      </c>
      <c r="J4231" t="b">
        <v>1</v>
      </c>
      <c r="L4231" t="b">
        <v>1</v>
      </c>
      <c r="M4231" t="str">
        <f>HYPERLINK("https://arizona.app.box.com/file/386245657810")</f>
        <v>https://arizona.app.box.com/file/386245657810</v>
      </c>
      <c r="N4231" t="str">
        <f>HYPERLINK("https://arizona.app.box.com/file/386247728066")</f>
        <v>https://arizona.app.box.com/file/386247728066</v>
      </c>
    </row>
    <row r="4232" spans="1:25" x14ac:dyDescent="0.2">
      <c r="A4232">
        <v>7569</v>
      </c>
      <c r="B4232" t="s">
        <v>8356</v>
      </c>
      <c r="C4232" t="s">
        <v>18</v>
      </c>
      <c r="D4232" t="s">
        <v>8359</v>
      </c>
      <c r="E4232" t="s">
        <v>8360</v>
      </c>
      <c r="F4232" t="s">
        <v>264</v>
      </c>
      <c r="G4232" t="s">
        <v>62</v>
      </c>
      <c r="I4232" t="b">
        <v>0</v>
      </c>
      <c r="J4232" t="b">
        <v>0</v>
      </c>
      <c r="L4232" t="b">
        <v>0</v>
      </c>
    </row>
    <row r="4233" spans="1:25" x14ac:dyDescent="0.2">
      <c r="A4233">
        <v>7570</v>
      </c>
      <c r="B4233" t="s">
        <v>8356</v>
      </c>
      <c r="C4233" t="s">
        <v>18</v>
      </c>
      <c r="D4233" t="s">
        <v>8361</v>
      </c>
      <c r="E4233" t="s">
        <v>8362</v>
      </c>
      <c r="F4233" t="s">
        <v>264</v>
      </c>
      <c r="G4233" t="s">
        <v>62</v>
      </c>
      <c r="I4233" t="b">
        <v>0</v>
      </c>
      <c r="J4233" t="b">
        <v>0</v>
      </c>
      <c r="L4233" t="b">
        <v>0</v>
      </c>
      <c r="M4233" t="str">
        <f>HYPERLINK("https://arizona.app.box.com/file/386244435105")</f>
        <v>https://arizona.app.box.com/file/386244435105</v>
      </c>
    </row>
    <row r="4234" spans="1:25" x14ac:dyDescent="0.2">
      <c r="A4234">
        <v>7571</v>
      </c>
      <c r="B4234" t="s">
        <v>8356</v>
      </c>
      <c r="C4234" t="s">
        <v>18</v>
      </c>
      <c r="D4234" t="s">
        <v>8363</v>
      </c>
      <c r="E4234" t="s">
        <v>1638</v>
      </c>
      <c r="F4234" t="s">
        <v>264</v>
      </c>
      <c r="G4234" t="s">
        <v>62</v>
      </c>
      <c r="I4234" t="b">
        <v>0</v>
      </c>
      <c r="J4234" t="b">
        <v>0</v>
      </c>
      <c r="L4234" t="b">
        <v>0</v>
      </c>
      <c r="M4234" t="str">
        <f>HYPERLINK("https://arizona.app.box.com/file/386244166208")</f>
        <v>https://arizona.app.box.com/file/386244166208</v>
      </c>
    </row>
    <row r="4235" spans="1:25" x14ac:dyDescent="0.2">
      <c r="A4235">
        <v>7572</v>
      </c>
      <c r="B4235" t="s">
        <v>8356</v>
      </c>
      <c r="C4235" t="s">
        <v>18</v>
      </c>
      <c r="D4235" t="s">
        <v>8364</v>
      </c>
      <c r="E4235" t="s">
        <v>8365</v>
      </c>
      <c r="F4235" t="s">
        <v>264</v>
      </c>
      <c r="G4235" t="s">
        <v>88</v>
      </c>
      <c r="I4235" t="b">
        <v>0</v>
      </c>
      <c r="J4235" t="b">
        <v>0</v>
      </c>
      <c r="L4235" t="b">
        <v>0</v>
      </c>
    </row>
    <row r="4237" spans="1:25" x14ac:dyDescent="0.2">
      <c r="A4237" s="2">
        <v>4620</v>
      </c>
      <c r="B4237" s="2" t="s">
        <v>8366</v>
      </c>
      <c r="C4237" s="2" t="s">
        <v>13</v>
      </c>
      <c r="D4237" s="2" t="s">
        <v>8367</v>
      </c>
      <c r="E4237" s="2" t="s">
        <v>8368</v>
      </c>
      <c r="F4237" s="2" t="s">
        <v>1010</v>
      </c>
      <c r="G4237" s="2" t="s">
        <v>193</v>
      </c>
      <c r="H4237" s="2"/>
      <c r="I4237" s="2"/>
      <c r="J4237" s="2"/>
      <c r="K4237" s="2"/>
      <c r="L4237" s="2"/>
      <c r="M4237" s="2"/>
      <c r="N4237" s="2"/>
      <c r="O4237" s="2"/>
      <c r="P4237" s="2"/>
      <c r="Q4237" s="2"/>
      <c r="R4237" s="2"/>
      <c r="S4237" s="2"/>
      <c r="T4237" s="2"/>
      <c r="U4237" s="2"/>
      <c r="V4237" s="2"/>
      <c r="W4237" s="2"/>
      <c r="X4237" s="2"/>
      <c r="Y4237" s="2"/>
    </row>
    <row r="4238" spans="1:25" x14ac:dyDescent="0.2">
      <c r="A4238">
        <v>4621</v>
      </c>
      <c r="B4238" t="s">
        <v>8366</v>
      </c>
      <c r="C4238" t="s">
        <v>18</v>
      </c>
      <c r="D4238" t="s">
        <v>8367</v>
      </c>
      <c r="E4238" t="s">
        <v>8368</v>
      </c>
      <c r="F4238" t="s">
        <v>1010</v>
      </c>
      <c r="G4238" t="s">
        <v>193</v>
      </c>
      <c r="I4238" t="b">
        <v>1</v>
      </c>
      <c r="J4238" t="b">
        <v>1</v>
      </c>
      <c r="L4238" t="b">
        <v>1</v>
      </c>
      <c r="M4238" t="str">
        <f>HYPERLINK("https://arizona.app.box.com/file/386240243765")</f>
        <v>https://arizona.app.box.com/file/386240243765</v>
      </c>
      <c r="N4238" t="str">
        <f>HYPERLINK("https://arizona.app.box.com/file/386242481944")</f>
        <v>https://arizona.app.box.com/file/386242481944</v>
      </c>
    </row>
    <row r="4239" spans="1:25" x14ac:dyDescent="0.2">
      <c r="A4239">
        <v>4622</v>
      </c>
      <c r="B4239" t="s">
        <v>8366</v>
      </c>
      <c r="C4239" t="s">
        <v>18</v>
      </c>
      <c r="D4239" t="s">
        <v>8369</v>
      </c>
      <c r="E4239" t="s">
        <v>8370</v>
      </c>
      <c r="F4239" t="s">
        <v>1010</v>
      </c>
      <c r="G4239" t="s">
        <v>62</v>
      </c>
      <c r="I4239" t="b">
        <v>0</v>
      </c>
      <c r="J4239" t="b">
        <v>0</v>
      </c>
      <c r="L4239" t="b">
        <v>0</v>
      </c>
    </row>
    <row r="4240" spans="1:25" x14ac:dyDescent="0.2">
      <c r="A4240">
        <v>4623</v>
      </c>
      <c r="B4240" t="s">
        <v>8366</v>
      </c>
      <c r="C4240" t="s">
        <v>18</v>
      </c>
      <c r="D4240" t="s">
        <v>8371</v>
      </c>
      <c r="E4240" t="s">
        <v>8372</v>
      </c>
      <c r="F4240" t="s">
        <v>670</v>
      </c>
      <c r="G4240" t="s">
        <v>24</v>
      </c>
      <c r="I4240" t="b">
        <v>0</v>
      </c>
      <c r="J4240" t="b">
        <v>0</v>
      </c>
      <c r="L4240" t="b">
        <v>0</v>
      </c>
      <c r="M4240" t="str">
        <f>HYPERLINK("https://arizona.app.box.com/file/386237820036")</f>
        <v>https://arizona.app.box.com/file/386237820036</v>
      </c>
      <c r="N4240" t="str">
        <f>HYPERLINK("https://arizona.app.box.com/file/386241113911")</f>
        <v>https://arizona.app.box.com/file/386241113911</v>
      </c>
    </row>
    <row r="4241" spans="1:25" x14ac:dyDescent="0.2">
      <c r="A4241">
        <v>4624</v>
      </c>
      <c r="B4241" t="s">
        <v>8366</v>
      </c>
      <c r="C4241" t="s">
        <v>18</v>
      </c>
      <c r="D4241" t="s">
        <v>7392</v>
      </c>
      <c r="E4241" t="s">
        <v>6711</v>
      </c>
      <c r="F4241" t="s">
        <v>78</v>
      </c>
      <c r="G4241" t="s">
        <v>88</v>
      </c>
      <c r="I4241" t="b">
        <v>0</v>
      </c>
      <c r="J4241" t="b">
        <v>0</v>
      </c>
      <c r="L4241" t="b">
        <v>0</v>
      </c>
      <c r="M4241" t="str">
        <f>HYPERLINK("https://arizona.app.box.com/file/386244834245")</f>
        <v>https://arizona.app.box.com/file/386244834245</v>
      </c>
    </row>
    <row r="4242" spans="1:25" x14ac:dyDescent="0.2">
      <c r="A4242">
        <v>4625</v>
      </c>
      <c r="B4242" t="s">
        <v>8366</v>
      </c>
      <c r="C4242" t="s">
        <v>18</v>
      </c>
      <c r="D4242" t="s">
        <v>8373</v>
      </c>
      <c r="E4242" t="s">
        <v>3685</v>
      </c>
      <c r="F4242" t="s">
        <v>1010</v>
      </c>
      <c r="G4242" t="s">
        <v>62</v>
      </c>
      <c r="I4242" t="b">
        <v>0</v>
      </c>
      <c r="J4242" t="b">
        <v>0</v>
      </c>
      <c r="L4242" t="b">
        <v>0</v>
      </c>
      <c r="M4242" t="str">
        <f>HYPERLINK("https://arizona.app.box.com/file/386240317223")</f>
        <v>https://arizona.app.box.com/file/386240317223</v>
      </c>
    </row>
    <row r="4244" spans="1:25" x14ac:dyDescent="0.2">
      <c r="A4244" s="2">
        <v>4753</v>
      </c>
      <c r="B4244" s="2" t="s">
        <v>8374</v>
      </c>
      <c r="C4244" s="2" t="s">
        <v>13</v>
      </c>
      <c r="D4244" s="2" t="s">
        <v>8375</v>
      </c>
      <c r="E4244" s="2" t="s">
        <v>8376</v>
      </c>
      <c r="F4244" s="2" t="s">
        <v>159</v>
      </c>
      <c r="G4244" s="2" t="s">
        <v>24</v>
      </c>
      <c r="H4244" s="2"/>
      <c r="I4244" s="2"/>
      <c r="J4244" s="2"/>
      <c r="K4244" s="2"/>
      <c r="L4244" s="2"/>
      <c r="M4244" s="2"/>
      <c r="N4244" s="2"/>
      <c r="O4244" s="2"/>
      <c r="P4244" s="2"/>
      <c r="Q4244" s="2"/>
      <c r="R4244" s="2"/>
      <c r="S4244" s="2"/>
      <c r="T4244" s="2"/>
      <c r="U4244" s="2"/>
      <c r="V4244" s="2"/>
      <c r="W4244" s="2"/>
      <c r="X4244" s="2"/>
      <c r="Y4244" s="2"/>
    </row>
    <row r="4245" spans="1:25" x14ac:dyDescent="0.2">
      <c r="A4245">
        <v>4754</v>
      </c>
      <c r="B4245" t="s">
        <v>8374</v>
      </c>
      <c r="C4245" t="s">
        <v>18</v>
      </c>
      <c r="D4245" t="s">
        <v>8377</v>
      </c>
      <c r="E4245" t="s">
        <v>381</v>
      </c>
      <c r="F4245" t="s">
        <v>159</v>
      </c>
      <c r="G4245" t="s">
        <v>24</v>
      </c>
      <c r="I4245" t="b">
        <v>1</v>
      </c>
      <c r="J4245" t="b">
        <v>1</v>
      </c>
      <c r="L4245" t="b">
        <v>1</v>
      </c>
      <c r="M4245" t="str">
        <f>HYPERLINK("https://arizona.app.box.com/file/389172268888")</f>
        <v>https://arizona.app.box.com/file/389172268888</v>
      </c>
    </row>
    <row r="4246" spans="1:25" x14ac:dyDescent="0.2">
      <c r="A4246">
        <v>4755</v>
      </c>
      <c r="B4246" t="s">
        <v>8374</v>
      </c>
      <c r="C4246" t="s">
        <v>18</v>
      </c>
      <c r="D4246" t="s">
        <v>8378</v>
      </c>
      <c r="E4246" t="s">
        <v>6017</v>
      </c>
      <c r="F4246" t="s">
        <v>151</v>
      </c>
      <c r="G4246" t="s">
        <v>24</v>
      </c>
      <c r="I4246" t="b">
        <v>1</v>
      </c>
      <c r="J4246" t="b">
        <v>1</v>
      </c>
      <c r="L4246" t="b">
        <v>1</v>
      </c>
      <c r="M4246" t="str">
        <f>HYPERLINK("https://arizona.app.box.com/file/389268029422")</f>
        <v>https://arizona.app.box.com/file/389268029422</v>
      </c>
      <c r="N4246" t="str">
        <f>HYPERLINK("https://arizona.app.box.com/file/389153913585")</f>
        <v>https://arizona.app.box.com/file/389153913585</v>
      </c>
    </row>
    <row r="4247" spans="1:25" x14ac:dyDescent="0.2">
      <c r="A4247">
        <v>4756</v>
      </c>
      <c r="B4247" t="s">
        <v>8374</v>
      </c>
      <c r="C4247" t="s">
        <v>18</v>
      </c>
      <c r="D4247" t="s">
        <v>1824</v>
      </c>
      <c r="E4247" t="s">
        <v>381</v>
      </c>
      <c r="F4247" t="s">
        <v>159</v>
      </c>
      <c r="G4247" t="s">
        <v>24</v>
      </c>
      <c r="I4247" t="b">
        <v>0</v>
      </c>
      <c r="J4247" t="b">
        <v>0</v>
      </c>
      <c r="L4247" t="b">
        <v>0</v>
      </c>
      <c r="M4247" t="str">
        <f>HYPERLINK("https://arizona.app.box.com/file/389168655793")</f>
        <v>https://arizona.app.box.com/file/389168655793</v>
      </c>
    </row>
    <row r="4248" spans="1:25" x14ac:dyDescent="0.2">
      <c r="A4248">
        <v>4757</v>
      </c>
      <c r="B4248" t="s">
        <v>8374</v>
      </c>
      <c r="C4248" t="s">
        <v>18</v>
      </c>
      <c r="D4248" t="s">
        <v>1826</v>
      </c>
      <c r="E4248" t="s">
        <v>381</v>
      </c>
      <c r="F4248" t="s">
        <v>174</v>
      </c>
      <c r="G4248" t="s">
        <v>24</v>
      </c>
      <c r="I4248" t="b">
        <v>0</v>
      </c>
      <c r="J4248" t="b">
        <v>0</v>
      </c>
      <c r="L4248" t="b">
        <v>0</v>
      </c>
      <c r="M4248" t="str">
        <f>HYPERLINK("https://arizona.app.box.com/file/389153263907")</f>
        <v>https://arizona.app.box.com/file/389153263907</v>
      </c>
      <c r="N4248" t="str">
        <f>HYPERLINK("https://arizona.app.box.com/file/386211877715")</f>
        <v>https://arizona.app.box.com/file/386211877715</v>
      </c>
    </row>
    <row r="4249" spans="1:25" x14ac:dyDescent="0.2">
      <c r="A4249">
        <v>4758</v>
      </c>
      <c r="B4249" t="s">
        <v>8374</v>
      </c>
      <c r="C4249" t="s">
        <v>18</v>
      </c>
      <c r="D4249" t="s">
        <v>8379</v>
      </c>
      <c r="E4249" t="s">
        <v>8380</v>
      </c>
      <c r="F4249" t="s">
        <v>159</v>
      </c>
      <c r="G4249" t="s">
        <v>24</v>
      </c>
      <c r="I4249" t="b">
        <v>0</v>
      </c>
      <c r="J4249" t="b">
        <v>0</v>
      </c>
      <c r="L4249" t="b">
        <v>0</v>
      </c>
      <c r="M4249" t="str">
        <f>HYPERLINK("https://arizona.app.box.com/file/389165762442")</f>
        <v>https://arizona.app.box.com/file/389165762442</v>
      </c>
      <c r="N4249" t="str">
        <f>HYPERLINK("https://arizona.app.box.com/file/386239482082")</f>
        <v>https://arizona.app.box.com/file/386239482082</v>
      </c>
    </row>
    <row r="4251" spans="1:25" x14ac:dyDescent="0.2">
      <c r="A4251" s="2">
        <v>4683</v>
      </c>
      <c r="B4251" s="2" t="s">
        <v>8381</v>
      </c>
      <c r="C4251" s="2" t="s">
        <v>13</v>
      </c>
      <c r="D4251" s="2" t="s">
        <v>4265</v>
      </c>
      <c r="E4251" s="2" t="s">
        <v>8382</v>
      </c>
      <c r="F4251" s="2" t="s">
        <v>78</v>
      </c>
      <c r="G4251" s="2" t="s">
        <v>88</v>
      </c>
      <c r="H4251" s="2"/>
      <c r="I4251" s="2"/>
      <c r="J4251" s="2"/>
      <c r="K4251" s="2"/>
      <c r="L4251" s="2"/>
      <c r="M4251" s="2"/>
      <c r="N4251" s="2"/>
      <c r="O4251" s="2"/>
      <c r="P4251" s="2"/>
      <c r="Q4251" s="2"/>
      <c r="R4251" s="2"/>
      <c r="S4251" s="2"/>
      <c r="T4251" s="2"/>
      <c r="U4251" s="2"/>
      <c r="V4251" s="2"/>
      <c r="W4251" s="2"/>
      <c r="X4251" s="2"/>
      <c r="Y4251" s="2"/>
    </row>
    <row r="4252" spans="1:25" x14ac:dyDescent="0.2">
      <c r="A4252">
        <v>4684</v>
      </c>
      <c r="B4252" t="s">
        <v>8381</v>
      </c>
      <c r="C4252" t="s">
        <v>18</v>
      </c>
      <c r="D4252" t="s">
        <v>4265</v>
      </c>
      <c r="E4252" t="s">
        <v>4266</v>
      </c>
      <c r="F4252" t="s">
        <v>78</v>
      </c>
      <c r="G4252" t="s">
        <v>88</v>
      </c>
      <c r="I4252" t="b">
        <v>1</v>
      </c>
      <c r="J4252" t="b">
        <v>1</v>
      </c>
      <c r="L4252" t="b">
        <v>1</v>
      </c>
      <c r="M4252" t="str">
        <f>HYPERLINK("https://arizona.app.box.com/file/386265398674")</f>
        <v>https://arizona.app.box.com/file/386265398674</v>
      </c>
    </row>
    <row r="4253" spans="1:25" x14ac:dyDescent="0.2">
      <c r="A4253">
        <v>4685</v>
      </c>
      <c r="B4253" t="s">
        <v>8381</v>
      </c>
      <c r="C4253" t="s">
        <v>18</v>
      </c>
      <c r="D4253" t="s">
        <v>4262</v>
      </c>
      <c r="E4253" t="s">
        <v>4263</v>
      </c>
      <c r="F4253" t="s">
        <v>78</v>
      </c>
      <c r="G4253" t="s">
        <v>88</v>
      </c>
      <c r="I4253" t="b">
        <v>1</v>
      </c>
      <c r="J4253" t="b">
        <v>1</v>
      </c>
      <c r="L4253" t="b">
        <v>1</v>
      </c>
      <c r="M4253" t="str">
        <f>HYPERLINK("https://arizona.app.box.com/file/386265654452")</f>
        <v>https://arizona.app.box.com/file/386265654452</v>
      </c>
    </row>
    <row r="4254" spans="1:25" x14ac:dyDescent="0.2">
      <c r="A4254">
        <v>4686</v>
      </c>
      <c r="B4254" t="s">
        <v>8381</v>
      </c>
      <c r="C4254" t="s">
        <v>18</v>
      </c>
      <c r="D4254" t="s">
        <v>8383</v>
      </c>
      <c r="E4254" t="s">
        <v>8384</v>
      </c>
      <c r="F4254" t="s">
        <v>78</v>
      </c>
      <c r="G4254" t="s">
        <v>88</v>
      </c>
      <c r="I4254" t="b">
        <v>0</v>
      </c>
      <c r="J4254" t="b">
        <v>0</v>
      </c>
      <c r="L4254" t="b">
        <v>0</v>
      </c>
      <c r="M4254" t="str">
        <f>HYPERLINK("https://arizona.app.box.com/file/386252887500")</f>
        <v>https://arizona.app.box.com/file/386252887500</v>
      </c>
    </row>
    <row r="4255" spans="1:25" x14ac:dyDescent="0.2">
      <c r="A4255">
        <v>4687</v>
      </c>
      <c r="B4255" t="s">
        <v>8381</v>
      </c>
      <c r="C4255" t="s">
        <v>18</v>
      </c>
      <c r="D4255" t="s">
        <v>4255</v>
      </c>
      <c r="E4255" t="s">
        <v>4256</v>
      </c>
      <c r="F4255" t="s">
        <v>78</v>
      </c>
      <c r="G4255" t="s">
        <v>88</v>
      </c>
      <c r="I4255" t="b">
        <v>0</v>
      </c>
      <c r="J4255" t="b">
        <v>0</v>
      </c>
      <c r="L4255" t="b">
        <v>0</v>
      </c>
      <c r="M4255" t="str">
        <f>HYPERLINK("https://arizona.app.box.com/file/386268887625")</f>
        <v>https://arizona.app.box.com/file/386268887625</v>
      </c>
    </row>
    <row r="4256" spans="1:25" x14ac:dyDescent="0.2">
      <c r="A4256">
        <v>4688</v>
      </c>
      <c r="B4256" t="s">
        <v>8381</v>
      </c>
      <c r="C4256" t="s">
        <v>18</v>
      </c>
      <c r="D4256" t="s">
        <v>8385</v>
      </c>
      <c r="E4256" t="s">
        <v>8386</v>
      </c>
      <c r="F4256" t="s">
        <v>78</v>
      </c>
      <c r="G4256" t="s">
        <v>88</v>
      </c>
      <c r="I4256" t="b">
        <v>0</v>
      </c>
      <c r="J4256" t="b">
        <v>0</v>
      </c>
      <c r="L4256" t="b">
        <v>0</v>
      </c>
      <c r="M4256" t="str">
        <f>HYPERLINK("https://arizona.app.box.com/file/386241227789")</f>
        <v>https://arizona.app.box.com/file/386241227789</v>
      </c>
      <c r="N4256" t="str">
        <f>HYPERLINK("https://arizona.app.box.com/file/386232732218")</f>
        <v>https://arizona.app.box.com/file/386232732218</v>
      </c>
    </row>
    <row r="4258" spans="1:25" x14ac:dyDescent="0.2">
      <c r="A4258" s="2">
        <v>6055</v>
      </c>
      <c r="B4258" s="2" t="s">
        <v>8387</v>
      </c>
      <c r="C4258" s="2" t="s">
        <v>13</v>
      </c>
      <c r="D4258" s="2" t="s">
        <v>4700</v>
      </c>
      <c r="E4258" s="2" t="s">
        <v>8388</v>
      </c>
      <c r="F4258" s="2" t="s">
        <v>456</v>
      </c>
      <c r="G4258" s="2" t="s">
        <v>17</v>
      </c>
      <c r="H4258" s="2"/>
      <c r="I4258" s="2"/>
      <c r="J4258" s="2"/>
      <c r="K4258" s="2"/>
      <c r="L4258" s="2"/>
      <c r="M4258" s="2"/>
      <c r="N4258" s="2"/>
      <c r="O4258" s="2"/>
      <c r="P4258" s="2"/>
      <c r="Q4258" s="2"/>
      <c r="R4258" s="2"/>
      <c r="S4258" s="2"/>
      <c r="T4258" s="2"/>
      <c r="U4258" s="2"/>
      <c r="V4258" s="2"/>
      <c r="W4258" s="2"/>
      <c r="X4258" s="2"/>
      <c r="Y4258" s="2"/>
    </row>
    <row r="4259" spans="1:25" x14ac:dyDescent="0.2">
      <c r="A4259">
        <v>6056</v>
      </c>
      <c r="B4259" t="s">
        <v>8387</v>
      </c>
      <c r="C4259" t="s">
        <v>18</v>
      </c>
      <c r="D4259" t="s">
        <v>4700</v>
      </c>
      <c r="E4259" t="s">
        <v>4701</v>
      </c>
      <c r="F4259" t="s">
        <v>456</v>
      </c>
      <c r="G4259" t="s">
        <v>17</v>
      </c>
      <c r="I4259" t="b">
        <v>1</v>
      </c>
      <c r="J4259" t="b">
        <v>1</v>
      </c>
      <c r="L4259" t="b">
        <v>1</v>
      </c>
      <c r="M4259" t="str">
        <f>HYPERLINK("https://arizona.app.box.com/file/389266167769")</f>
        <v>https://arizona.app.box.com/file/389266167769</v>
      </c>
      <c r="N4259" t="str">
        <f>HYPERLINK("https://arizona.app.box.com/file/389152421305")</f>
        <v>https://arizona.app.box.com/file/389152421305</v>
      </c>
    </row>
    <row r="4260" spans="1:25" x14ac:dyDescent="0.2">
      <c r="A4260">
        <v>6057</v>
      </c>
      <c r="B4260" t="s">
        <v>8387</v>
      </c>
      <c r="C4260" t="s">
        <v>18</v>
      </c>
      <c r="D4260" t="s">
        <v>7286</v>
      </c>
      <c r="E4260" t="s">
        <v>2886</v>
      </c>
      <c r="F4260" t="s">
        <v>87</v>
      </c>
      <c r="G4260" t="s">
        <v>17</v>
      </c>
      <c r="I4260" t="b">
        <v>0</v>
      </c>
      <c r="J4260" t="b">
        <v>0</v>
      </c>
      <c r="L4260" t="b">
        <v>0</v>
      </c>
      <c r="M4260" t="str">
        <f>HYPERLINK("https://arizona.app.box.com/file/389264692613")</f>
        <v>https://arizona.app.box.com/file/389264692613</v>
      </c>
      <c r="N4260" t="str">
        <f>HYPERLINK("https://arizona.app.box.com/file/389172195331")</f>
        <v>https://arizona.app.box.com/file/389172195331</v>
      </c>
    </row>
    <row r="4261" spans="1:25" x14ac:dyDescent="0.2">
      <c r="A4261">
        <v>6058</v>
      </c>
      <c r="B4261" t="s">
        <v>8387</v>
      </c>
      <c r="C4261" t="s">
        <v>18</v>
      </c>
      <c r="D4261" t="s">
        <v>4697</v>
      </c>
      <c r="E4261" t="s">
        <v>595</v>
      </c>
      <c r="F4261" t="s">
        <v>168</v>
      </c>
      <c r="G4261" t="s">
        <v>17</v>
      </c>
      <c r="I4261" t="b">
        <v>0</v>
      </c>
      <c r="J4261" t="b">
        <v>0</v>
      </c>
      <c r="L4261" t="b">
        <v>0</v>
      </c>
      <c r="M4261" t="str">
        <f>HYPERLINK("https://arizona.app.box.com/file/389161238717")</f>
        <v>https://arizona.app.box.com/file/389161238717</v>
      </c>
    </row>
    <row r="4262" spans="1:25" x14ac:dyDescent="0.2">
      <c r="A4262">
        <v>6059</v>
      </c>
      <c r="B4262" t="s">
        <v>8387</v>
      </c>
      <c r="C4262" t="s">
        <v>18</v>
      </c>
      <c r="D4262" t="s">
        <v>4704</v>
      </c>
      <c r="E4262" t="s">
        <v>4705</v>
      </c>
      <c r="F4262" t="s">
        <v>205</v>
      </c>
      <c r="G4262" t="s">
        <v>17</v>
      </c>
      <c r="I4262" t="b">
        <v>0</v>
      </c>
      <c r="J4262" t="b">
        <v>0</v>
      </c>
      <c r="L4262" t="b">
        <v>0</v>
      </c>
      <c r="M4262" t="str">
        <f>HYPERLINK("https://arizona.app.box.com/file/389160143159")</f>
        <v>https://arizona.app.box.com/file/389160143159</v>
      </c>
      <c r="N4262" t="str">
        <f>HYPERLINK("https://arizona.app.box.com/file/386241113911")</f>
        <v>https://arizona.app.box.com/file/386241113911</v>
      </c>
    </row>
    <row r="4263" spans="1:25" x14ac:dyDescent="0.2">
      <c r="A4263">
        <v>6060</v>
      </c>
      <c r="B4263" t="s">
        <v>8387</v>
      </c>
      <c r="C4263" t="s">
        <v>18</v>
      </c>
      <c r="D4263" t="s">
        <v>8389</v>
      </c>
      <c r="E4263" t="s">
        <v>8390</v>
      </c>
      <c r="F4263" t="s">
        <v>264</v>
      </c>
      <c r="G4263" t="s">
        <v>17</v>
      </c>
      <c r="I4263" t="b">
        <v>0</v>
      </c>
      <c r="J4263" t="b">
        <v>0</v>
      </c>
      <c r="L4263" t="b">
        <v>0</v>
      </c>
      <c r="M4263" t="str">
        <f>HYPERLINK("https://arizona.app.box.com/file/389162131350")</f>
        <v>https://arizona.app.box.com/file/389162131350</v>
      </c>
    </row>
    <row r="4265" spans="1:25" x14ac:dyDescent="0.2">
      <c r="A4265" s="2">
        <v>7539</v>
      </c>
      <c r="B4265" s="2" t="s">
        <v>8391</v>
      </c>
      <c r="C4265" s="2" t="s">
        <v>13</v>
      </c>
      <c r="D4265" s="2" t="s">
        <v>8392</v>
      </c>
      <c r="E4265" s="2" t="s">
        <v>8393</v>
      </c>
      <c r="F4265" s="2" t="s">
        <v>205</v>
      </c>
      <c r="G4265" s="2" t="s">
        <v>62</v>
      </c>
      <c r="H4265" s="2"/>
      <c r="I4265" s="2"/>
      <c r="J4265" s="2"/>
      <c r="K4265" s="2"/>
      <c r="L4265" s="2"/>
      <c r="M4265" s="2"/>
      <c r="N4265" s="2"/>
      <c r="O4265" s="2"/>
      <c r="P4265" s="2"/>
      <c r="Q4265" s="2"/>
      <c r="R4265" s="2"/>
      <c r="S4265" s="2"/>
      <c r="T4265" s="2"/>
      <c r="U4265" s="2"/>
      <c r="V4265" s="2"/>
      <c r="W4265" s="2"/>
      <c r="X4265" s="2"/>
      <c r="Y4265" s="2"/>
    </row>
    <row r="4266" spans="1:25" x14ac:dyDescent="0.2">
      <c r="A4266">
        <v>7540</v>
      </c>
      <c r="B4266" t="s">
        <v>8391</v>
      </c>
      <c r="C4266" t="s">
        <v>18</v>
      </c>
      <c r="D4266" t="s">
        <v>8394</v>
      </c>
      <c r="E4266" t="s">
        <v>6653</v>
      </c>
      <c r="F4266" t="s">
        <v>205</v>
      </c>
      <c r="G4266" t="s">
        <v>62</v>
      </c>
      <c r="I4266" t="b">
        <v>1</v>
      </c>
      <c r="J4266" t="b">
        <v>1</v>
      </c>
      <c r="L4266" t="b">
        <v>1</v>
      </c>
      <c r="M4266" t="str">
        <f>HYPERLINK("https://arizona.app.box.com/file/389266652667")</f>
        <v>https://arizona.app.box.com/file/389266652667</v>
      </c>
      <c r="N4266" t="str">
        <f>HYPERLINK("https://arizona.app.box.com/file/389164199892")</f>
        <v>https://arizona.app.box.com/file/389164199892</v>
      </c>
    </row>
    <row r="4267" spans="1:25" x14ac:dyDescent="0.2">
      <c r="A4267">
        <v>7541</v>
      </c>
      <c r="B4267" t="s">
        <v>8391</v>
      </c>
      <c r="C4267" t="s">
        <v>18</v>
      </c>
      <c r="D4267" t="s">
        <v>404</v>
      </c>
      <c r="E4267" t="s">
        <v>405</v>
      </c>
      <c r="F4267" t="s">
        <v>205</v>
      </c>
      <c r="G4267" t="s">
        <v>62</v>
      </c>
      <c r="I4267" t="b">
        <v>0</v>
      </c>
      <c r="J4267" t="b">
        <v>0</v>
      </c>
      <c r="L4267" t="b">
        <v>0</v>
      </c>
      <c r="M4267" t="str">
        <f>HYPERLINK("https://arizona.app.box.com/file/389177317029")</f>
        <v>https://arizona.app.box.com/file/389177317029</v>
      </c>
      <c r="N4267" t="str">
        <f>HYPERLINK("https://arizona.app.box.com/file/386241388208")</f>
        <v>https://arizona.app.box.com/file/386241388208</v>
      </c>
    </row>
    <row r="4268" spans="1:25" x14ac:dyDescent="0.2">
      <c r="A4268">
        <v>7542</v>
      </c>
      <c r="B4268" t="s">
        <v>8391</v>
      </c>
      <c r="C4268" t="s">
        <v>18</v>
      </c>
      <c r="D4268" t="s">
        <v>8395</v>
      </c>
      <c r="E4268" t="s">
        <v>7277</v>
      </c>
      <c r="F4268" t="s">
        <v>196</v>
      </c>
      <c r="G4268" t="s">
        <v>62</v>
      </c>
      <c r="I4268" t="b">
        <v>0</v>
      </c>
      <c r="J4268" t="b">
        <v>0</v>
      </c>
      <c r="L4268" t="b">
        <v>0</v>
      </c>
    </row>
    <row r="4269" spans="1:25" x14ac:dyDescent="0.2">
      <c r="A4269">
        <v>7543</v>
      </c>
      <c r="B4269" t="s">
        <v>8391</v>
      </c>
      <c r="C4269" t="s">
        <v>18</v>
      </c>
      <c r="D4269" t="s">
        <v>8396</v>
      </c>
      <c r="E4269" t="s">
        <v>8397</v>
      </c>
      <c r="F4269" t="s">
        <v>6514</v>
      </c>
      <c r="G4269" t="s">
        <v>62</v>
      </c>
      <c r="I4269" t="b">
        <v>0</v>
      </c>
      <c r="J4269" t="b">
        <v>0</v>
      </c>
      <c r="L4269" t="b">
        <v>0</v>
      </c>
    </row>
    <row r="4270" spans="1:25" x14ac:dyDescent="0.2">
      <c r="A4270">
        <v>7544</v>
      </c>
      <c r="B4270" t="s">
        <v>8391</v>
      </c>
      <c r="C4270" t="s">
        <v>18</v>
      </c>
      <c r="D4270" t="s">
        <v>8398</v>
      </c>
      <c r="E4270" t="s">
        <v>8399</v>
      </c>
      <c r="F4270" t="s">
        <v>6514</v>
      </c>
      <c r="G4270" t="s">
        <v>62</v>
      </c>
      <c r="I4270" t="b">
        <v>0</v>
      </c>
      <c r="J4270" t="b">
        <v>0</v>
      </c>
      <c r="L4270" t="b">
        <v>0</v>
      </c>
    </row>
    <row r="4272" spans="1:25" x14ac:dyDescent="0.2">
      <c r="A4272" s="2">
        <v>3549</v>
      </c>
      <c r="B4272" s="2" t="s">
        <v>8400</v>
      </c>
      <c r="C4272" s="2" t="s">
        <v>13</v>
      </c>
      <c r="D4272" s="2" t="s">
        <v>8401</v>
      </c>
      <c r="E4272" s="2" t="s">
        <v>8402</v>
      </c>
      <c r="F4272" s="2" t="s">
        <v>78</v>
      </c>
      <c r="G4272" s="2" t="s">
        <v>62</v>
      </c>
      <c r="H4272" s="2"/>
      <c r="I4272" s="2"/>
      <c r="J4272" s="2"/>
      <c r="K4272" s="2"/>
      <c r="L4272" s="2"/>
      <c r="M4272" s="2"/>
      <c r="N4272" s="2"/>
      <c r="O4272" s="2"/>
      <c r="P4272" s="2"/>
      <c r="Q4272" s="2"/>
      <c r="R4272" s="2"/>
      <c r="S4272" s="2"/>
      <c r="T4272" s="2"/>
      <c r="U4272" s="2"/>
      <c r="V4272" s="2"/>
      <c r="W4272" s="2"/>
      <c r="X4272" s="2"/>
      <c r="Y4272" s="2"/>
    </row>
    <row r="4273" spans="1:25" x14ac:dyDescent="0.2">
      <c r="A4273">
        <v>3550</v>
      </c>
      <c r="B4273" t="s">
        <v>8400</v>
      </c>
      <c r="C4273" t="s">
        <v>18</v>
      </c>
      <c r="D4273" t="s">
        <v>8401</v>
      </c>
      <c r="E4273" t="s">
        <v>8402</v>
      </c>
      <c r="F4273" t="s">
        <v>78</v>
      </c>
      <c r="G4273" t="s">
        <v>62</v>
      </c>
      <c r="I4273" t="b">
        <v>1</v>
      </c>
      <c r="J4273" t="b">
        <v>1</v>
      </c>
      <c r="L4273" t="b">
        <v>1</v>
      </c>
      <c r="M4273" t="str">
        <f>HYPERLINK("https://arizona.app.box.com/file/386249206949")</f>
        <v>https://arizona.app.box.com/file/386249206949</v>
      </c>
      <c r="N4273" t="str">
        <f>HYPERLINK("https://arizona.app.box.com/file/386256015217")</f>
        <v>https://arizona.app.box.com/file/386256015217</v>
      </c>
    </row>
    <row r="4274" spans="1:25" x14ac:dyDescent="0.2">
      <c r="A4274">
        <v>3551</v>
      </c>
      <c r="B4274" t="s">
        <v>8400</v>
      </c>
      <c r="C4274" t="s">
        <v>18</v>
      </c>
      <c r="D4274" t="s">
        <v>8403</v>
      </c>
      <c r="E4274" t="s">
        <v>8404</v>
      </c>
      <c r="F4274" t="s">
        <v>78</v>
      </c>
      <c r="G4274" t="s">
        <v>62</v>
      </c>
      <c r="I4274" t="b">
        <v>0</v>
      </c>
      <c r="J4274" t="b">
        <v>0</v>
      </c>
      <c r="L4274" t="b">
        <v>0</v>
      </c>
      <c r="M4274" t="str">
        <f>HYPERLINK("https://arizona.app.box.com/file/386251820095")</f>
        <v>https://arizona.app.box.com/file/386251820095</v>
      </c>
      <c r="N4274" t="str">
        <f>HYPERLINK("https://arizona.app.box.com/file/386229300131")</f>
        <v>https://arizona.app.box.com/file/386229300131</v>
      </c>
    </row>
    <row r="4275" spans="1:25" x14ac:dyDescent="0.2">
      <c r="A4275">
        <v>3552</v>
      </c>
      <c r="B4275" t="s">
        <v>8400</v>
      </c>
      <c r="C4275" t="s">
        <v>18</v>
      </c>
      <c r="D4275" t="s">
        <v>8405</v>
      </c>
      <c r="E4275" t="s">
        <v>8406</v>
      </c>
      <c r="F4275" t="s">
        <v>78</v>
      </c>
      <c r="G4275" t="s">
        <v>62</v>
      </c>
      <c r="I4275" t="b">
        <v>0</v>
      </c>
      <c r="J4275" t="b">
        <v>0</v>
      </c>
      <c r="L4275" t="b">
        <v>0</v>
      </c>
      <c r="M4275" t="str">
        <f>HYPERLINK("https://arizona.app.box.com/file/386228278953")</f>
        <v>https://arizona.app.box.com/file/386228278953</v>
      </c>
    </row>
    <row r="4276" spans="1:25" x14ac:dyDescent="0.2">
      <c r="A4276">
        <v>3553</v>
      </c>
      <c r="B4276" t="s">
        <v>8400</v>
      </c>
      <c r="C4276" t="s">
        <v>18</v>
      </c>
      <c r="D4276" t="s">
        <v>8407</v>
      </c>
      <c r="E4276" t="s">
        <v>3029</v>
      </c>
      <c r="F4276" t="s">
        <v>78</v>
      </c>
      <c r="G4276" t="s">
        <v>62</v>
      </c>
      <c r="I4276" t="b">
        <v>0</v>
      </c>
      <c r="J4276" t="b">
        <v>0</v>
      </c>
      <c r="L4276" t="b">
        <v>0</v>
      </c>
      <c r="M4276" t="str">
        <f>HYPERLINK("https://arizona.app.box.com/file/386244525097")</f>
        <v>https://arizona.app.box.com/file/386244525097</v>
      </c>
    </row>
    <row r="4277" spans="1:25" x14ac:dyDescent="0.2">
      <c r="A4277">
        <v>3554</v>
      </c>
      <c r="B4277" t="s">
        <v>8400</v>
      </c>
      <c r="C4277" t="s">
        <v>18</v>
      </c>
      <c r="D4277" t="s">
        <v>8408</v>
      </c>
      <c r="E4277" t="s">
        <v>8390</v>
      </c>
      <c r="F4277" t="s">
        <v>122</v>
      </c>
      <c r="G4277" t="s">
        <v>62</v>
      </c>
      <c r="I4277" t="b">
        <v>0</v>
      </c>
      <c r="J4277" t="b">
        <v>0</v>
      </c>
      <c r="L4277" t="b">
        <v>0</v>
      </c>
      <c r="M4277" t="str">
        <f>HYPERLINK("https://arizona.app.box.com/file/386241034339")</f>
        <v>https://arizona.app.box.com/file/386241034339</v>
      </c>
    </row>
    <row r="4279" spans="1:25" x14ac:dyDescent="0.2">
      <c r="A4279" s="2">
        <v>2534</v>
      </c>
      <c r="B4279" s="2" t="s">
        <v>8409</v>
      </c>
      <c r="C4279" s="2" t="s">
        <v>13</v>
      </c>
      <c r="D4279" s="2" t="s">
        <v>8410</v>
      </c>
      <c r="E4279" s="2" t="s">
        <v>8411</v>
      </c>
      <c r="F4279" s="2" t="s">
        <v>456</v>
      </c>
      <c r="G4279" s="2" t="s">
        <v>1405</v>
      </c>
      <c r="H4279" s="2"/>
      <c r="I4279" s="2"/>
      <c r="J4279" s="2"/>
      <c r="K4279" s="2"/>
      <c r="L4279" s="2"/>
      <c r="M4279" s="2"/>
      <c r="N4279" s="2"/>
      <c r="O4279" s="2"/>
      <c r="P4279" s="2"/>
      <c r="Q4279" s="2"/>
      <c r="R4279" s="2"/>
      <c r="S4279" s="2"/>
      <c r="T4279" s="2"/>
      <c r="U4279" s="2"/>
      <c r="V4279" s="2"/>
      <c r="W4279" s="2"/>
      <c r="X4279" s="2"/>
      <c r="Y4279" s="2"/>
    </row>
    <row r="4280" spans="1:25" x14ac:dyDescent="0.2">
      <c r="A4280">
        <v>2535</v>
      </c>
      <c r="B4280" t="s">
        <v>8409</v>
      </c>
      <c r="C4280" t="s">
        <v>18</v>
      </c>
      <c r="D4280" t="s">
        <v>3961</v>
      </c>
      <c r="E4280" t="s">
        <v>3962</v>
      </c>
      <c r="F4280" t="s">
        <v>456</v>
      </c>
      <c r="G4280" t="s">
        <v>1406</v>
      </c>
      <c r="I4280" t="b">
        <v>1</v>
      </c>
      <c r="J4280" t="b">
        <v>1</v>
      </c>
      <c r="L4280" t="b">
        <v>1</v>
      </c>
      <c r="M4280" t="str">
        <f>HYPERLINK("https://arizona.app.box.com/file/389262469258")</f>
        <v>https://arizona.app.box.com/file/389262469258</v>
      </c>
      <c r="N4280" t="str">
        <f>HYPERLINK("https://arizona.app.box.com/file/389161568144")</f>
        <v>https://arizona.app.box.com/file/389161568144</v>
      </c>
      <c r="O4280" t="str">
        <f>HYPERLINK("https://arizona.app.box.com/file/389263327802")</f>
        <v>https://arizona.app.box.com/file/389263327802</v>
      </c>
      <c r="P4280" t="str">
        <f>HYPERLINK("https://arizona.app.box.com/file/389168232799")</f>
        <v>https://arizona.app.box.com/file/389168232799</v>
      </c>
    </row>
    <row r="4281" spans="1:25" x14ac:dyDescent="0.2">
      <c r="A4281">
        <v>2536</v>
      </c>
      <c r="B4281" t="s">
        <v>8409</v>
      </c>
      <c r="C4281" t="s">
        <v>18</v>
      </c>
      <c r="D4281" t="s">
        <v>8412</v>
      </c>
      <c r="E4281" t="s">
        <v>117</v>
      </c>
      <c r="F4281" t="s">
        <v>510</v>
      </c>
      <c r="G4281" t="s">
        <v>1406</v>
      </c>
      <c r="I4281" t="b">
        <v>0</v>
      </c>
      <c r="J4281" t="b">
        <v>0</v>
      </c>
      <c r="L4281" t="b">
        <v>0</v>
      </c>
      <c r="M4281" t="str">
        <f>HYPERLINK("https://arizona.app.box.com/file/389264489874")</f>
        <v>https://arizona.app.box.com/file/389264489874</v>
      </c>
      <c r="N4281" t="str">
        <f>HYPERLINK("https://arizona.app.box.com/file/389165671339")</f>
        <v>https://arizona.app.box.com/file/389165671339</v>
      </c>
    </row>
    <row r="4282" spans="1:25" x14ac:dyDescent="0.2">
      <c r="A4282">
        <v>2537</v>
      </c>
      <c r="B4282" t="s">
        <v>8409</v>
      </c>
      <c r="C4282" t="s">
        <v>18</v>
      </c>
      <c r="D4282" t="s">
        <v>3948</v>
      </c>
      <c r="E4282" t="s">
        <v>377</v>
      </c>
      <c r="F4282" t="s">
        <v>574</v>
      </c>
      <c r="G4282" t="s">
        <v>1406</v>
      </c>
      <c r="I4282" t="b">
        <v>0</v>
      </c>
      <c r="J4282" t="b">
        <v>0</v>
      </c>
      <c r="L4282" t="b">
        <v>0</v>
      </c>
      <c r="M4282" t="str">
        <f>HYPERLINK("https://arizona.app.box.com/file/389264584178")</f>
        <v>https://arizona.app.box.com/file/389264584178</v>
      </c>
      <c r="N4282" t="str">
        <f>HYPERLINK("https://arizona.app.box.com/file/389165683737")</f>
        <v>https://arizona.app.box.com/file/389165683737</v>
      </c>
    </row>
    <row r="4283" spans="1:25" x14ac:dyDescent="0.2">
      <c r="A4283">
        <v>2538</v>
      </c>
      <c r="B4283" t="s">
        <v>8409</v>
      </c>
      <c r="C4283" t="s">
        <v>18</v>
      </c>
      <c r="D4283" t="s">
        <v>3940</v>
      </c>
      <c r="E4283" t="s">
        <v>3941</v>
      </c>
      <c r="F4283" t="s">
        <v>717</v>
      </c>
      <c r="G4283" t="s">
        <v>1406</v>
      </c>
      <c r="I4283" t="b">
        <v>0</v>
      </c>
      <c r="J4283" t="b">
        <v>0</v>
      </c>
      <c r="L4283" t="b">
        <v>0</v>
      </c>
      <c r="M4283" t="str">
        <f>HYPERLINK("https://arizona.app.box.com/file/389268413506")</f>
        <v>https://arizona.app.box.com/file/389268413506</v>
      </c>
      <c r="N4283" t="str">
        <f>HYPERLINK("https://arizona.app.box.com/file/389160249766")</f>
        <v>https://arizona.app.box.com/file/389160249766</v>
      </c>
    </row>
    <row r="4284" spans="1:25" x14ac:dyDescent="0.2">
      <c r="A4284">
        <v>2539</v>
      </c>
      <c r="B4284" t="s">
        <v>8409</v>
      </c>
      <c r="C4284" t="s">
        <v>18</v>
      </c>
      <c r="D4284" t="s">
        <v>3936</v>
      </c>
      <c r="E4284" t="s">
        <v>2941</v>
      </c>
      <c r="F4284" t="s">
        <v>717</v>
      </c>
      <c r="G4284" t="s">
        <v>1406</v>
      </c>
      <c r="I4284" t="b">
        <v>0</v>
      </c>
      <c r="J4284" t="b">
        <v>0</v>
      </c>
      <c r="L4284" t="b">
        <v>0</v>
      </c>
      <c r="M4284" t="str">
        <f>HYPERLINK("https://arizona.app.box.com/file/389169727266")</f>
        <v>https://arizona.app.box.com/file/389169727266</v>
      </c>
      <c r="N4284" t="str">
        <f>HYPERLINK("https://arizona.app.box.com/file/386214307967")</f>
        <v>https://arizona.app.box.com/file/386214307967</v>
      </c>
    </row>
    <row r="4286" spans="1:25" x14ac:dyDescent="0.2">
      <c r="A4286" s="2">
        <v>2079</v>
      </c>
      <c r="B4286" s="2" t="s">
        <v>8413</v>
      </c>
      <c r="C4286" s="2" t="s">
        <v>13</v>
      </c>
      <c r="D4286" s="2" t="s">
        <v>8414</v>
      </c>
      <c r="E4286" s="2" t="s">
        <v>8415</v>
      </c>
      <c r="F4286" s="2" t="s">
        <v>78</v>
      </c>
      <c r="G4286" s="2" t="s">
        <v>1867</v>
      </c>
      <c r="H4286" s="2"/>
      <c r="I4286" s="2"/>
      <c r="J4286" s="2"/>
      <c r="K4286" s="2"/>
      <c r="L4286" s="2"/>
      <c r="M4286" s="2"/>
      <c r="N4286" s="2"/>
      <c r="O4286" s="2"/>
      <c r="P4286" s="2"/>
      <c r="Q4286" s="2"/>
      <c r="R4286" s="2"/>
      <c r="S4286" s="2"/>
      <c r="T4286" s="2"/>
      <c r="U4286" s="2"/>
      <c r="V4286" s="2"/>
      <c r="W4286" s="2"/>
      <c r="X4286" s="2"/>
      <c r="Y4286" s="2"/>
    </row>
    <row r="4287" spans="1:25" x14ac:dyDescent="0.2">
      <c r="A4287">
        <v>2080</v>
      </c>
      <c r="B4287" t="s">
        <v>8413</v>
      </c>
      <c r="C4287" t="s">
        <v>18</v>
      </c>
      <c r="D4287" t="s">
        <v>8416</v>
      </c>
      <c r="E4287" t="s">
        <v>5834</v>
      </c>
      <c r="F4287" t="s">
        <v>78</v>
      </c>
      <c r="G4287" t="s">
        <v>1867</v>
      </c>
      <c r="I4287" t="b">
        <v>1</v>
      </c>
      <c r="J4287" t="b">
        <v>1</v>
      </c>
      <c r="L4287" t="b">
        <v>1</v>
      </c>
      <c r="M4287" t="str">
        <f>HYPERLINK("https://arizona.app.box.com/file/389262716739")</f>
        <v>https://arizona.app.box.com/file/389262716739</v>
      </c>
    </row>
    <row r="4288" spans="1:25" x14ac:dyDescent="0.2">
      <c r="A4288">
        <v>2081</v>
      </c>
      <c r="B4288" t="s">
        <v>8413</v>
      </c>
      <c r="C4288" t="s">
        <v>18</v>
      </c>
      <c r="D4288" t="s">
        <v>8417</v>
      </c>
      <c r="E4288" t="s">
        <v>4353</v>
      </c>
      <c r="F4288" t="s">
        <v>78</v>
      </c>
      <c r="G4288" t="s">
        <v>1867</v>
      </c>
      <c r="I4288" t="b">
        <v>1</v>
      </c>
      <c r="J4288" t="b">
        <v>1</v>
      </c>
      <c r="L4288" t="b">
        <v>1</v>
      </c>
      <c r="M4288" t="str">
        <f>HYPERLINK("https://arizona.app.box.com/file/386247605253")</f>
        <v>https://arizona.app.box.com/file/386247605253</v>
      </c>
    </row>
    <row r="4289" spans="1:25" x14ac:dyDescent="0.2">
      <c r="A4289">
        <v>2082</v>
      </c>
      <c r="B4289" t="s">
        <v>8413</v>
      </c>
      <c r="C4289" t="s">
        <v>18</v>
      </c>
      <c r="D4289" t="s">
        <v>8418</v>
      </c>
      <c r="E4289" t="s">
        <v>8419</v>
      </c>
      <c r="F4289" t="s">
        <v>6670</v>
      </c>
      <c r="G4289" t="s">
        <v>8420</v>
      </c>
      <c r="I4289" t="b">
        <v>0</v>
      </c>
      <c r="J4289" t="b">
        <v>0</v>
      </c>
      <c r="L4289" t="b">
        <v>0</v>
      </c>
      <c r="M4289" t="str">
        <f>HYPERLINK("https://arizona.app.box.com/file/386245919928")</f>
        <v>https://arizona.app.box.com/file/386245919928</v>
      </c>
      <c r="N4289" t="str">
        <f>HYPERLINK("https://arizona.app.box.com/file/386214445499")</f>
        <v>https://arizona.app.box.com/file/386214445499</v>
      </c>
    </row>
    <row r="4290" spans="1:25" x14ac:dyDescent="0.2">
      <c r="A4290">
        <v>2083</v>
      </c>
      <c r="B4290" t="s">
        <v>8413</v>
      </c>
      <c r="C4290" t="s">
        <v>18</v>
      </c>
      <c r="D4290" t="s">
        <v>8421</v>
      </c>
      <c r="E4290" t="s">
        <v>8422</v>
      </c>
      <c r="F4290" t="s">
        <v>596</v>
      </c>
      <c r="G4290" t="s">
        <v>1867</v>
      </c>
      <c r="I4290" t="b">
        <v>0</v>
      </c>
      <c r="J4290" t="b">
        <v>0</v>
      </c>
      <c r="L4290" t="b">
        <v>0</v>
      </c>
      <c r="M4290" t="str">
        <f>HYPERLINK("https://arizona.app.box.com/file/386248510871")</f>
        <v>https://arizona.app.box.com/file/386248510871</v>
      </c>
      <c r="N4290" t="str">
        <f>HYPERLINK("https://arizona.app.box.com/file/386265660382")</f>
        <v>https://arizona.app.box.com/file/386265660382</v>
      </c>
    </row>
    <row r="4291" spans="1:25" x14ac:dyDescent="0.2">
      <c r="A4291">
        <v>2084</v>
      </c>
      <c r="B4291" t="s">
        <v>8413</v>
      </c>
      <c r="C4291" t="s">
        <v>18</v>
      </c>
      <c r="D4291" t="s">
        <v>6602</v>
      </c>
      <c r="E4291" t="s">
        <v>6603</v>
      </c>
      <c r="F4291" t="s">
        <v>420</v>
      </c>
      <c r="G4291" t="s">
        <v>1867</v>
      </c>
      <c r="I4291" t="b">
        <v>0</v>
      </c>
      <c r="J4291" t="b">
        <v>0</v>
      </c>
      <c r="L4291" t="b">
        <v>0</v>
      </c>
      <c r="M4291" t="str">
        <f>HYPERLINK("https://arizona.app.box.com/file/386240539226")</f>
        <v>https://arizona.app.box.com/file/386240539226</v>
      </c>
    </row>
    <row r="4293" spans="1:25" x14ac:dyDescent="0.2">
      <c r="A4293" s="2">
        <v>1008</v>
      </c>
      <c r="B4293" s="2" t="s">
        <v>8423</v>
      </c>
      <c r="C4293" s="2" t="s">
        <v>13</v>
      </c>
      <c r="D4293" s="2" t="s">
        <v>4574</v>
      </c>
      <c r="E4293" s="2" t="s">
        <v>4575</v>
      </c>
      <c r="F4293" s="2" t="s">
        <v>174</v>
      </c>
      <c r="G4293" s="2" t="s">
        <v>17</v>
      </c>
      <c r="H4293" s="2"/>
      <c r="I4293" s="2"/>
      <c r="J4293" s="2"/>
      <c r="K4293" s="2"/>
      <c r="L4293" s="2"/>
      <c r="M4293" s="2"/>
      <c r="N4293" s="2"/>
      <c r="O4293" s="2"/>
      <c r="P4293" s="2"/>
      <c r="Q4293" s="2"/>
      <c r="R4293" s="2"/>
      <c r="S4293" s="2"/>
      <c r="T4293" s="2"/>
      <c r="U4293" s="2"/>
      <c r="V4293" s="2"/>
      <c r="W4293" s="2"/>
      <c r="X4293" s="2"/>
      <c r="Y4293" s="2"/>
    </row>
    <row r="4294" spans="1:25" x14ac:dyDescent="0.2">
      <c r="A4294">
        <v>1009</v>
      </c>
      <c r="B4294" t="s">
        <v>8423</v>
      </c>
      <c r="C4294" t="s">
        <v>18</v>
      </c>
      <c r="D4294" t="s">
        <v>4574</v>
      </c>
      <c r="E4294" t="s">
        <v>4575</v>
      </c>
      <c r="F4294" t="s">
        <v>174</v>
      </c>
      <c r="G4294" t="s">
        <v>17</v>
      </c>
      <c r="I4294" t="b">
        <v>1</v>
      </c>
      <c r="J4294" t="b">
        <v>1</v>
      </c>
      <c r="L4294" t="b">
        <v>1</v>
      </c>
      <c r="M4294" t="str">
        <f>HYPERLINK("https://arizona.app.box.com/file/389166800530")</f>
        <v>https://arizona.app.box.com/file/389166800530</v>
      </c>
      <c r="N4294" t="str">
        <f>HYPERLINK("https://arizona.app.box.com/file/389165706606")</f>
        <v>https://arizona.app.box.com/file/389165706606</v>
      </c>
    </row>
    <row r="4295" spans="1:25" x14ac:dyDescent="0.2">
      <c r="A4295">
        <v>1010</v>
      </c>
      <c r="B4295" t="s">
        <v>8423</v>
      </c>
      <c r="C4295" t="s">
        <v>18</v>
      </c>
      <c r="D4295" t="s">
        <v>4578</v>
      </c>
      <c r="E4295" t="s">
        <v>4579</v>
      </c>
      <c r="F4295" t="s">
        <v>174</v>
      </c>
      <c r="G4295" t="s">
        <v>17</v>
      </c>
      <c r="I4295" t="b">
        <v>0</v>
      </c>
      <c r="J4295" t="b">
        <v>0</v>
      </c>
      <c r="L4295" t="b">
        <v>0</v>
      </c>
      <c r="M4295" t="str">
        <f>HYPERLINK("https://arizona.app.box.com/file/389151654031")</f>
        <v>https://arizona.app.box.com/file/389151654031</v>
      </c>
      <c r="N4295" t="str">
        <f>HYPERLINK("https://arizona.app.box.com/file/389151888808")</f>
        <v>https://arizona.app.box.com/file/389151888808</v>
      </c>
    </row>
    <row r="4296" spans="1:25" x14ac:dyDescent="0.2">
      <c r="A4296">
        <v>1011</v>
      </c>
      <c r="B4296" t="s">
        <v>8423</v>
      </c>
      <c r="C4296" t="s">
        <v>18</v>
      </c>
      <c r="D4296" t="s">
        <v>4570</v>
      </c>
      <c r="E4296" t="s">
        <v>4571</v>
      </c>
      <c r="F4296" t="s">
        <v>174</v>
      </c>
      <c r="G4296" t="s">
        <v>17</v>
      </c>
      <c r="I4296" t="b">
        <v>0</v>
      </c>
      <c r="J4296" t="b">
        <v>0</v>
      </c>
      <c r="L4296" t="b">
        <v>0</v>
      </c>
      <c r="M4296" t="str">
        <f>HYPERLINK("https://arizona.app.box.com/file/389137730731")</f>
        <v>https://arizona.app.box.com/file/389137730731</v>
      </c>
      <c r="N4296" t="str">
        <f>HYPERLINK("https://arizona.app.box.com/file/389162865916")</f>
        <v>https://arizona.app.box.com/file/389162865916</v>
      </c>
    </row>
    <row r="4297" spans="1:25" x14ac:dyDescent="0.2">
      <c r="A4297">
        <v>1012</v>
      </c>
      <c r="B4297" t="s">
        <v>8423</v>
      </c>
      <c r="C4297" t="s">
        <v>18</v>
      </c>
      <c r="D4297" t="s">
        <v>8424</v>
      </c>
      <c r="E4297" t="s">
        <v>517</v>
      </c>
      <c r="F4297" t="s">
        <v>174</v>
      </c>
      <c r="G4297" t="s">
        <v>17</v>
      </c>
      <c r="I4297" t="b">
        <v>0</v>
      </c>
      <c r="J4297" t="b">
        <v>0</v>
      </c>
      <c r="L4297" t="b">
        <v>0</v>
      </c>
      <c r="M4297" t="str">
        <f>HYPERLINK("https://arizona.app.box.com/file/389151324325")</f>
        <v>https://arizona.app.box.com/file/389151324325</v>
      </c>
    </row>
    <row r="4298" spans="1:25" x14ac:dyDescent="0.2">
      <c r="A4298">
        <v>1013</v>
      </c>
      <c r="B4298" t="s">
        <v>8423</v>
      </c>
      <c r="C4298" t="s">
        <v>18</v>
      </c>
      <c r="D4298" t="s">
        <v>5877</v>
      </c>
      <c r="E4298" t="s">
        <v>5878</v>
      </c>
      <c r="F4298" t="s">
        <v>174</v>
      </c>
      <c r="G4298" t="s">
        <v>17</v>
      </c>
      <c r="I4298" t="b">
        <v>0</v>
      </c>
      <c r="J4298" t="b">
        <v>0</v>
      </c>
      <c r="L4298" t="b">
        <v>0</v>
      </c>
      <c r="M4298" t="str">
        <f>HYPERLINK("https://arizona.app.box.com/file/389164756385")</f>
        <v>https://arizona.app.box.com/file/389164756385</v>
      </c>
      <c r="N4298" t="str">
        <f>HYPERLINK("https://arizona.app.box.com/file/389162648964")</f>
        <v>https://arizona.app.box.com/file/389162648964</v>
      </c>
    </row>
    <row r="4300" spans="1:25" x14ac:dyDescent="0.2">
      <c r="A4300" s="2">
        <v>2723</v>
      </c>
      <c r="B4300" s="2" t="s">
        <v>8425</v>
      </c>
      <c r="C4300" s="2" t="s">
        <v>13</v>
      </c>
      <c r="D4300" s="2" t="s">
        <v>7315</v>
      </c>
      <c r="E4300" s="2" t="s">
        <v>7316</v>
      </c>
      <c r="F4300" s="2" t="s">
        <v>670</v>
      </c>
      <c r="G4300" s="2" t="s">
        <v>1047</v>
      </c>
      <c r="H4300" s="2"/>
      <c r="I4300" s="2"/>
      <c r="J4300" s="2"/>
      <c r="K4300" s="2"/>
      <c r="L4300" s="2"/>
      <c r="M4300" s="2"/>
      <c r="N4300" s="2"/>
      <c r="O4300" s="2"/>
      <c r="P4300" s="2"/>
      <c r="Q4300" s="2"/>
      <c r="R4300" s="2"/>
      <c r="S4300" s="2"/>
      <c r="T4300" s="2"/>
      <c r="U4300" s="2"/>
      <c r="V4300" s="2"/>
      <c r="W4300" s="2"/>
      <c r="X4300" s="2"/>
      <c r="Y4300" s="2"/>
    </row>
    <row r="4301" spans="1:25" x14ac:dyDescent="0.2">
      <c r="A4301">
        <v>2724</v>
      </c>
      <c r="B4301" t="s">
        <v>8425</v>
      </c>
      <c r="C4301" t="s">
        <v>18</v>
      </c>
      <c r="D4301" t="s">
        <v>7315</v>
      </c>
      <c r="E4301" t="s">
        <v>7316</v>
      </c>
      <c r="F4301" t="s">
        <v>670</v>
      </c>
      <c r="G4301" t="s">
        <v>1047</v>
      </c>
      <c r="I4301" t="b">
        <v>1</v>
      </c>
      <c r="J4301" t="b">
        <v>1</v>
      </c>
      <c r="L4301" t="b">
        <v>1</v>
      </c>
      <c r="M4301" t="str">
        <f>HYPERLINK("https://arizona.app.box.com/file/389172151653")</f>
        <v>https://arizona.app.box.com/file/389172151653</v>
      </c>
      <c r="N4301" t="str">
        <f>HYPERLINK("https://arizona.app.box.com/file/389263300129")</f>
        <v>https://arizona.app.box.com/file/389263300129</v>
      </c>
      <c r="O4301" t="str">
        <f>HYPERLINK("https://arizona.app.box.com/file/389153074516")</f>
        <v>https://arizona.app.box.com/file/389153074516</v>
      </c>
      <c r="P4301" t="str">
        <f>HYPERLINK("https://arizona.app.box.com/file/389159351510")</f>
        <v>https://arizona.app.box.com/file/389159351510</v>
      </c>
    </row>
    <row r="4302" spans="1:25" x14ac:dyDescent="0.2">
      <c r="A4302">
        <v>2725</v>
      </c>
      <c r="B4302" t="s">
        <v>8425</v>
      </c>
      <c r="C4302" t="s">
        <v>18</v>
      </c>
      <c r="D4302" t="s">
        <v>3136</v>
      </c>
      <c r="E4302" t="s">
        <v>3137</v>
      </c>
      <c r="F4302" t="s">
        <v>78</v>
      </c>
      <c r="G4302" t="s">
        <v>1047</v>
      </c>
      <c r="I4302" t="b">
        <v>0</v>
      </c>
      <c r="J4302" t="b">
        <v>0</v>
      </c>
      <c r="L4302" t="b">
        <v>0</v>
      </c>
      <c r="M4302" t="str">
        <f>HYPERLINK("https://arizona.app.box.com/file/389168016277")</f>
        <v>https://arizona.app.box.com/file/389168016277</v>
      </c>
    </row>
    <row r="4303" spans="1:25" x14ac:dyDescent="0.2">
      <c r="A4303">
        <v>2726</v>
      </c>
      <c r="B4303" t="s">
        <v>8425</v>
      </c>
      <c r="C4303" t="s">
        <v>18</v>
      </c>
      <c r="D4303" t="s">
        <v>7312</v>
      </c>
      <c r="E4303" t="s">
        <v>7313</v>
      </c>
      <c r="F4303" t="s">
        <v>78</v>
      </c>
      <c r="G4303" t="s">
        <v>1047</v>
      </c>
      <c r="I4303" t="b">
        <v>0</v>
      </c>
      <c r="J4303" t="b">
        <v>0</v>
      </c>
      <c r="L4303" t="b">
        <v>0</v>
      </c>
      <c r="M4303" t="str">
        <f>HYPERLINK("https://arizona.app.box.com/file/389167933736")</f>
        <v>https://arizona.app.box.com/file/389167933736</v>
      </c>
    </row>
    <row r="4304" spans="1:25" x14ac:dyDescent="0.2">
      <c r="A4304">
        <v>2727</v>
      </c>
      <c r="B4304" t="s">
        <v>8425</v>
      </c>
      <c r="C4304" t="s">
        <v>18</v>
      </c>
      <c r="D4304" t="s">
        <v>8426</v>
      </c>
      <c r="E4304" t="s">
        <v>8427</v>
      </c>
      <c r="F4304" t="s">
        <v>1617</v>
      </c>
      <c r="G4304" t="s">
        <v>32</v>
      </c>
      <c r="I4304" t="b">
        <v>0</v>
      </c>
      <c r="J4304" t="b">
        <v>0</v>
      </c>
      <c r="L4304" t="b">
        <v>0</v>
      </c>
    </row>
    <row r="4305" spans="1:25" x14ac:dyDescent="0.2">
      <c r="A4305">
        <v>2728</v>
      </c>
      <c r="B4305" t="s">
        <v>8425</v>
      </c>
      <c r="C4305" t="s">
        <v>18</v>
      </c>
      <c r="D4305" t="s">
        <v>8428</v>
      </c>
      <c r="E4305" t="s">
        <v>8429</v>
      </c>
      <c r="F4305" t="s">
        <v>82</v>
      </c>
      <c r="G4305" t="s">
        <v>24</v>
      </c>
      <c r="I4305" t="b">
        <v>0</v>
      </c>
      <c r="J4305" t="b">
        <v>0</v>
      </c>
      <c r="L4305" t="b">
        <v>0</v>
      </c>
    </row>
    <row r="4307" spans="1:25" x14ac:dyDescent="0.2">
      <c r="A4307" s="2">
        <v>4277</v>
      </c>
      <c r="B4307" s="2" t="s">
        <v>8430</v>
      </c>
      <c r="C4307" s="2" t="s">
        <v>13</v>
      </c>
      <c r="D4307" s="2" t="s">
        <v>8431</v>
      </c>
      <c r="E4307" s="2" t="s">
        <v>8432</v>
      </c>
      <c r="F4307" s="2" t="s">
        <v>78</v>
      </c>
      <c r="G4307" s="2" t="s">
        <v>130</v>
      </c>
      <c r="H4307" s="2"/>
      <c r="I4307" s="2"/>
      <c r="J4307" s="2"/>
      <c r="K4307" s="2"/>
      <c r="L4307" s="2"/>
      <c r="M4307" s="2"/>
      <c r="N4307" s="2"/>
      <c r="O4307" s="2"/>
      <c r="P4307" s="2"/>
      <c r="Q4307" s="2"/>
      <c r="R4307" s="2"/>
      <c r="S4307" s="2"/>
      <c r="T4307" s="2"/>
      <c r="U4307" s="2"/>
      <c r="V4307" s="2"/>
      <c r="W4307" s="2"/>
      <c r="X4307" s="2"/>
      <c r="Y4307" s="2"/>
    </row>
    <row r="4308" spans="1:25" x14ac:dyDescent="0.2">
      <c r="A4308">
        <v>4278</v>
      </c>
      <c r="B4308" t="s">
        <v>8430</v>
      </c>
      <c r="C4308" t="s">
        <v>18</v>
      </c>
      <c r="D4308" t="s">
        <v>8433</v>
      </c>
      <c r="E4308" t="s">
        <v>1345</v>
      </c>
      <c r="F4308" t="s">
        <v>78</v>
      </c>
      <c r="G4308" t="s">
        <v>130</v>
      </c>
      <c r="I4308" t="b">
        <v>1</v>
      </c>
      <c r="K4308" t="b">
        <v>1</v>
      </c>
      <c r="L4308" t="b">
        <v>1</v>
      </c>
      <c r="M4308" t="str">
        <f>HYPERLINK("https://arizona.app.box.com/file/389172587525")</f>
        <v>https://arizona.app.box.com/file/389172587525</v>
      </c>
      <c r="N4308" t="str">
        <f>HYPERLINK("https://arizona.app.box.com/file/386216276527")</f>
        <v>https://arizona.app.box.com/file/386216276527</v>
      </c>
    </row>
    <row r="4309" spans="1:25" x14ac:dyDescent="0.2">
      <c r="A4309">
        <v>4279</v>
      </c>
      <c r="B4309" t="s">
        <v>8430</v>
      </c>
      <c r="C4309" t="s">
        <v>18</v>
      </c>
      <c r="D4309" t="s">
        <v>8434</v>
      </c>
      <c r="E4309" t="s">
        <v>5806</v>
      </c>
      <c r="F4309" t="s">
        <v>78</v>
      </c>
      <c r="G4309" t="s">
        <v>130</v>
      </c>
      <c r="I4309" t="b">
        <v>0</v>
      </c>
      <c r="K4309" t="b">
        <v>0</v>
      </c>
      <c r="L4309" t="b">
        <v>0</v>
      </c>
      <c r="M4309" t="str">
        <f>HYPERLINK("https://arizona.app.box.com/file/389177223812")</f>
        <v>https://arizona.app.box.com/file/389177223812</v>
      </c>
    </row>
    <row r="4310" spans="1:25" x14ac:dyDescent="0.2">
      <c r="A4310">
        <v>4280</v>
      </c>
      <c r="B4310" t="s">
        <v>8430</v>
      </c>
      <c r="C4310" t="s">
        <v>18</v>
      </c>
      <c r="D4310" t="s">
        <v>8435</v>
      </c>
      <c r="E4310" t="s">
        <v>4471</v>
      </c>
      <c r="F4310" t="s">
        <v>78</v>
      </c>
      <c r="G4310" t="s">
        <v>88</v>
      </c>
      <c r="I4310" t="b">
        <v>0</v>
      </c>
      <c r="K4310" t="b">
        <v>0</v>
      </c>
      <c r="L4310" t="b">
        <v>0</v>
      </c>
      <c r="M4310" t="str">
        <f>HYPERLINK("https://arizona.app.box.com/file/389263355056")</f>
        <v>https://arizona.app.box.com/file/389263355056</v>
      </c>
      <c r="N4310" t="str">
        <f>HYPERLINK("https://arizona.app.box.com/file/389138887428")</f>
        <v>https://arizona.app.box.com/file/389138887428</v>
      </c>
    </row>
    <row r="4311" spans="1:25" x14ac:dyDescent="0.2">
      <c r="A4311">
        <v>4281</v>
      </c>
      <c r="B4311" t="s">
        <v>8430</v>
      </c>
      <c r="C4311" t="s">
        <v>18</v>
      </c>
      <c r="D4311" t="s">
        <v>8436</v>
      </c>
      <c r="E4311" t="s">
        <v>2731</v>
      </c>
      <c r="F4311" t="s">
        <v>78</v>
      </c>
      <c r="G4311" t="s">
        <v>130</v>
      </c>
      <c r="I4311" t="b">
        <v>0</v>
      </c>
      <c r="K4311" t="b">
        <v>0</v>
      </c>
      <c r="L4311" t="b">
        <v>0</v>
      </c>
      <c r="M4311" t="str">
        <f>HYPERLINK("https://arizona.app.box.com/file/386212956912")</f>
        <v>https://arizona.app.box.com/file/386212956912</v>
      </c>
    </row>
    <row r="4312" spans="1:25" x14ac:dyDescent="0.2">
      <c r="A4312">
        <v>4282</v>
      </c>
      <c r="B4312" t="s">
        <v>8430</v>
      </c>
      <c r="C4312" t="s">
        <v>18</v>
      </c>
      <c r="D4312" t="s">
        <v>8437</v>
      </c>
      <c r="E4312" t="s">
        <v>570</v>
      </c>
      <c r="F4312" t="s">
        <v>78</v>
      </c>
      <c r="G4312" t="s">
        <v>130</v>
      </c>
      <c r="I4312" t="b">
        <v>0</v>
      </c>
      <c r="K4312" t="b">
        <v>0</v>
      </c>
      <c r="L4312" t="b">
        <v>0</v>
      </c>
      <c r="M4312" t="str">
        <f>HYPERLINK("https://arizona.app.box.com/file/386242993802")</f>
        <v>https://arizona.app.box.com/file/386242993802</v>
      </c>
    </row>
    <row r="4314" spans="1:25" x14ac:dyDescent="0.2">
      <c r="A4314" s="2">
        <v>4949</v>
      </c>
      <c r="B4314" s="2" t="s">
        <v>8438</v>
      </c>
      <c r="C4314" s="2" t="s">
        <v>13</v>
      </c>
      <c r="D4314" s="2" t="s">
        <v>6917</v>
      </c>
      <c r="E4314" s="2" t="s">
        <v>8439</v>
      </c>
      <c r="F4314" s="2" t="s">
        <v>45</v>
      </c>
      <c r="G4314" s="2" t="s">
        <v>17</v>
      </c>
      <c r="H4314" s="2"/>
      <c r="I4314" s="2"/>
      <c r="J4314" s="2"/>
      <c r="K4314" s="2"/>
      <c r="L4314" s="2"/>
      <c r="M4314" s="2"/>
      <c r="N4314" s="2"/>
      <c r="O4314" s="2"/>
      <c r="P4314" s="2"/>
      <c r="Q4314" s="2"/>
      <c r="R4314" s="2"/>
      <c r="S4314" s="2"/>
      <c r="T4314" s="2"/>
      <c r="U4314" s="2"/>
      <c r="V4314" s="2"/>
      <c r="W4314" s="2"/>
      <c r="X4314" s="2"/>
      <c r="Y4314" s="2"/>
    </row>
    <row r="4315" spans="1:25" x14ac:dyDescent="0.2">
      <c r="A4315">
        <v>4950</v>
      </c>
      <c r="B4315" t="s">
        <v>8438</v>
      </c>
      <c r="C4315" t="s">
        <v>18</v>
      </c>
      <c r="D4315" t="s">
        <v>6917</v>
      </c>
      <c r="E4315" t="s">
        <v>6918</v>
      </c>
      <c r="F4315" t="s">
        <v>45</v>
      </c>
      <c r="G4315" t="s">
        <v>17</v>
      </c>
      <c r="I4315" t="b">
        <v>1</v>
      </c>
      <c r="J4315" t="b">
        <v>1</v>
      </c>
      <c r="L4315" t="b">
        <v>1</v>
      </c>
      <c r="M4315" t="str">
        <f>HYPERLINK("https://arizona.app.box.com/file/389263871662")</f>
        <v>https://arizona.app.box.com/file/389263871662</v>
      </c>
      <c r="N4315" t="str">
        <f>HYPERLINK("https://arizona.app.box.com/file/389153988504")</f>
        <v>https://arizona.app.box.com/file/389153988504</v>
      </c>
      <c r="O4315" t="str">
        <f>HYPERLINK("https://arizona.app.box.com/file/389170643085")</f>
        <v>https://arizona.app.box.com/file/389170643085</v>
      </c>
      <c r="P4315" t="str">
        <f>HYPERLINK("https://arizona.app.box.com/file/386240812130")</f>
        <v>https://arizona.app.box.com/file/386240812130</v>
      </c>
    </row>
    <row r="4316" spans="1:25" x14ac:dyDescent="0.2">
      <c r="A4316">
        <v>4951</v>
      </c>
      <c r="B4316" t="s">
        <v>8438</v>
      </c>
      <c r="C4316" t="s">
        <v>18</v>
      </c>
      <c r="D4316" t="s">
        <v>8440</v>
      </c>
      <c r="E4316" t="s">
        <v>3140</v>
      </c>
      <c r="F4316" t="s">
        <v>45</v>
      </c>
      <c r="G4316" t="s">
        <v>17</v>
      </c>
      <c r="I4316" t="b">
        <v>1</v>
      </c>
      <c r="J4316" t="b">
        <v>1</v>
      </c>
      <c r="L4316" t="b">
        <v>1</v>
      </c>
      <c r="M4316" t="str">
        <f>HYPERLINK("https://arizona.app.box.com/file/389165625455")</f>
        <v>https://arizona.app.box.com/file/389165625455</v>
      </c>
      <c r="N4316" t="str">
        <f>HYPERLINK("https://arizona.app.box.com/file/389165999855")</f>
        <v>https://arizona.app.box.com/file/389165999855</v>
      </c>
    </row>
    <row r="4317" spans="1:25" x14ac:dyDescent="0.2">
      <c r="A4317">
        <v>4952</v>
      </c>
      <c r="B4317" t="s">
        <v>8438</v>
      </c>
      <c r="C4317" t="s">
        <v>18</v>
      </c>
      <c r="D4317" t="s">
        <v>8441</v>
      </c>
      <c r="E4317" t="s">
        <v>8442</v>
      </c>
      <c r="F4317" t="s">
        <v>16</v>
      </c>
      <c r="G4317" t="s">
        <v>17</v>
      </c>
      <c r="I4317" t="b">
        <v>0</v>
      </c>
      <c r="J4317" t="b">
        <v>0</v>
      </c>
      <c r="L4317" t="b">
        <v>0</v>
      </c>
    </row>
    <row r="4318" spans="1:25" x14ac:dyDescent="0.2">
      <c r="A4318">
        <v>4953</v>
      </c>
      <c r="B4318" t="s">
        <v>8438</v>
      </c>
      <c r="C4318" t="s">
        <v>18</v>
      </c>
      <c r="D4318" t="s">
        <v>7823</v>
      </c>
      <c r="E4318" t="s">
        <v>7824</v>
      </c>
      <c r="F4318" t="s">
        <v>168</v>
      </c>
      <c r="G4318" t="s">
        <v>17</v>
      </c>
      <c r="I4318" t="b">
        <v>0</v>
      </c>
      <c r="J4318" t="b">
        <v>0</v>
      </c>
      <c r="L4318" t="b">
        <v>0</v>
      </c>
      <c r="M4318" t="str">
        <f>HYPERLINK("https://arizona.app.box.com/file/389266425780")</f>
        <v>https://arizona.app.box.com/file/389266425780</v>
      </c>
      <c r="N4318" t="str">
        <f>HYPERLINK("https://arizona.app.box.com/file/389166322796")</f>
        <v>https://arizona.app.box.com/file/389166322796</v>
      </c>
      <c r="O4318" t="str">
        <f>HYPERLINK("https://arizona.app.box.com/file/389258847984")</f>
        <v>https://arizona.app.box.com/file/389258847984</v>
      </c>
      <c r="P4318" t="str">
        <f>HYPERLINK("https://arizona.app.box.com/file/389166177185")</f>
        <v>https://arizona.app.box.com/file/389166177185</v>
      </c>
    </row>
    <row r="4319" spans="1:25" x14ac:dyDescent="0.2">
      <c r="A4319">
        <v>4954</v>
      </c>
      <c r="B4319" t="s">
        <v>8438</v>
      </c>
      <c r="C4319" t="s">
        <v>18</v>
      </c>
      <c r="D4319" t="s">
        <v>6990</v>
      </c>
      <c r="E4319" t="s">
        <v>3465</v>
      </c>
      <c r="F4319" t="s">
        <v>369</v>
      </c>
      <c r="G4319" t="s">
        <v>17</v>
      </c>
      <c r="I4319" t="b">
        <v>0</v>
      </c>
      <c r="J4319" t="b">
        <v>0</v>
      </c>
      <c r="L4319" t="b">
        <v>0</v>
      </c>
      <c r="M4319" t="str">
        <f>HYPERLINK("https://arizona.app.box.com/file/389264070638")</f>
        <v>https://arizona.app.box.com/file/389264070638</v>
      </c>
    </row>
    <row r="4321" spans="1:25" x14ac:dyDescent="0.2">
      <c r="A4321" s="2">
        <v>3696</v>
      </c>
      <c r="B4321" s="2" t="s">
        <v>8443</v>
      </c>
      <c r="C4321" s="2" t="s">
        <v>13</v>
      </c>
      <c r="D4321" s="2" t="s">
        <v>8444</v>
      </c>
      <c r="E4321" s="2" t="s">
        <v>8445</v>
      </c>
      <c r="F4321" s="2" t="s">
        <v>78</v>
      </c>
      <c r="G4321" s="2" t="s">
        <v>17</v>
      </c>
      <c r="H4321" s="2"/>
      <c r="I4321" s="2"/>
      <c r="J4321" s="2"/>
      <c r="K4321" s="2"/>
      <c r="L4321" s="2"/>
      <c r="M4321" s="2"/>
      <c r="N4321" s="2"/>
      <c r="O4321" s="2"/>
      <c r="P4321" s="2"/>
      <c r="Q4321" s="2"/>
      <c r="R4321" s="2"/>
      <c r="S4321" s="2"/>
      <c r="T4321" s="2"/>
      <c r="U4321" s="2"/>
      <c r="V4321" s="2"/>
      <c r="W4321" s="2"/>
      <c r="X4321" s="2"/>
      <c r="Y4321" s="2"/>
    </row>
    <row r="4322" spans="1:25" x14ac:dyDescent="0.2">
      <c r="A4322">
        <v>3697</v>
      </c>
      <c r="B4322" t="s">
        <v>8443</v>
      </c>
      <c r="C4322" t="s">
        <v>18</v>
      </c>
      <c r="D4322" t="s">
        <v>8444</v>
      </c>
      <c r="E4322" t="s">
        <v>8445</v>
      </c>
      <c r="F4322" t="s">
        <v>78</v>
      </c>
      <c r="G4322" t="s">
        <v>17</v>
      </c>
      <c r="I4322" t="b">
        <v>1</v>
      </c>
      <c r="J4322" t="b">
        <v>1</v>
      </c>
      <c r="L4322" t="b">
        <v>1</v>
      </c>
      <c r="M4322" t="str">
        <f>HYPERLINK("https://arizona.app.box.com/file/389161800188")</f>
        <v>https://arizona.app.box.com/file/389161800188</v>
      </c>
      <c r="N4322" t="str">
        <f>HYPERLINK("https://arizona.app.box.com/file/389151543864")</f>
        <v>https://arizona.app.box.com/file/389151543864</v>
      </c>
    </row>
    <row r="4323" spans="1:25" x14ac:dyDescent="0.2">
      <c r="A4323">
        <v>3698</v>
      </c>
      <c r="B4323" t="s">
        <v>8443</v>
      </c>
      <c r="C4323" t="s">
        <v>18</v>
      </c>
      <c r="D4323" t="s">
        <v>8446</v>
      </c>
      <c r="E4323" t="s">
        <v>8447</v>
      </c>
      <c r="F4323" t="s">
        <v>78</v>
      </c>
      <c r="G4323" t="s">
        <v>17</v>
      </c>
      <c r="I4323" t="b">
        <v>0</v>
      </c>
      <c r="J4323" t="b">
        <v>0</v>
      </c>
      <c r="L4323" t="b">
        <v>0</v>
      </c>
      <c r="M4323" t="str">
        <f>HYPERLINK("https://arizona.app.box.com/file/386267499517")</f>
        <v>https://arizona.app.box.com/file/386267499517</v>
      </c>
      <c r="N4323" t="str">
        <f>HYPERLINK("https://arizona.app.box.com/file/389164094656")</f>
        <v>https://arizona.app.box.com/file/389164094656</v>
      </c>
    </row>
    <row r="4324" spans="1:25" x14ac:dyDescent="0.2">
      <c r="A4324">
        <v>3699</v>
      </c>
      <c r="B4324" t="s">
        <v>8443</v>
      </c>
      <c r="C4324" t="s">
        <v>18</v>
      </c>
      <c r="D4324" t="s">
        <v>8448</v>
      </c>
      <c r="E4324" t="s">
        <v>8449</v>
      </c>
      <c r="F4324" t="s">
        <v>78</v>
      </c>
      <c r="G4324" t="s">
        <v>17</v>
      </c>
      <c r="I4324" t="b">
        <v>0</v>
      </c>
      <c r="J4324" t="b">
        <v>0</v>
      </c>
      <c r="L4324" t="b">
        <v>0</v>
      </c>
      <c r="M4324" t="str">
        <f>HYPERLINK("https://arizona.app.box.com/file/389145276673")</f>
        <v>https://arizona.app.box.com/file/389145276673</v>
      </c>
    </row>
    <row r="4325" spans="1:25" x14ac:dyDescent="0.2">
      <c r="A4325">
        <v>3700</v>
      </c>
      <c r="B4325" t="s">
        <v>8443</v>
      </c>
      <c r="C4325" t="s">
        <v>18</v>
      </c>
      <c r="D4325" t="s">
        <v>8450</v>
      </c>
      <c r="E4325" t="s">
        <v>8451</v>
      </c>
      <c r="F4325" t="s">
        <v>78</v>
      </c>
      <c r="G4325" t="s">
        <v>17</v>
      </c>
      <c r="I4325" t="b">
        <v>0</v>
      </c>
      <c r="J4325" t="b">
        <v>0</v>
      </c>
      <c r="L4325" t="b">
        <v>0</v>
      </c>
      <c r="M4325" t="str">
        <f>HYPERLINK("https://arizona.app.box.com/file/386274207555")</f>
        <v>https://arizona.app.box.com/file/386274207555</v>
      </c>
      <c r="N4325" t="str">
        <f>HYPERLINK("https://arizona.app.box.com/file/386241113911")</f>
        <v>https://arizona.app.box.com/file/386241113911</v>
      </c>
    </row>
    <row r="4326" spans="1:25" x14ac:dyDescent="0.2">
      <c r="A4326">
        <v>3701</v>
      </c>
      <c r="B4326" t="s">
        <v>8443</v>
      </c>
      <c r="C4326" t="s">
        <v>18</v>
      </c>
      <c r="D4326" t="s">
        <v>7658</v>
      </c>
      <c r="E4326" t="s">
        <v>7659</v>
      </c>
      <c r="F4326" t="s">
        <v>78</v>
      </c>
      <c r="G4326" t="s">
        <v>17</v>
      </c>
      <c r="I4326" t="b">
        <v>0</v>
      </c>
      <c r="J4326" t="b">
        <v>0</v>
      </c>
      <c r="L4326" t="b">
        <v>0</v>
      </c>
    </row>
    <row r="4328" spans="1:25" x14ac:dyDescent="0.2">
      <c r="A4328" s="2">
        <v>875</v>
      </c>
      <c r="B4328" s="2" t="s">
        <v>8452</v>
      </c>
      <c r="C4328" s="2" t="s">
        <v>13</v>
      </c>
      <c r="D4328" s="2" t="s">
        <v>8453</v>
      </c>
      <c r="E4328" s="2" t="s">
        <v>8454</v>
      </c>
      <c r="F4328" s="2" t="s">
        <v>16</v>
      </c>
      <c r="G4328" s="2" t="s">
        <v>24</v>
      </c>
      <c r="H4328" s="2"/>
      <c r="I4328" s="2"/>
      <c r="J4328" s="2"/>
      <c r="K4328" s="2"/>
      <c r="L4328" s="2"/>
      <c r="M4328" s="2"/>
      <c r="N4328" s="2"/>
      <c r="O4328" s="2"/>
      <c r="P4328" s="2"/>
      <c r="Q4328" s="2"/>
      <c r="R4328" s="2"/>
      <c r="S4328" s="2"/>
      <c r="T4328" s="2"/>
      <c r="U4328" s="2"/>
      <c r="V4328" s="2"/>
      <c r="W4328" s="2"/>
      <c r="X4328" s="2"/>
      <c r="Y4328" s="2"/>
    </row>
    <row r="4329" spans="1:25" x14ac:dyDescent="0.2">
      <c r="A4329">
        <v>876</v>
      </c>
      <c r="B4329" t="s">
        <v>8452</v>
      </c>
      <c r="C4329" t="s">
        <v>18</v>
      </c>
      <c r="D4329" t="s">
        <v>6768</v>
      </c>
      <c r="E4329" t="s">
        <v>381</v>
      </c>
      <c r="F4329" t="s">
        <v>16</v>
      </c>
      <c r="G4329" t="s">
        <v>24</v>
      </c>
      <c r="I4329" t="b">
        <v>1</v>
      </c>
      <c r="J4329" t="b">
        <v>1</v>
      </c>
      <c r="L4329" t="b">
        <v>1</v>
      </c>
      <c r="M4329" t="str">
        <f>HYPERLINK("https://arizona.app.box.com/file/389167024775")</f>
        <v>https://arizona.app.box.com/file/389167024775</v>
      </c>
      <c r="N4329" t="str">
        <f>HYPERLINK("https://arizona.app.box.com/file/386240684710")</f>
        <v>https://arizona.app.box.com/file/386240684710</v>
      </c>
    </row>
    <row r="4330" spans="1:25" x14ac:dyDescent="0.2">
      <c r="A4330">
        <v>877</v>
      </c>
      <c r="B4330" t="s">
        <v>8452</v>
      </c>
      <c r="C4330" t="s">
        <v>18</v>
      </c>
      <c r="D4330" t="s">
        <v>4132</v>
      </c>
      <c r="E4330" t="s">
        <v>809</v>
      </c>
      <c r="F4330" t="s">
        <v>16</v>
      </c>
      <c r="G4330" t="s">
        <v>24</v>
      </c>
      <c r="I4330" t="b">
        <v>1</v>
      </c>
      <c r="J4330" t="b">
        <v>1</v>
      </c>
      <c r="L4330" t="b">
        <v>1</v>
      </c>
      <c r="M4330" t="str">
        <f>HYPERLINK("https://arizona.app.box.com/file/389263839623")</f>
        <v>https://arizona.app.box.com/file/389263839623</v>
      </c>
      <c r="N4330" t="str">
        <f>HYPERLINK("https://arizona.app.box.com/file/389139488641")</f>
        <v>https://arizona.app.box.com/file/389139488641</v>
      </c>
    </row>
    <row r="4331" spans="1:25" x14ac:dyDescent="0.2">
      <c r="A4331">
        <v>878</v>
      </c>
      <c r="B4331" t="s">
        <v>8452</v>
      </c>
      <c r="C4331" t="s">
        <v>18</v>
      </c>
      <c r="D4331" t="s">
        <v>5843</v>
      </c>
      <c r="E4331" t="s">
        <v>5844</v>
      </c>
      <c r="F4331" t="s">
        <v>31</v>
      </c>
      <c r="G4331" t="s">
        <v>24</v>
      </c>
      <c r="I4331" t="b">
        <v>0</v>
      </c>
      <c r="J4331" t="b">
        <v>0</v>
      </c>
      <c r="L4331" t="b">
        <v>0</v>
      </c>
      <c r="M4331" t="str">
        <f>HYPERLINK("https://arizona.app.box.com/file/389264154696")</f>
        <v>https://arizona.app.box.com/file/389264154696</v>
      </c>
      <c r="N4331" t="str">
        <f>HYPERLINK("https://arizona.app.box.com/file/389164382901")</f>
        <v>https://arizona.app.box.com/file/389164382901</v>
      </c>
    </row>
    <row r="4332" spans="1:25" x14ac:dyDescent="0.2">
      <c r="A4332">
        <v>879</v>
      </c>
      <c r="B4332" t="s">
        <v>8452</v>
      </c>
      <c r="C4332" t="s">
        <v>18</v>
      </c>
      <c r="D4332" t="s">
        <v>6755</v>
      </c>
      <c r="E4332" t="s">
        <v>701</v>
      </c>
      <c r="F4332" t="s">
        <v>20</v>
      </c>
      <c r="G4332" t="s">
        <v>24</v>
      </c>
      <c r="I4332" t="b">
        <v>0</v>
      </c>
      <c r="J4332" t="b">
        <v>0</v>
      </c>
      <c r="L4332" t="b">
        <v>0</v>
      </c>
      <c r="M4332" t="str">
        <f>HYPERLINK("https://arizona.app.box.com/file/389262319503")</f>
        <v>https://arizona.app.box.com/file/389262319503</v>
      </c>
      <c r="N4332" t="str">
        <f>HYPERLINK("https://arizona.app.box.com/file/389165883856")</f>
        <v>https://arizona.app.box.com/file/389165883856</v>
      </c>
    </row>
    <row r="4333" spans="1:25" x14ac:dyDescent="0.2">
      <c r="A4333">
        <v>880</v>
      </c>
      <c r="B4333" t="s">
        <v>8452</v>
      </c>
      <c r="C4333" t="s">
        <v>18</v>
      </c>
      <c r="D4333" t="s">
        <v>768</v>
      </c>
      <c r="E4333" t="s">
        <v>770</v>
      </c>
      <c r="F4333" t="s">
        <v>248</v>
      </c>
      <c r="G4333" t="s">
        <v>771</v>
      </c>
      <c r="I4333" t="b">
        <v>0</v>
      </c>
      <c r="J4333" t="b">
        <v>0</v>
      </c>
      <c r="L4333" t="b">
        <v>0</v>
      </c>
      <c r="M4333" t="str">
        <f>HYPERLINK("https://arizona.app.box.com/file/389163774227")</f>
        <v>https://arizona.app.box.com/file/389163774227</v>
      </c>
      <c r="N4333" t="str">
        <f>HYPERLINK("https://arizona.app.box.com/file/386216460417")</f>
        <v>https://arizona.app.box.com/file/386216460417</v>
      </c>
    </row>
    <row r="4335" spans="1:25" x14ac:dyDescent="0.2">
      <c r="A4335" s="2">
        <v>6727</v>
      </c>
      <c r="B4335" s="2" t="s">
        <v>8455</v>
      </c>
      <c r="C4335" s="2" t="s">
        <v>13</v>
      </c>
      <c r="D4335" s="2" t="s">
        <v>8456</v>
      </c>
      <c r="E4335" s="2" t="s">
        <v>8457</v>
      </c>
      <c r="F4335" s="2" t="s">
        <v>151</v>
      </c>
      <c r="G4335" s="2" t="s">
        <v>134</v>
      </c>
      <c r="H4335" s="2"/>
      <c r="I4335" s="2"/>
      <c r="J4335" s="2"/>
      <c r="K4335" s="2"/>
      <c r="L4335" s="2"/>
      <c r="M4335" s="2"/>
      <c r="N4335" s="2"/>
      <c r="O4335" s="2"/>
      <c r="P4335" s="2"/>
      <c r="Q4335" s="2"/>
      <c r="R4335" s="2"/>
      <c r="S4335" s="2"/>
      <c r="T4335" s="2"/>
      <c r="U4335" s="2"/>
      <c r="V4335" s="2"/>
      <c r="W4335" s="2"/>
      <c r="X4335" s="2"/>
      <c r="Y4335" s="2"/>
    </row>
    <row r="4336" spans="1:25" x14ac:dyDescent="0.2">
      <c r="A4336">
        <v>6728</v>
      </c>
      <c r="B4336" t="s">
        <v>8455</v>
      </c>
      <c r="C4336" t="s">
        <v>18</v>
      </c>
      <c r="D4336" t="s">
        <v>8456</v>
      </c>
      <c r="E4336" t="s">
        <v>8457</v>
      </c>
      <c r="F4336" t="s">
        <v>151</v>
      </c>
      <c r="G4336" t="s">
        <v>134</v>
      </c>
      <c r="I4336" t="b">
        <v>1</v>
      </c>
      <c r="J4336" t="b">
        <v>1</v>
      </c>
      <c r="L4336" t="b">
        <v>1</v>
      </c>
      <c r="M4336" t="str">
        <f>HYPERLINK("https://arizona.app.box.com/file/389164009025")</f>
        <v>https://arizona.app.box.com/file/389164009025</v>
      </c>
      <c r="N4336" t="str">
        <f>HYPERLINK("https://arizona.app.box.com/file/389167404904")</f>
        <v>https://arizona.app.box.com/file/389167404904</v>
      </c>
    </row>
    <row r="4337" spans="1:25" x14ac:dyDescent="0.2">
      <c r="A4337">
        <v>6729</v>
      </c>
      <c r="B4337" t="s">
        <v>8455</v>
      </c>
      <c r="C4337" t="s">
        <v>18</v>
      </c>
      <c r="D4337" t="s">
        <v>8458</v>
      </c>
      <c r="E4337" t="s">
        <v>8459</v>
      </c>
      <c r="F4337" t="s">
        <v>122</v>
      </c>
      <c r="G4337" t="s">
        <v>134</v>
      </c>
      <c r="I4337" t="b">
        <v>0</v>
      </c>
      <c r="J4337" t="b">
        <v>0</v>
      </c>
      <c r="L4337" t="b">
        <v>0</v>
      </c>
    </row>
    <row r="4338" spans="1:25" x14ac:dyDescent="0.2">
      <c r="A4338">
        <v>6730</v>
      </c>
      <c r="B4338" t="s">
        <v>8455</v>
      </c>
      <c r="C4338" t="s">
        <v>18</v>
      </c>
      <c r="D4338" t="s">
        <v>8460</v>
      </c>
      <c r="E4338" t="s">
        <v>8461</v>
      </c>
      <c r="F4338" t="s">
        <v>151</v>
      </c>
      <c r="G4338" t="s">
        <v>24</v>
      </c>
      <c r="I4338" t="b">
        <v>0</v>
      </c>
      <c r="J4338" t="b">
        <v>0</v>
      </c>
      <c r="L4338" t="b">
        <v>0</v>
      </c>
    </row>
    <row r="4339" spans="1:25" x14ac:dyDescent="0.2">
      <c r="A4339">
        <v>6731</v>
      </c>
      <c r="B4339" t="s">
        <v>8455</v>
      </c>
      <c r="C4339" t="s">
        <v>18</v>
      </c>
      <c r="D4339" t="s">
        <v>8462</v>
      </c>
      <c r="E4339" t="s">
        <v>8463</v>
      </c>
      <c r="F4339" t="s">
        <v>151</v>
      </c>
      <c r="G4339" t="s">
        <v>134</v>
      </c>
      <c r="I4339" t="b">
        <v>0</v>
      </c>
      <c r="J4339" t="b">
        <v>0</v>
      </c>
      <c r="L4339" t="b">
        <v>0</v>
      </c>
    </row>
    <row r="4340" spans="1:25" x14ac:dyDescent="0.2">
      <c r="A4340">
        <v>6732</v>
      </c>
      <c r="B4340" t="s">
        <v>8455</v>
      </c>
      <c r="C4340" t="s">
        <v>18</v>
      </c>
      <c r="D4340" t="s">
        <v>2486</v>
      </c>
      <c r="E4340" t="s">
        <v>2487</v>
      </c>
      <c r="F4340" t="s">
        <v>205</v>
      </c>
      <c r="G4340" t="s">
        <v>134</v>
      </c>
      <c r="I4340" t="b">
        <v>0</v>
      </c>
      <c r="J4340" t="b">
        <v>0</v>
      </c>
      <c r="L4340" t="b">
        <v>0</v>
      </c>
      <c r="M4340" t="str">
        <f>HYPERLINK("https://arizona.app.box.com/file/389163865673")</f>
        <v>https://arizona.app.box.com/file/389163865673</v>
      </c>
      <c r="N4340" t="str">
        <f>HYPERLINK("https://arizona.app.box.com/file/386241113911")</f>
        <v>https://arizona.app.box.com/file/386241113911</v>
      </c>
    </row>
    <row r="4342" spans="1:25" x14ac:dyDescent="0.2">
      <c r="A4342" s="2">
        <v>3451</v>
      </c>
      <c r="B4342" s="2" t="s">
        <v>8464</v>
      </c>
      <c r="C4342" s="2" t="s">
        <v>13</v>
      </c>
      <c r="D4342" s="2" t="s">
        <v>8465</v>
      </c>
      <c r="E4342" s="2" t="s">
        <v>8466</v>
      </c>
      <c r="F4342" s="2" t="s">
        <v>159</v>
      </c>
      <c r="G4342" s="2" t="s">
        <v>17</v>
      </c>
      <c r="H4342" s="2"/>
      <c r="I4342" s="2"/>
      <c r="J4342" s="2"/>
      <c r="K4342" s="2"/>
      <c r="L4342" s="2"/>
      <c r="M4342" s="2"/>
      <c r="N4342" s="2"/>
      <c r="O4342" s="2"/>
      <c r="P4342" s="2"/>
      <c r="Q4342" s="2"/>
      <c r="R4342" s="2"/>
      <c r="S4342" s="2"/>
      <c r="T4342" s="2"/>
      <c r="U4342" s="2"/>
      <c r="V4342" s="2"/>
      <c r="W4342" s="2"/>
      <c r="X4342" s="2"/>
      <c r="Y4342" s="2"/>
    </row>
    <row r="4343" spans="1:25" x14ac:dyDescent="0.2">
      <c r="A4343">
        <v>3452</v>
      </c>
      <c r="B4343" t="s">
        <v>8464</v>
      </c>
      <c r="C4343" t="s">
        <v>18</v>
      </c>
      <c r="D4343" t="s">
        <v>8465</v>
      </c>
      <c r="E4343" t="s">
        <v>5793</v>
      </c>
      <c r="F4343" t="s">
        <v>159</v>
      </c>
      <c r="G4343" t="s">
        <v>17</v>
      </c>
      <c r="I4343" t="b">
        <v>1</v>
      </c>
      <c r="J4343" t="b">
        <v>1</v>
      </c>
      <c r="L4343" t="b">
        <v>1</v>
      </c>
      <c r="M4343" t="str">
        <f>HYPERLINK("https://arizona.app.box.com/file/389163158126")</f>
        <v>https://arizona.app.box.com/file/389163158126</v>
      </c>
    </row>
    <row r="4344" spans="1:25" x14ac:dyDescent="0.2">
      <c r="A4344">
        <v>3453</v>
      </c>
      <c r="B4344" t="s">
        <v>8464</v>
      </c>
      <c r="C4344" t="s">
        <v>18</v>
      </c>
      <c r="D4344" t="s">
        <v>8467</v>
      </c>
      <c r="E4344" t="s">
        <v>3557</v>
      </c>
      <c r="F4344" t="s">
        <v>16</v>
      </c>
      <c r="G4344" t="s">
        <v>17</v>
      </c>
      <c r="I4344" t="b">
        <v>1</v>
      </c>
      <c r="J4344" t="b">
        <v>1</v>
      </c>
      <c r="L4344" t="b">
        <v>1</v>
      </c>
      <c r="M4344" t="str">
        <f>HYPERLINK("https://arizona.app.box.com/file/389260364964")</f>
        <v>https://arizona.app.box.com/file/389260364964</v>
      </c>
      <c r="N4344" t="str">
        <f>HYPERLINK("https://arizona.app.box.com/file/389152519634")</f>
        <v>https://arizona.app.box.com/file/389152519634</v>
      </c>
    </row>
    <row r="4345" spans="1:25" x14ac:dyDescent="0.2">
      <c r="A4345">
        <v>3454</v>
      </c>
      <c r="B4345" t="s">
        <v>8464</v>
      </c>
      <c r="C4345" t="s">
        <v>18</v>
      </c>
      <c r="D4345" t="s">
        <v>8468</v>
      </c>
      <c r="E4345" t="s">
        <v>1541</v>
      </c>
      <c r="F4345" t="s">
        <v>16</v>
      </c>
      <c r="G4345" t="s">
        <v>17</v>
      </c>
      <c r="I4345" t="b">
        <v>0</v>
      </c>
      <c r="J4345" t="b">
        <v>1</v>
      </c>
      <c r="L4345" t="b">
        <v>0</v>
      </c>
      <c r="M4345" t="str">
        <f>HYPERLINK("https://arizona.app.box.com/file/389256475210")</f>
        <v>https://arizona.app.box.com/file/389256475210</v>
      </c>
      <c r="N4345" t="str">
        <f>HYPERLINK("https://arizona.app.box.com/file/389152330446")</f>
        <v>https://arizona.app.box.com/file/389152330446</v>
      </c>
    </row>
    <row r="4346" spans="1:25" x14ac:dyDescent="0.2">
      <c r="A4346">
        <v>3455</v>
      </c>
      <c r="B4346" t="s">
        <v>8464</v>
      </c>
      <c r="C4346" t="s">
        <v>18</v>
      </c>
      <c r="D4346" t="s">
        <v>8469</v>
      </c>
      <c r="E4346" t="s">
        <v>8470</v>
      </c>
      <c r="F4346" t="s">
        <v>16</v>
      </c>
      <c r="G4346" t="s">
        <v>17</v>
      </c>
      <c r="I4346" t="b">
        <v>0</v>
      </c>
      <c r="J4346" t="b">
        <v>0</v>
      </c>
      <c r="L4346" t="b">
        <v>0</v>
      </c>
    </row>
    <row r="4347" spans="1:25" x14ac:dyDescent="0.2">
      <c r="A4347">
        <v>3456</v>
      </c>
      <c r="B4347" t="s">
        <v>8464</v>
      </c>
      <c r="C4347" t="s">
        <v>18</v>
      </c>
      <c r="D4347" t="s">
        <v>8471</v>
      </c>
      <c r="E4347" t="s">
        <v>4745</v>
      </c>
      <c r="F4347" t="s">
        <v>16</v>
      </c>
      <c r="G4347" t="s">
        <v>17</v>
      </c>
      <c r="I4347" t="b">
        <v>0</v>
      </c>
      <c r="J4347" t="b">
        <v>0</v>
      </c>
      <c r="L4347" t="b">
        <v>0</v>
      </c>
      <c r="M4347" t="str">
        <f>HYPERLINK("https://arizona.app.box.com/file/389169456076")</f>
        <v>https://arizona.app.box.com/file/389169456076</v>
      </c>
    </row>
    <row r="4349" spans="1:25" x14ac:dyDescent="0.2">
      <c r="A4349" s="2">
        <v>1610</v>
      </c>
      <c r="B4349" s="2" t="s">
        <v>8472</v>
      </c>
      <c r="C4349" s="2" t="s">
        <v>13</v>
      </c>
      <c r="D4349" s="2" t="s">
        <v>8473</v>
      </c>
      <c r="E4349" s="2" t="s">
        <v>8474</v>
      </c>
      <c r="F4349" s="2" t="s">
        <v>174</v>
      </c>
      <c r="G4349" s="2" t="s">
        <v>17</v>
      </c>
      <c r="H4349" s="2"/>
      <c r="I4349" s="2"/>
      <c r="J4349" s="2"/>
      <c r="K4349" s="2"/>
      <c r="L4349" s="2"/>
      <c r="M4349" s="2"/>
      <c r="N4349" s="2"/>
      <c r="O4349" s="2"/>
      <c r="P4349" s="2"/>
      <c r="Q4349" s="2"/>
      <c r="R4349" s="2"/>
      <c r="S4349" s="2"/>
      <c r="T4349" s="2"/>
      <c r="U4349" s="2"/>
      <c r="V4349" s="2"/>
      <c r="W4349" s="2"/>
      <c r="X4349" s="2"/>
      <c r="Y4349" s="2"/>
    </row>
    <row r="4350" spans="1:25" x14ac:dyDescent="0.2">
      <c r="A4350">
        <v>1611</v>
      </c>
      <c r="B4350" t="s">
        <v>8472</v>
      </c>
      <c r="C4350" t="s">
        <v>18</v>
      </c>
      <c r="D4350" t="s">
        <v>8473</v>
      </c>
      <c r="E4350" t="s">
        <v>8474</v>
      </c>
      <c r="F4350" t="s">
        <v>174</v>
      </c>
      <c r="G4350" t="s">
        <v>17</v>
      </c>
      <c r="I4350" t="b">
        <v>1</v>
      </c>
      <c r="J4350" t="b">
        <v>1</v>
      </c>
      <c r="L4350" t="b">
        <v>1</v>
      </c>
      <c r="M4350" t="str">
        <f>HYPERLINK("https://arizona.app.box.com/file/389138379628")</f>
        <v>https://arizona.app.box.com/file/389138379628</v>
      </c>
      <c r="N4350" t="str">
        <f>HYPERLINK("https://arizona.app.box.com/file/386241113911")</f>
        <v>https://arizona.app.box.com/file/386241113911</v>
      </c>
    </row>
    <row r="4351" spans="1:25" x14ac:dyDescent="0.2">
      <c r="A4351">
        <v>1612</v>
      </c>
      <c r="B4351" t="s">
        <v>8472</v>
      </c>
      <c r="C4351" t="s">
        <v>18</v>
      </c>
      <c r="D4351" t="s">
        <v>8475</v>
      </c>
      <c r="E4351" t="s">
        <v>8476</v>
      </c>
      <c r="F4351" t="s">
        <v>174</v>
      </c>
      <c r="G4351" t="s">
        <v>17</v>
      </c>
      <c r="I4351" t="b">
        <v>0</v>
      </c>
      <c r="J4351" t="b">
        <v>0</v>
      </c>
      <c r="L4351" t="b">
        <v>0</v>
      </c>
    </row>
    <row r="4352" spans="1:25" x14ac:dyDescent="0.2">
      <c r="A4352">
        <v>1613</v>
      </c>
      <c r="B4352" t="s">
        <v>8472</v>
      </c>
      <c r="C4352" t="s">
        <v>18</v>
      </c>
      <c r="D4352" t="s">
        <v>8477</v>
      </c>
      <c r="E4352" t="s">
        <v>8478</v>
      </c>
      <c r="F4352" t="s">
        <v>174</v>
      </c>
      <c r="G4352" t="s">
        <v>17</v>
      </c>
      <c r="I4352" t="b">
        <v>0</v>
      </c>
      <c r="J4352" t="b">
        <v>0</v>
      </c>
      <c r="L4352" t="b">
        <v>0</v>
      </c>
      <c r="M4352" t="str">
        <f>HYPERLINK("https://arizona.app.box.com/file/389150542469")</f>
        <v>https://arizona.app.box.com/file/389150542469</v>
      </c>
    </row>
    <row r="4353" spans="1:25" x14ac:dyDescent="0.2">
      <c r="A4353">
        <v>1614</v>
      </c>
      <c r="B4353" t="s">
        <v>8472</v>
      </c>
      <c r="C4353" t="s">
        <v>18</v>
      </c>
      <c r="D4353" t="s">
        <v>8479</v>
      </c>
      <c r="E4353" t="s">
        <v>8480</v>
      </c>
      <c r="F4353" t="s">
        <v>174</v>
      </c>
      <c r="G4353" t="s">
        <v>17</v>
      </c>
      <c r="I4353" t="b">
        <v>0</v>
      </c>
      <c r="J4353" t="b">
        <v>0</v>
      </c>
      <c r="L4353" t="b">
        <v>0</v>
      </c>
      <c r="M4353" t="str">
        <f>HYPERLINK("https://arizona.app.box.com/file/389162922658")</f>
        <v>https://arizona.app.box.com/file/389162922658</v>
      </c>
    </row>
    <row r="4354" spans="1:25" x14ac:dyDescent="0.2">
      <c r="A4354">
        <v>1615</v>
      </c>
      <c r="B4354" t="s">
        <v>8472</v>
      </c>
      <c r="C4354" t="s">
        <v>18</v>
      </c>
      <c r="D4354" t="s">
        <v>8481</v>
      </c>
      <c r="E4354" t="s">
        <v>8482</v>
      </c>
      <c r="F4354" t="s">
        <v>174</v>
      </c>
      <c r="G4354" t="s">
        <v>17</v>
      </c>
      <c r="I4354" t="b">
        <v>0</v>
      </c>
      <c r="J4354" t="b">
        <v>0</v>
      </c>
      <c r="L4354" t="b">
        <v>0</v>
      </c>
    </row>
    <row r="4356" spans="1:25" x14ac:dyDescent="0.2">
      <c r="A4356" s="2">
        <v>5054</v>
      </c>
      <c r="B4356" s="2" t="s">
        <v>8483</v>
      </c>
      <c r="C4356" s="2" t="s">
        <v>13</v>
      </c>
      <c r="D4356" s="2" t="s">
        <v>8484</v>
      </c>
      <c r="E4356" s="2" t="s">
        <v>8485</v>
      </c>
      <c r="F4356" s="2" t="s">
        <v>45</v>
      </c>
      <c r="G4356" s="2" t="s">
        <v>24</v>
      </c>
      <c r="H4356" s="2"/>
      <c r="I4356" s="2"/>
      <c r="J4356" s="2"/>
      <c r="K4356" s="2"/>
      <c r="L4356" s="2"/>
      <c r="M4356" s="2"/>
      <c r="N4356" s="2"/>
      <c r="O4356" s="2"/>
      <c r="P4356" s="2"/>
      <c r="Q4356" s="2"/>
      <c r="R4356" s="2"/>
      <c r="S4356" s="2"/>
      <c r="T4356" s="2"/>
      <c r="U4356" s="2"/>
      <c r="V4356" s="2"/>
      <c r="W4356" s="2"/>
      <c r="X4356" s="2"/>
      <c r="Y4356" s="2"/>
    </row>
    <row r="4357" spans="1:25" x14ac:dyDescent="0.2">
      <c r="A4357">
        <v>5055</v>
      </c>
      <c r="B4357" t="s">
        <v>8483</v>
      </c>
      <c r="C4357" t="s">
        <v>18</v>
      </c>
      <c r="D4357" t="s">
        <v>8484</v>
      </c>
      <c r="E4357" t="s">
        <v>6997</v>
      </c>
      <c r="F4357" t="s">
        <v>45</v>
      </c>
      <c r="G4357" t="s">
        <v>24</v>
      </c>
      <c r="I4357" t="b">
        <v>1</v>
      </c>
      <c r="J4357" t="b">
        <v>1</v>
      </c>
      <c r="L4357" t="b">
        <v>1</v>
      </c>
      <c r="M4357" t="str">
        <f>HYPERLINK("https://arizona.app.box.com/file/389262556589")</f>
        <v>https://arizona.app.box.com/file/389262556589</v>
      </c>
      <c r="N4357" t="str">
        <f>HYPERLINK("https://arizona.app.box.com/file/389138067124")</f>
        <v>https://arizona.app.box.com/file/389138067124</v>
      </c>
    </row>
    <row r="4358" spans="1:25" x14ac:dyDescent="0.2">
      <c r="A4358">
        <v>5056</v>
      </c>
      <c r="B4358" t="s">
        <v>8483</v>
      </c>
      <c r="C4358" t="s">
        <v>18</v>
      </c>
      <c r="D4358" t="s">
        <v>2411</v>
      </c>
      <c r="E4358" t="s">
        <v>2412</v>
      </c>
      <c r="F4358" t="s">
        <v>31</v>
      </c>
      <c r="G4358" t="s">
        <v>17</v>
      </c>
      <c r="I4358" t="b">
        <v>0</v>
      </c>
      <c r="J4358" t="b">
        <v>0</v>
      </c>
      <c r="L4358" t="b">
        <v>0</v>
      </c>
      <c r="M4358" t="str">
        <f>HYPERLINK("https://arizona.app.box.com/file/389171902460")</f>
        <v>https://arizona.app.box.com/file/389171902460</v>
      </c>
      <c r="N4358" t="str">
        <f>HYPERLINK("https://arizona.app.box.com/file/386233112029")</f>
        <v>https://arizona.app.box.com/file/386233112029</v>
      </c>
    </row>
    <row r="4359" spans="1:25" x14ac:dyDescent="0.2">
      <c r="A4359">
        <v>5057</v>
      </c>
      <c r="B4359" t="s">
        <v>8483</v>
      </c>
      <c r="C4359" t="s">
        <v>18</v>
      </c>
      <c r="D4359" t="s">
        <v>4047</v>
      </c>
      <c r="E4359" t="s">
        <v>4048</v>
      </c>
      <c r="F4359" t="s">
        <v>151</v>
      </c>
      <c r="G4359" t="s">
        <v>24</v>
      </c>
      <c r="I4359" t="b">
        <v>0</v>
      </c>
      <c r="J4359" t="b">
        <v>0</v>
      </c>
      <c r="L4359" t="b">
        <v>0</v>
      </c>
      <c r="M4359" t="str">
        <f>HYPERLINK("https://arizona.app.box.com/file/389168294936")</f>
        <v>https://arizona.app.box.com/file/389168294936</v>
      </c>
    </row>
    <row r="4360" spans="1:25" x14ac:dyDescent="0.2">
      <c r="A4360">
        <v>5058</v>
      </c>
      <c r="B4360" t="s">
        <v>8483</v>
      </c>
      <c r="C4360" t="s">
        <v>18</v>
      </c>
      <c r="D4360" t="s">
        <v>6556</v>
      </c>
      <c r="E4360" t="s">
        <v>195</v>
      </c>
      <c r="F4360" t="s">
        <v>151</v>
      </c>
      <c r="G4360" t="s">
        <v>24</v>
      </c>
      <c r="I4360" t="b">
        <v>0</v>
      </c>
      <c r="J4360" t="b">
        <v>0</v>
      </c>
      <c r="L4360" t="b">
        <v>0</v>
      </c>
      <c r="M4360" t="str">
        <f>HYPERLINK("https://arizona.app.box.com/file/389138627444")</f>
        <v>https://arizona.app.box.com/file/389138627444</v>
      </c>
    </row>
    <row r="4361" spans="1:25" x14ac:dyDescent="0.2">
      <c r="A4361">
        <v>5059</v>
      </c>
      <c r="B4361" t="s">
        <v>8483</v>
      </c>
      <c r="C4361" t="s">
        <v>18</v>
      </c>
      <c r="D4361" t="s">
        <v>4038</v>
      </c>
      <c r="E4361" t="s">
        <v>4040</v>
      </c>
      <c r="F4361" t="s">
        <v>151</v>
      </c>
      <c r="G4361" t="s">
        <v>24</v>
      </c>
      <c r="I4361" t="b">
        <v>0</v>
      </c>
      <c r="J4361" t="b">
        <v>0</v>
      </c>
      <c r="L4361" t="b">
        <v>0</v>
      </c>
      <c r="M4361" t="str">
        <f>HYPERLINK("https://arizona.app.box.com/file/389173778635")</f>
        <v>https://arizona.app.box.com/file/389173778635</v>
      </c>
      <c r="N4361" t="str">
        <f>HYPERLINK("https://arizona.app.box.com/file/386226309731")</f>
        <v>https://arizona.app.box.com/file/386226309731</v>
      </c>
    </row>
    <row r="4363" spans="1:25" x14ac:dyDescent="0.2">
      <c r="A4363" s="2">
        <v>707</v>
      </c>
      <c r="B4363" s="2" t="s">
        <v>8486</v>
      </c>
      <c r="C4363" s="2" t="s">
        <v>13</v>
      </c>
      <c r="D4363" s="2" t="s">
        <v>6874</v>
      </c>
      <c r="E4363" s="2" t="s">
        <v>8487</v>
      </c>
      <c r="F4363" s="2" t="s">
        <v>420</v>
      </c>
      <c r="G4363" s="2" t="s">
        <v>252</v>
      </c>
      <c r="H4363" s="2"/>
      <c r="I4363" s="2"/>
      <c r="J4363" s="2"/>
      <c r="K4363" s="2"/>
      <c r="L4363" s="2"/>
      <c r="M4363" s="2"/>
      <c r="N4363" s="2"/>
      <c r="O4363" s="2"/>
      <c r="P4363" s="2"/>
      <c r="Q4363" s="2"/>
      <c r="R4363" s="2"/>
      <c r="S4363" s="2"/>
      <c r="T4363" s="2"/>
      <c r="U4363" s="2"/>
      <c r="V4363" s="2"/>
      <c r="W4363" s="2"/>
      <c r="X4363" s="2"/>
      <c r="Y4363" s="2"/>
    </row>
    <row r="4364" spans="1:25" x14ac:dyDescent="0.2">
      <c r="A4364">
        <v>708</v>
      </c>
      <c r="B4364" t="s">
        <v>8486</v>
      </c>
      <c r="C4364" t="s">
        <v>18</v>
      </c>
      <c r="D4364" t="s">
        <v>6874</v>
      </c>
      <c r="E4364" t="s">
        <v>5951</v>
      </c>
      <c r="F4364" t="s">
        <v>420</v>
      </c>
      <c r="G4364" t="s">
        <v>252</v>
      </c>
      <c r="I4364" t="b">
        <v>1</v>
      </c>
      <c r="J4364" t="b">
        <v>1</v>
      </c>
      <c r="L4364" t="b">
        <v>1</v>
      </c>
      <c r="M4364" t="str">
        <f>HYPERLINK("https://arizona.app.box.com/file/389256879622")</f>
        <v>https://arizona.app.box.com/file/389256879622</v>
      </c>
      <c r="N4364" t="str">
        <f>HYPERLINK("https://arizona.app.box.com/file/389164469116")</f>
        <v>https://arizona.app.box.com/file/389164469116</v>
      </c>
    </row>
    <row r="4365" spans="1:25" x14ac:dyDescent="0.2">
      <c r="A4365">
        <v>709</v>
      </c>
      <c r="B4365" t="s">
        <v>8486</v>
      </c>
      <c r="C4365" t="s">
        <v>18</v>
      </c>
      <c r="D4365" t="s">
        <v>4307</v>
      </c>
      <c r="E4365" t="s">
        <v>4308</v>
      </c>
      <c r="F4365" t="s">
        <v>420</v>
      </c>
      <c r="G4365" t="s">
        <v>252</v>
      </c>
      <c r="I4365" t="b">
        <v>0</v>
      </c>
      <c r="J4365" t="b">
        <v>0</v>
      </c>
      <c r="L4365" t="b">
        <v>0</v>
      </c>
      <c r="M4365" t="str">
        <f>HYPERLINK("https://arizona.app.box.com/file/389154072848")</f>
        <v>https://arizona.app.box.com/file/389154072848</v>
      </c>
      <c r="N4365" t="str">
        <f>HYPERLINK("https://arizona.app.box.com/file/386225521097")</f>
        <v>https://arizona.app.box.com/file/386225521097</v>
      </c>
    </row>
    <row r="4366" spans="1:25" x14ac:dyDescent="0.2">
      <c r="A4366">
        <v>710</v>
      </c>
      <c r="B4366" t="s">
        <v>8486</v>
      </c>
      <c r="C4366" t="s">
        <v>18</v>
      </c>
      <c r="D4366" t="s">
        <v>6877</v>
      </c>
      <c r="E4366" t="s">
        <v>6878</v>
      </c>
      <c r="F4366" t="s">
        <v>420</v>
      </c>
      <c r="G4366" t="s">
        <v>252</v>
      </c>
      <c r="I4366" t="b">
        <v>0</v>
      </c>
      <c r="J4366" t="b">
        <v>0</v>
      </c>
      <c r="L4366" t="b">
        <v>0</v>
      </c>
      <c r="M4366" t="str">
        <f>HYPERLINK("https://arizona.app.box.com/file/389263141128")</f>
        <v>https://arizona.app.box.com/file/389263141128</v>
      </c>
      <c r="N4366" t="str">
        <f>HYPERLINK("https://arizona.app.box.com/file/389152741307")</f>
        <v>https://arizona.app.box.com/file/389152741307</v>
      </c>
    </row>
    <row r="4367" spans="1:25" x14ac:dyDescent="0.2">
      <c r="A4367">
        <v>711</v>
      </c>
      <c r="B4367" t="s">
        <v>8486</v>
      </c>
      <c r="C4367" t="s">
        <v>18</v>
      </c>
      <c r="D4367" t="s">
        <v>4807</v>
      </c>
      <c r="E4367" t="s">
        <v>3035</v>
      </c>
      <c r="F4367" t="s">
        <v>420</v>
      </c>
      <c r="G4367" t="s">
        <v>252</v>
      </c>
      <c r="I4367" t="b">
        <v>0</v>
      </c>
      <c r="J4367" t="b">
        <v>0</v>
      </c>
      <c r="L4367" t="b">
        <v>0</v>
      </c>
      <c r="M4367" t="str">
        <f>HYPERLINK("https://arizona.app.box.com/file/386247154753")</f>
        <v>https://arizona.app.box.com/file/386247154753</v>
      </c>
    </row>
    <row r="4368" spans="1:25" x14ac:dyDescent="0.2">
      <c r="A4368">
        <v>712</v>
      </c>
      <c r="B4368" t="s">
        <v>8486</v>
      </c>
      <c r="C4368" t="s">
        <v>18</v>
      </c>
      <c r="D4368" t="s">
        <v>8488</v>
      </c>
      <c r="E4368" t="s">
        <v>588</v>
      </c>
      <c r="F4368" t="s">
        <v>420</v>
      </c>
      <c r="G4368" t="s">
        <v>252</v>
      </c>
      <c r="I4368" t="b">
        <v>0</v>
      </c>
      <c r="J4368" t="b">
        <v>1</v>
      </c>
      <c r="L4368" t="b">
        <v>1</v>
      </c>
      <c r="M4368" t="str">
        <f>HYPERLINK("https://arizona.app.box.com/file/386244166796")</f>
        <v>https://arizona.app.box.com/file/386244166796</v>
      </c>
    </row>
    <row r="4370" spans="1:25" x14ac:dyDescent="0.2">
      <c r="A4370" s="2">
        <v>819</v>
      </c>
      <c r="B4370" s="2" t="s">
        <v>8489</v>
      </c>
      <c r="C4370" s="2" t="s">
        <v>13</v>
      </c>
      <c r="D4370" s="2" t="s">
        <v>8490</v>
      </c>
      <c r="E4370" s="2" t="s">
        <v>8491</v>
      </c>
      <c r="F4370" s="2" t="s">
        <v>369</v>
      </c>
      <c r="G4370" s="2" t="s">
        <v>17</v>
      </c>
      <c r="H4370" s="2"/>
      <c r="I4370" s="2"/>
      <c r="J4370" s="2"/>
      <c r="K4370" s="2"/>
      <c r="L4370" s="2"/>
      <c r="M4370" s="2"/>
      <c r="N4370" s="2"/>
      <c r="O4370" s="2"/>
      <c r="P4370" s="2"/>
      <c r="Q4370" s="2"/>
      <c r="R4370" s="2"/>
      <c r="S4370" s="2"/>
      <c r="T4370" s="2"/>
      <c r="U4370" s="2"/>
      <c r="V4370" s="2"/>
      <c r="W4370" s="2"/>
      <c r="X4370" s="2"/>
      <c r="Y4370" s="2"/>
    </row>
    <row r="4371" spans="1:25" x14ac:dyDescent="0.2">
      <c r="A4371">
        <v>820</v>
      </c>
      <c r="B4371" t="s">
        <v>8489</v>
      </c>
      <c r="C4371" t="s">
        <v>18</v>
      </c>
      <c r="D4371" t="s">
        <v>8490</v>
      </c>
      <c r="E4371" t="s">
        <v>1264</v>
      </c>
      <c r="F4371" t="s">
        <v>369</v>
      </c>
      <c r="G4371" t="s">
        <v>17</v>
      </c>
      <c r="I4371" t="b">
        <v>1</v>
      </c>
      <c r="J4371" t="b">
        <v>1</v>
      </c>
      <c r="L4371" t="b">
        <v>1</v>
      </c>
      <c r="M4371" t="str">
        <f>HYPERLINK("https://arizona.app.box.com/file/389154414218")</f>
        <v>https://arizona.app.box.com/file/389154414218</v>
      </c>
    </row>
    <row r="4372" spans="1:25" x14ac:dyDescent="0.2">
      <c r="A4372">
        <v>821</v>
      </c>
      <c r="B4372" t="s">
        <v>8489</v>
      </c>
      <c r="C4372" t="s">
        <v>18</v>
      </c>
      <c r="D4372" t="s">
        <v>8492</v>
      </c>
      <c r="E4372" t="s">
        <v>2408</v>
      </c>
      <c r="F4372" t="s">
        <v>369</v>
      </c>
      <c r="G4372" t="s">
        <v>17</v>
      </c>
      <c r="I4372" t="b">
        <v>0</v>
      </c>
      <c r="J4372" t="b">
        <v>1</v>
      </c>
      <c r="L4372" t="b">
        <v>1</v>
      </c>
      <c r="M4372" t="str">
        <f>HYPERLINK("https://arizona.app.box.com/file/389268633890")</f>
        <v>https://arizona.app.box.com/file/389268633890</v>
      </c>
      <c r="N4372" t="str">
        <f>HYPERLINK("https://arizona.app.box.com/file/389153469809")</f>
        <v>https://arizona.app.box.com/file/389153469809</v>
      </c>
    </row>
    <row r="4373" spans="1:25" x14ac:dyDescent="0.2">
      <c r="A4373">
        <v>822</v>
      </c>
      <c r="B4373" t="s">
        <v>8489</v>
      </c>
      <c r="C4373" t="s">
        <v>18</v>
      </c>
      <c r="D4373" t="s">
        <v>8493</v>
      </c>
      <c r="E4373" t="s">
        <v>3049</v>
      </c>
      <c r="F4373" t="s">
        <v>616</v>
      </c>
      <c r="G4373" t="s">
        <v>345</v>
      </c>
      <c r="I4373" t="b">
        <v>0</v>
      </c>
      <c r="J4373" t="b">
        <v>0</v>
      </c>
      <c r="L4373" t="b">
        <v>0</v>
      </c>
      <c r="M4373" t="str">
        <f>HYPERLINK("https://arizona.app.box.com/file/389260945456")</f>
        <v>https://arizona.app.box.com/file/389260945456</v>
      </c>
      <c r="N4373" t="str">
        <f>HYPERLINK("https://arizona.app.box.com/file/389153346295")</f>
        <v>https://arizona.app.box.com/file/389153346295</v>
      </c>
    </row>
    <row r="4374" spans="1:25" x14ac:dyDescent="0.2">
      <c r="A4374">
        <v>823</v>
      </c>
      <c r="B4374" t="s">
        <v>8489</v>
      </c>
      <c r="C4374" t="s">
        <v>18</v>
      </c>
      <c r="D4374" t="s">
        <v>8494</v>
      </c>
      <c r="E4374" t="s">
        <v>282</v>
      </c>
      <c r="F4374" t="s">
        <v>369</v>
      </c>
      <c r="G4374" t="s">
        <v>62</v>
      </c>
      <c r="I4374" t="b">
        <v>0</v>
      </c>
      <c r="J4374" t="b">
        <v>0</v>
      </c>
      <c r="L4374" t="b">
        <v>0</v>
      </c>
    </row>
    <row r="4375" spans="1:25" x14ac:dyDescent="0.2">
      <c r="A4375">
        <v>824</v>
      </c>
      <c r="B4375" t="s">
        <v>8489</v>
      </c>
      <c r="C4375" t="s">
        <v>18</v>
      </c>
      <c r="D4375" t="s">
        <v>8495</v>
      </c>
      <c r="E4375" t="s">
        <v>4097</v>
      </c>
      <c r="F4375" t="s">
        <v>670</v>
      </c>
      <c r="G4375" t="s">
        <v>134</v>
      </c>
      <c r="I4375" t="b">
        <v>0</v>
      </c>
      <c r="J4375" t="b">
        <v>0</v>
      </c>
      <c r="L4375" t="b">
        <v>0</v>
      </c>
      <c r="M4375" t="str">
        <f>HYPERLINK("https://arizona.app.box.com/file/389256927534")</f>
        <v>https://arizona.app.box.com/file/389256927534</v>
      </c>
      <c r="N4375" t="str">
        <f>HYPERLINK("https://arizona.app.box.com/file/389167070484")</f>
        <v>https://arizona.app.box.com/file/389167070484</v>
      </c>
    </row>
    <row r="4377" spans="1:25" x14ac:dyDescent="0.2">
      <c r="A4377" s="2">
        <v>3808</v>
      </c>
      <c r="B4377" s="2" t="s">
        <v>8496</v>
      </c>
      <c r="C4377" s="2" t="s">
        <v>13</v>
      </c>
      <c r="D4377" s="2" t="s">
        <v>8497</v>
      </c>
      <c r="E4377" s="2" t="s">
        <v>8498</v>
      </c>
      <c r="F4377" s="2" t="s">
        <v>78</v>
      </c>
      <c r="G4377" s="2" t="s">
        <v>17</v>
      </c>
      <c r="H4377" s="2"/>
      <c r="I4377" s="2"/>
      <c r="J4377" s="2"/>
      <c r="K4377" s="2"/>
      <c r="L4377" s="2"/>
      <c r="M4377" s="2"/>
      <c r="N4377" s="2"/>
      <c r="O4377" s="2"/>
      <c r="P4377" s="2"/>
      <c r="Q4377" s="2"/>
      <c r="R4377" s="2"/>
      <c r="S4377" s="2"/>
      <c r="T4377" s="2"/>
      <c r="U4377" s="2"/>
      <c r="V4377" s="2"/>
      <c r="W4377" s="2"/>
      <c r="X4377" s="2"/>
      <c r="Y4377" s="2"/>
    </row>
    <row r="4378" spans="1:25" x14ac:dyDescent="0.2">
      <c r="A4378">
        <v>3809</v>
      </c>
      <c r="B4378" t="s">
        <v>8496</v>
      </c>
      <c r="C4378" t="s">
        <v>18</v>
      </c>
      <c r="D4378" t="s">
        <v>8497</v>
      </c>
      <c r="E4378" t="s">
        <v>8498</v>
      </c>
      <c r="F4378" t="s">
        <v>78</v>
      </c>
      <c r="G4378" t="s">
        <v>17</v>
      </c>
      <c r="I4378" t="b">
        <v>1</v>
      </c>
      <c r="J4378" t="b">
        <v>1</v>
      </c>
      <c r="L4378" t="b">
        <v>1</v>
      </c>
      <c r="M4378" t="str">
        <f>HYPERLINK("https://arizona.app.box.com/file/389138031265")</f>
        <v>https://arizona.app.box.com/file/389138031265</v>
      </c>
      <c r="N4378" t="str">
        <f>HYPERLINK("https://arizona.app.box.com/file/389133356013")</f>
        <v>https://arizona.app.box.com/file/389133356013</v>
      </c>
    </row>
    <row r="4379" spans="1:25" x14ac:dyDescent="0.2">
      <c r="A4379">
        <v>3810</v>
      </c>
      <c r="B4379" t="s">
        <v>8496</v>
      </c>
      <c r="C4379" t="s">
        <v>18</v>
      </c>
      <c r="D4379" t="s">
        <v>8499</v>
      </c>
      <c r="E4379" t="s">
        <v>8500</v>
      </c>
      <c r="F4379" t="s">
        <v>82</v>
      </c>
      <c r="G4379" t="s">
        <v>17</v>
      </c>
      <c r="I4379" t="b">
        <v>0</v>
      </c>
      <c r="J4379" t="b">
        <v>0</v>
      </c>
      <c r="L4379" t="b">
        <v>0</v>
      </c>
    </row>
    <row r="4380" spans="1:25" x14ac:dyDescent="0.2">
      <c r="A4380">
        <v>3811</v>
      </c>
      <c r="B4380" t="s">
        <v>8496</v>
      </c>
      <c r="C4380" t="s">
        <v>18</v>
      </c>
      <c r="D4380" t="s">
        <v>8501</v>
      </c>
      <c r="E4380" t="s">
        <v>8502</v>
      </c>
      <c r="F4380" t="s">
        <v>82</v>
      </c>
      <c r="G4380" t="s">
        <v>17</v>
      </c>
      <c r="I4380" t="b">
        <v>0</v>
      </c>
      <c r="J4380" t="b">
        <v>0</v>
      </c>
      <c r="L4380" t="b">
        <v>0</v>
      </c>
    </row>
    <row r="4381" spans="1:25" x14ac:dyDescent="0.2">
      <c r="A4381">
        <v>3812</v>
      </c>
      <c r="B4381" t="s">
        <v>8496</v>
      </c>
      <c r="C4381" t="s">
        <v>18</v>
      </c>
      <c r="D4381" t="s">
        <v>8503</v>
      </c>
      <c r="E4381" t="s">
        <v>8504</v>
      </c>
      <c r="F4381" t="s">
        <v>82</v>
      </c>
      <c r="G4381" t="s">
        <v>17</v>
      </c>
      <c r="I4381" t="b">
        <v>0</v>
      </c>
      <c r="J4381" t="b">
        <v>0</v>
      </c>
      <c r="L4381" t="b">
        <v>0</v>
      </c>
      <c r="M4381" t="str">
        <f>HYPERLINK("https://arizona.app.box.com/file/389264191640")</f>
        <v>https://arizona.app.box.com/file/389264191640</v>
      </c>
      <c r="N4381" t="str">
        <f>HYPERLINK("https://arizona.app.box.com/file/389137300937")</f>
        <v>https://arizona.app.box.com/file/389137300937</v>
      </c>
    </row>
    <row r="4382" spans="1:25" x14ac:dyDescent="0.2">
      <c r="A4382">
        <v>3813</v>
      </c>
      <c r="B4382" t="s">
        <v>8496</v>
      </c>
      <c r="C4382" t="s">
        <v>18</v>
      </c>
      <c r="D4382" t="s">
        <v>8505</v>
      </c>
      <c r="E4382" t="s">
        <v>8506</v>
      </c>
      <c r="F4382" t="s">
        <v>78</v>
      </c>
      <c r="G4382" t="s">
        <v>17</v>
      </c>
      <c r="I4382" t="b">
        <v>0</v>
      </c>
      <c r="J4382" t="b">
        <v>0</v>
      </c>
      <c r="L4382" t="b">
        <v>0</v>
      </c>
    </row>
    <row r="4384" spans="1:25" x14ac:dyDescent="0.2">
      <c r="A4384" s="2">
        <v>6804</v>
      </c>
      <c r="B4384" s="2" t="s">
        <v>8507</v>
      </c>
      <c r="C4384" s="2" t="s">
        <v>13</v>
      </c>
      <c r="D4384" s="2" t="s">
        <v>8508</v>
      </c>
      <c r="E4384" s="2" t="s">
        <v>8509</v>
      </c>
      <c r="F4384" s="2" t="s">
        <v>369</v>
      </c>
      <c r="G4384" s="2" t="s">
        <v>17</v>
      </c>
      <c r="H4384" s="2"/>
      <c r="I4384" s="2"/>
      <c r="J4384" s="2"/>
      <c r="K4384" s="2"/>
      <c r="L4384" s="2"/>
      <c r="M4384" s="2"/>
      <c r="N4384" s="2"/>
      <c r="O4384" s="2"/>
      <c r="P4384" s="2"/>
      <c r="Q4384" s="2"/>
      <c r="R4384" s="2"/>
      <c r="S4384" s="2"/>
      <c r="T4384" s="2"/>
      <c r="U4384" s="2"/>
      <c r="V4384" s="2"/>
      <c r="W4384" s="2"/>
      <c r="X4384" s="2"/>
      <c r="Y4384" s="2"/>
    </row>
    <row r="4385" spans="1:25" x14ac:dyDescent="0.2">
      <c r="A4385">
        <v>6805</v>
      </c>
      <c r="B4385" t="s">
        <v>8507</v>
      </c>
      <c r="C4385" t="s">
        <v>18</v>
      </c>
      <c r="D4385" t="s">
        <v>8508</v>
      </c>
      <c r="E4385" t="s">
        <v>8509</v>
      </c>
      <c r="F4385" t="s">
        <v>369</v>
      </c>
      <c r="G4385" t="s">
        <v>17</v>
      </c>
      <c r="I4385" t="b">
        <v>1</v>
      </c>
      <c r="J4385" t="b">
        <v>1</v>
      </c>
      <c r="L4385" t="b">
        <v>1</v>
      </c>
      <c r="M4385" t="str">
        <f>HYPERLINK("https://arizona.app.box.com/file/389154254720")</f>
        <v>https://arizona.app.box.com/file/389154254720</v>
      </c>
      <c r="N4385" t="str">
        <f>HYPERLINK("https://arizona.app.box.com/file/386225364095")</f>
        <v>https://arizona.app.box.com/file/386225364095</v>
      </c>
      <c r="O4385" t="str">
        <f>HYPERLINK("https://arizona.app.box.com/file/389164137754")</f>
        <v>https://arizona.app.box.com/file/389164137754</v>
      </c>
      <c r="P4385" t="str">
        <f>HYPERLINK("https://arizona.app.box.com/file/386240998079")</f>
        <v>https://arizona.app.box.com/file/386240998079</v>
      </c>
    </row>
    <row r="4386" spans="1:25" x14ac:dyDescent="0.2">
      <c r="A4386">
        <v>6806</v>
      </c>
      <c r="B4386" t="s">
        <v>8507</v>
      </c>
      <c r="C4386" t="s">
        <v>18</v>
      </c>
      <c r="D4386" t="s">
        <v>8510</v>
      </c>
      <c r="E4386" t="s">
        <v>8511</v>
      </c>
      <c r="F4386" t="s">
        <v>20</v>
      </c>
      <c r="G4386" t="s">
        <v>17</v>
      </c>
      <c r="I4386" t="b">
        <v>0</v>
      </c>
      <c r="J4386" t="b">
        <v>0</v>
      </c>
      <c r="L4386" t="b">
        <v>0</v>
      </c>
      <c r="M4386" t="str">
        <f>HYPERLINK("https://arizona.app.box.com/file/389161568038")</f>
        <v>https://arizona.app.box.com/file/389161568038</v>
      </c>
      <c r="N4386" t="str">
        <f>HYPERLINK("https://arizona.app.box.com/file/389159936717")</f>
        <v>https://arizona.app.box.com/file/389159936717</v>
      </c>
    </row>
    <row r="4387" spans="1:25" x14ac:dyDescent="0.2">
      <c r="A4387">
        <v>6807</v>
      </c>
      <c r="B4387" t="s">
        <v>8507</v>
      </c>
      <c r="C4387" t="s">
        <v>18</v>
      </c>
      <c r="D4387" t="s">
        <v>8512</v>
      </c>
      <c r="E4387" t="s">
        <v>8513</v>
      </c>
      <c r="F4387" t="s">
        <v>82</v>
      </c>
      <c r="G4387" t="s">
        <v>17</v>
      </c>
      <c r="I4387" t="b">
        <v>0</v>
      </c>
      <c r="J4387" t="b">
        <v>0</v>
      </c>
      <c r="L4387" t="b">
        <v>0</v>
      </c>
    </row>
    <row r="4388" spans="1:25" x14ac:dyDescent="0.2">
      <c r="A4388">
        <v>6808</v>
      </c>
      <c r="B4388" t="s">
        <v>8507</v>
      </c>
      <c r="C4388" t="s">
        <v>18</v>
      </c>
      <c r="D4388" t="s">
        <v>7368</v>
      </c>
      <c r="E4388" t="s">
        <v>7369</v>
      </c>
      <c r="F4388" t="s">
        <v>369</v>
      </c>
      <c r="G4388" t="s">
        <v>17</v>
      </c>
      <c r="I4388" t="b">
        <v>0</v>
      </c>
      <c r="J4388" t="b">
        <v>0</v>
      </c>
      <c r="L4388" t="b">
        <v>0</v>
      </c>
      <c r="M4388" t="str">
        <f>HYPERLINK("https://arizona.app.box.com/file/389150393078")</f>
        <v>https://arizona.app.box.com/file/389150393078</v>
      </c>
      <c r="N4388" t="str">
        <f>HYPERLINK("https://arizona.app.box.com/file/389152628474")</f>
        <v>https://arizona.app.box.com/file/389152628474</v>
      </c>
    </row>
    <row r="4389" spans="1:25" x14ac:dyDescent="0.2">
      <c r="A4389">
        <v>6809</v>
      </c>
      <c r="B4389" t="s">
        <v>8507</v>
      </c>
      <c r="C4389" t="s">
        <v>18</v>
      </c>
      <c r="D4389" t="s">
        <v>8514</v>
      </c>
      <c r="E4389" t="s">
        <v>8491</v>
      </c>
      <c r="F4389" t="s">
        <v>122</v>
      </c>
      <c r="G4389" t="s">
        <v>17</v>
      </c>
      <c r="I4389" t="b">
        <v>0</v>
      </c>
      <c r="J4389" t="b">
        <v>0</v>
      </c>
      <c r="L4389" t="b">
        <v>0</v>
      </c>
      <c r="M4389" t="str">
        <f>HYPERLINK("https://arizona.app.box.com/file/389268401542")</f>
        <v>https://arizona.app.box.com/file/389268401542</v>
      </c>
      <c r="N4389" t="str">
        <f>HYPERLINK("https://arizona.app.box.com/file/389172580228")</f>
        <v>https://arizona.app.box.com/file/389172580228</v>
      </c>
      <c r="O4389" t="str">
        <f>HYPERLINK("https://arizona.app.box.com/file/389169342449")</f>
        <v>https://arizona.app.box.com/file/389169342449</v>
      </c>
    </row>
    <row r="4391" spans="1:25" x14ac:dyDescent="0.2">
      <c r="A4391" s="2">
        <v>5208</v>
      </c>
      <c r="B4391" s="2" t="s">
        <v>8515</v>
      </c>
      <c r="C4391" s="2" t="s">
        <v>13</v>
      </c>
      <c r="D4391" s="2" t="s">
        <v>6545</v>
      </c>
      <c r="E4391" s="2" t="s">
        <v>6546</v>
      </c>
      <c r="F4391" s="2" t="s">
        <v>78</v>
      </c>
      <c r="G4391" s="2" t="s">
        <v>134</v>
      </c>
      <c r="H4391" s="2"/>
      <c r="I4391" s="2"/>
      <c r="J4391" s="2"/>
      <c r="K4391" s="2"/>
      <c r="L4391" s="2"/>
      <c r="M4391" s="2"/>
      <c r="N4391" s="2"/>
      <c r="O4391" s="2"/>
      <c r="P4391" s="2"/>
      <c r="Q4391" s="2"/>
      <c r="R4391" s="2"/>
      <c r="S4391" s="2"/>
      <c r="T4391" s="2"/>
      <c r="U4391" s="2"/>
      <c r="V4391" s="2"/>
      <c r="W4391" s="2"/>
      <c r="X4391" s="2"/>
      <c r="Y4391" s="2"/>
    </row>
    <row r="4392" spans="1:25" x14ac:dyDescent="0.2">
      <c r="A4392">
        <v>5209</v>
      </c>
      <c r="B4392" t="s">
        <v>8515</v>
      </c>
      <c r="C4392" t="s">
        <v>18</v>
      </c>
      <c r="D4392" t="s">
        <v>6545</v>
      </c>
      <c r="E4392" t="s">
        <v>6546</v>
      </c>
      <c r="F4392" t="s">
        <v>78</v>
      </c>
      <c r="G4392" t="s">
        <v>134</v>
      </c>
      <c r="I4392" t="b">
        <v>1</v>
      </c>
      <c r="J4392" t="b">
        <v>1</v>
      </c>
      <c r="L4392" t="b">
        <v>1</v>
      </c>
      <c r="M4392" t="str">
        <f>HYPERLINK("https://arizona.app.box.com/file/389164572564")</f>
        <v>https://arizona.app.box.com/file/389164572564</v>
      </c>
      <c r="N4392" t="str">
        <f>HYPERLINK("https://arizona.app.box.com/file/389165135928")</f>
        <v>https://arizona.app.box.com/file/389165135928</v>
      </c>
    </row>
    <row r="4393" spans="1:25" x14ac:dyDescent="0.2">
      <c r="A4393">
        <v>5210</v>
      </c>
      <c r="B4393" t="s">
        <v>8515</v>
      </c>
      <c r="C4393" t="s">
        <v>18</v>
      </c>
      <c r="D4393" t="s">
        <v>8143</v>
      </c>
      <c r="E4393" t="s">
        <v>5940</v>
      </c>
      <c r="F4393" t="s">
        <v>174</v>
      </c>
      <c r="G4393" t="s">
        <v>17</v>
      </c>
      <c r="I4393" t="b">
        <v>0</v>
      </c>
      <c r="J4393" t="b">
        <v>0</v>
      </c>
      <c r="L4393" t="b">
        <v>0</v>
      </c>
      <c r="M4393" t="str">
        <f>HYPERLINK("https://arizona.app.box.com/file/389166874544")</f>
        <v>https://arizona.app.box.com/file/389166874544</v>
      </c>
    </row>
    <row r="4394" spans="1:25" x14ac:dyDescent="0.2">
      <c r="A4394">
        <v>5211</v>
      </c>
      <c r="B4394" t="s">
        <v>8515</v>
      </c>
      <c r="C4394" t="s">
        <v>18</v>
      </c>
      <c r="D4394" t="s">
        <v>8516</v>
      </c>
      <c r="E4394" t="s">
        <v>1472</v>
      </c>
      <c r="F4394" t="s">
        <v>122</v>
      </c>
      <c r="G4394" t="s">
        <v>17</v>
      </c>
      <c r="I4394" t="b">
        <v>0</v>
      </c>
      <c r="J4394" t="b">
        <v>0</v>
      </c>
      <c r="L4394" t="b">
        <v>0</v>
      </c>
      <c r="M4394" t="str">
        <f>HYPERLINK("https://arizona.app.box.com/file/389261011517")</f>
        <v>https://arizona.app.box.com/file/389261011517</v>
      </c>
      <c r="N4394" t="str">
        <f>HYPERLINK("https://arizona.app.box.com/file/389152400654")</f>
        <v>https://arizona.app.box.com/file/389152400654</v>
      </c>
    </row>
    <row r="4395" spans="1:25" x14ac:dyDescent="0.2">
      <c r="A4395">
        <v>5212</v>
      </c>
      <c r="B4395" t="s">
        <v>8515</v>
      </c>
      <c r="C4395" t="s">
        <v>18</v>
      </c>
      <c r="D4395" t="s">
        <v>8138</v>
      </c>
      <c r="E4395" t="s">
        <v>8137</v>
      </c>
      <c r="F4395" t="s">
        <v>31</v>
      </c>
      <c r="G4395" t="s">
        <v>917</v>
      </c>
      <c r="I4395" t="b">
        <v>0</v>
      </c>
      <c r="J4395" t="b">
        <v>0</v>
      </c>
      <c r="L4395" t="b">
        <v>0</v>
      </c>
      <c r="M4395" t="str">
        <f>HYPERLINK("https://arizona.app.box.com/file/389268158507")</f>
        <v>https://arizona.app.box.com/file/389268158507</v>
      </c>
      <c r="N4395" t="str">
        <f>HYPERLINK("https://arizona.app.box.com/file/389152871591")</f>
        <v>https://arizona.app.box.com/file/389152871591</v>
      </c>
      <c r="O4395" t="str">
        <f>HYPERLINK("https://arizona.app.box.com/file/389264981622")</f>
        <v>https://arizona.app.box.com/file/389264981622</v>
      </c>
      <c r="P4395" t="str">
        <f>HYPERLINK("https://arizona.app.box.com/file/389164863661")</f>
        <v>https://arizona.app.box.com/file/389164863661</v>
      </c>
    </row>
    <row r="4396" spans="1:25" x14ac:dyDescent="0.2">
      <c r="A4396">
        <v>5213</v>
      </c>
      <c r="B4396" t="s">
        <v>8515</v>
      </c>
      <c r="C4396" t="s">
        <v>18</v>
      </c>
      <c r="D4396" t="s">
        <v>8517</v>
      </c>
      <c r="E4396" t="s">
        <v>8518</v>
      </c>
      <c r="F4396" t="s">
        <v>78</v>
      </c>
      <c r="G4396" t="s">
        <v>17</v>
      </c>
      <c r="I4396" t="b">
        <v>0</v>
      </c>
      <c r="J4396" t="b">
        <v>0</v>
      </c>
      <c r="L4396" t="b">
        <v>0</v>
      </c>
      <c r="M4396" t="str">
        <f>HYPERLINK("https://arizona.app.box.com/file/389168673875")</f>
        <v>https://arizona.app.box.com/file/389168673875</v>
      </c>
      <c r="N4396" t="str">
        <f>HYPERLINK("https://arizona.app.box.com/file/386216223225")</f>
        <v>https://arizona.app.box.com/file/386216223225</v>
      </c>
    </row>
    <row r="4398" spans="1:25" x14ac:dyDescent="0.2">
      <c r="A4398" s="2">
        <v>6174</v>
      </c>
      <c r="B4398" s="2" t="s">
        <v>8519</v>
      </c>
      <c r="C4398" s="2" t="s">
        <v>13</v>
      </c>
      <c r="D4398" s="2" t="s">
        <v>8520</v>
      </c>
      <c r="E4398" s="2" t="s">
        <v>8521</v>
      </c>
      <c r="F4398" s="2" t="s">
        <v>144</v>
      </c>
      <c r="G4398" s="2" t="s">
        <v>252</v>
      </c>
      <c r="H4398" s="2"/>
      <c r="I4398" s="2"/>
      <c r="J4398" s="2"/>
      <c r="K4398" s="2"/>
      <c r="L4398" s="2"/>
      <c r="M4398" s="2"/>
      <c r="N4398" s="2"/>
      <c r="O4398" s="2"/>
      <c r="P4398" s="2"/>
      <c r="Q4398" s="2"/>
      <c r="R4398" s="2"/>
      <c r="S4398" s="2"/>
      <c r="T4398" s="2"/>
      <c r="U4398" s="2"/>
      <c r="V4398" s="2"/>
      <c r="W4398" s="2"/>
      <c r="X4398" s="2"/>
      <c r="Y4398" s="2"/>
    </row>
    <row r="4399" spans="1:25" x14ac:dyDescent="0.2">
      <c r="A4399">
        <v>6175</v>
      </c>
      <c r="B4399" t="s">
        <v>8519</v>
      </c>
      <c r="C4399" t="s">
        <v>18</v>
      </c>
      <c r="D4399" t="s">
        <v>8520</v>
      </c>
      <c r="E4399" t="s">
        <v>8521</v>
      </c>
      <c r="F4399" t="s">
        <v>144</v>
      </c>
      <c r="G4399" t="s">
        <v>252</v>
      </c>
      <c r="I4399" t="b">
        <v>1</v>
      </c>
      <c r="J4399" t="b">
        <v>1</v>
      </c>
      <c r="L4399" t="b">
        <v>1</v>
      </c>
      <c r="M4399" t="str">
        <f>HYPERLINK("https://arizona.app.box.com/file/386241115778")</f>
        <v>https://arizona.app.box.com/file/386241115778</v>
      </c>
      <c r="N4399" t="str">
        <f>HYPERLINK("https://arizona.app.box.com/file/386241113911")</f>
        <v>https://arizona.app.box.com/file/386241113911</v>
      </c>
    </row>
    <row r="4400" spans="1:25" x14ac:dyDescent="0.2">
      <c r="A4400">
        <v>6176</v>
      </c>
      <c r="B4400" t="s">
        <v>8519</v>
      </c>
      <c r="C4400" t="s">
        <v>18</v>
      </c>
      <c r="D4400" t="s">
        <v>1549</v>
      </c>
      <c r="E4400" t="s">
        <v>1550</v>
      </c>
      <c r="F4400" t="s">
        <v>205</v>
      </c>
      <c r="G4400" t="s">
        <v>252</v>
      </c>
      <c r="I4400" t="b">
        <v>0</v>
      </c>
      <c r="J4400" t="b">
        <v>0</v>
      </c>
      <c r="L4400" t="b">
        <v>0</v>
      </c>
      <c r="M4400" t="str">
        <f>HYPERLINK("https://arizona.app.box.com/file/386248292743")</f>
        <v>https://arizona.app.box.com/file/386248292743</v>
      </c>
    </row>
    <row r="4401" spans="1:25" x14ac:dyDescent="0.2">
      <c r="A4401">
        <v>6177</v>
      </c>
      <c r="B4401" t="s">
        <v>8519</v>
      </c>
      <c r="C4401" t="s">
        <v>18</v>
      </c>
      <c r="D4401" t="s">
        <v>3795</v>
      </c>
      <c r="E4401" t="s">
        <v>195</v>
      </c>
      <c r="F4401" t="s">
        <v>654</v>
      </c>
      <c r="G4401" t="s">
        <v>252</v>
      </c>
      <c r="I4401" t="b">
        <v>0</v>
      </c>
      <c r="J4401" t="b">
        <v>0</v>
      </c>
      <c r="L4401" t="b">
        <v>0</v>
      </c>
      <c r="M4401" t="str">
        <f>HYPERLINK("https://arizona.app.box.com/file/389266081029")</f>
        <v>https://arizona.app.box.com/file/389266081029</v>
      </c>
      <c r="N4401" t="str">
        <f>HYPERLINK("https://arizona.app.box.com/file/389162098174")</f>
        <v>https://arizona.app.box.com/file/389162098174</v>
      </c>
    </row>
    <row r="4402" spans="1:25" x14ac:dyDescent="0.2">
      <c r="A4402">
        <v>6178</v>
      </c>
      <c r="B4402" t="s">
        <v>8519</v>
      </c>
      <c r="C4402" t="s">
        <v>18</v>
      </c>
      <c r="D4402" t="s">
        <v>4435</v>
      </c>
      <c r="E4402" t="s">
        <v>4436</v>
      </c>
      <c r="F4402" t="s">
        <v>316</v>
      </c>
      <c r="G4402" t="s">
        <v>252</v>
      </c>
      <c r="I4402" t="b">
        <v>0</v>
      </c>
      <c r="J4402" t="b">
        <v>0</v>
      </c>
      <c r="L4402" t="b">
        <v>0</v>
      </c>
      <c r="M4402" t="str">
        <f>HYPERLINK("https://arizona.app.box.com/file/386260269266")</f>
        <v>https://arizona.app.box.com/file/386260269266</v>
      </c>
      <c r="N4402" t="str">
        <f>HYPERLINK("https://arizona.app.box.com/file/386245253679")</f>
        <v>https://arizona.app.box.com/file/386245253679</v>
      </c>
    </row>
    <row r="4403" spans="1:25" x14ac:dyDescent="0.2">
      <c r="A4403">
        <v>6179</v>
      </c>
      <c r="B4403" t="s">
        <v>8519</v>
      </c>
      <c r="C4403" t="s">
        <v>18</v>
      </c>
      <c r="D4403" t="s">
        <v>8522</v>
      </c>
      <c r="E4403" t="s">
        <v>8523</v>
      </c>
      <c r="F4403" t="s">
        <v>144</v>
      </c>
      <c r="G4403" t="s">
        <v>252</v>
      </c>
      <c r="I4403" t="b">
        <v>0</v>
      </c>
      <c r="J4403" t="b">
        <v>0</v>
      </c>
      <c r="L4403" t="b">
        <v>0</v>
      </c>
    </row>
    <row r="4405" spans="1:25" x14ac:dyDescent="0.2">
      <c r="A4405" s="2">
        <v>5271</v>
      </c>
      <c r="B4405" s="2" t="s">
        <v>8524</v>
      </c>
      <c r="C4405" s="2" t="s">
        <v>13</v>
      </c>
      <c r="D4405" s="2" t="s">
        <v>8525</v>
      </c>
      <c r="E4405" s="2" t="s">
        <v>8526</v>
      </c>
      <c r="F4405" s="2" t="s">
        <v>8527</v>
      </c>
      <c r="G4405" s="2" t="s">
        <v>8528</v>
      </c>
      <c r="H4405" s="2"/>
      <c r="I4405" s="2"/>
      <c r="J4405" s="2"/>
      <c r="K4405" s="2"/>
      <c r="L4405" s="2"/>
      <c r="M4405" s="2"/>
      <c r="N4405" s="2"/>
      <c r="O4405" s="2"/>
      <c r="P4405" s="2"/>
      <c r="Q4405" s="2"/>
      <c r="R4405" s="2"/>
      <c r="S4405" s="2"/>
      <c r="T4405" s="2"/>
      <c r="U4405" s="2"/>
      <c r="V4405" s="2"/>
      <c r="W4405" s="2"/>
      <c r="X4405" s="2"/>
      <c r="Y4405" s="2"/>
    </row>
    <row r="4406" spans="1:25" x14ac:dyDescent="0.2">
      <c r="A4406">
        <v>5272</v>
      </c>
      <c r="B4406" t="s">
        <v>8524</v>
      </c>
      <c r="C4406" t="s">
        <v>18</v>
      </c>
      <c r="D4406" t="s">
        <v>8525</v>
      </c>
      <c r="E4406" t="s">
        <v>4071</v>
      </c>
      <c r="F4406" t="s">
        <v>8527</v>
      </c>
      <c r="G4406" t="s">
        <v>8528</v>
      </c>
      <c r="I4406" t="b">
        <v>1</v>
      </c>
      <c r="J4406" t="b">
        <v>1</v>
      </c>
      <c r="L4406" t="b">
        <v>1</v>
      </c>
      <c r="M4406" t="str">
        <f>HYPERLINK("https://arizona.app.box.com/file/389164695934")</f>
        <v>https://arizona.app.box.com/file/389164695934</v>
      </c>
      <c r="N4406" t="str">
        <f>HYPERLINK("https://arizona.app.box.com/file/386244382224")</f>
        <v>https://arizona.app.box.com/file/386244382224</v>
      </c>
    </row>
    <row r="4407" spans="1:25" x14ac:dyDescent="0.2">
      <c r="A4407">
        <v>5273</v>
      </c>
      <c r="B4407" t="s">
        <v>8524</v>
      </c>
      <c r="C4407" t="s">
        <v>18</v>
      </c>
      <c r="D4407" t="s">
        <v>8529</v>
      </c>
      <c r="E4407" t="s">
        <v>4688</v>
      </c>
      <c r="F4407" t="s">
        <v>82</v>
      </c>
      <c r="G4407" t="s">
        <v>771</v>
      </c>
      <c r="I4407" t="b">
        <v>0</v>
      </c>
      <c r="J4407" t="b">
        <v>0</v>
      </c>
      <c r="L4407" t="b">
        <v>0</v>
      </c>
      <c r="M4407" t="str">
        <f>HYPERLINK("https://arizona.app.box.com/file/389262257184")</f>
        <v>https://arizona.app.box.com/file/389262257184</v>
      </c>
    </row>
    <row r="4408" spans="1:25" x14ac:dyDescent="0.2">
      <c r="A4408">
        <v>5274</v>
      </c>
      <c r="B4408" t="s">
        <v>8524</v>
      </c>
      <c r="C4408" t="s">
        <v>18</v>
      </c>
      <c r="D4408" t="s">
        <v>8530</v>
      </c>
      <c r="E4408" t="s">
        <v>8531</v>
      </c>
      <c r="F4408" t="s">
        <v>82</v>
      </c>
      <c r="G4408" t="s">
        <v>8528</v>
      </c>
      <c r="I4408" t="b">
        <v>0</v>
      </c>
      <c r="J4408" t="b">
        <v>0</v>
      </c>
      <c r="L4408" t="b">
        <v>0</v>
      </c>
      <c r="M4408" t="str">
        <f>HYPERLINK("https://arizona.app.box.com/file/389256137017")</f>
        <v>https://arizona.app.box.com/file/389256137017</v>
      </c>
      <c r="N4408" t="str">
        <f>HYPERLINK("https://arizona.app.box.com/file/389159129676")</f>
        <v>https://arizona.app.box.com/file/389159129676</v>
      </c>
      <c r="O4408" t="str">
        <f>HYPERLINK("https://arizona.app.box.com/file/386241113911")</f>
        <v>https://arizona.app.box.com/file/386241113911</v>
      </c>
    </row>
    <row r="4409" spans="1:25" x14ac:dyDescent="0.2">
      <c r="A4409">
        <v>5275</v>
      </c>
      <c r="B4409" t="s">
        <v>8524</v>
      </c>
      <c r="C4409" t="s">
        <v>18</v>
      </c>
      <c r="D4409" t="s">
        <v>8532</v>
      </c>
      <c r="E4409" t="s">
        <v>8533</v>
      </c>
      <c r="F4409" t="s">
        <v>82</v>
      </c>
      <c r="G4409" t="s">
        <v>8528</v>
      </c>
      <c r="I4409" t="b">
        <v>0</v>
      </c>
      <c r="J4409" t="b">
        <v>0</v>
      </c>
      <c r="L4409" t="b">
        <v>0</v>
      </c>
      <c r="M4409" t="str">
        <f>HYPERLINK("https://arizona.app.box.com/file/386241839269")</f>
        <v>https://arizona.app.box.com/file/386241839269</v>
      </c>
    </row>
    <row r="4410" spans="1:25" x14ac:dyDescent="0.2">
      <c r="A4410">
        <v>5276</v>
      </c>
      <c r="B4410" t="s">
        <v>8524</v>
      </c>
      <c r="C4410" t="s">
        <v>18</v>
      </c>
      <c r="D4410" t="s">
        <v>8534</v>
      </c>
      <c r="E4410" t="s">
        <v>2780</v>
      </c>
      <c r="F4410" t="s">
        <v>82</v>
      </c>
      <c r="G4410" t="s">
        <v>8528</v>
      </c>
      <c r="I4410" t="b">
        <v>0</v>
      </c>
      <c r="J4410" t="b">
        <v>0</v>
      </c>
      <c r="L4410" t="b">
        <v>0</v>
      </c>
      <c r="M4410" t="str">
        <f>HYPERLINK("https://arizona.app.box.com/file/386213864858")</f>
        <v>https://arizona.app.box.com/file/386213864858</v>
      </c>
    </row>
    <row r="4412" spans="1:25" x14ac:dyDescent="0.2">
      <c r="A4412" s="2">
        <v>4102</v>
      </c>
      <c r="B4412" s="2" t="s">
        <v>8535</v>
      </c>
      <c r="C4412" s="2" t="s">
        <v>13</v>
      </c>
      <c r="D4412" s="2" t="s">
        <v>8536</v>
      </c>
      <c r="E4412" s="2" t="s">
        <v>8537</v>
      </c>
      <c r="F4412" s="2" t="s">
        <v>31</v>
      </c>
      <c r="G4412" s="2" t="s">
        <v>17</v>
      </c>
      <c r="H4412" s="2"/>
      <c r="I4412" s="2"/>
      <c r="J4412" s="2"/>
      <c r="K4412" s="2"/>
      <c r="L4412" s="2"/>
      <c r="M4412" s="2"/>
      <c r="N4412" s="2"/>
      <c r="O4412" s="2"/>
      <c r="P4412" s="2"/>
      <c r="Q4412" s="2"/>
      <c r="R4412" s="2"/>
      <c r="S4412" s="2"/>
      <c r="T4412" s="2"/>
      <c r="U4412" s="2"/>
      <c r="V4412" s="2"/>
      <c r="W4412" s="2"/>
      <c r="X4412" s="2"/>
      <c r="Y4412" s="2"/>
    </row>
    <row r="4413" spans="1:25" x14ac:dyDescent="0.2">
      <c r="A4413">
        <v>4103</v>
      </c>
      <c r="B4413" t="s">
        <v>8535</v>
      </c>
      <c r="C4413" t="s">
        <v>18</v>
      </c>
      <c r="D4413" t="s">
        <v>8536</v>
      </c>
      <c r="E4413" t="s">
        <v>79</v>
      </c>
      <c r="F4413" t="s">
        <v>31</v>
      </c>
      <c r="G4413" t="s">
        <v>17</v>
      </c>
      <c r="I4413" t="b">
        <v>1</v>
      </c>
      <c r="J4413" t="b">
        <v>1</v>
      </c>
      <c r="L4413" t="b">
        <v>1</v>
      </c>
      <c r="M4413" t="str">
        <f>HYPERLINK("https://arizona.app.box.com/file/389170180845")</f>
        <v>https://arizona.app.box.com/file/389170180845</v>
      </c>
    </row>
    <row r="4414" spans="1:25" x14ac:dyDescent="0.2">
      <c r="A4414">
        <v>4104</v>
      </c>
      <c r="B4414" t="s">
        <v>8535</v>
      </c>
      <c r="C4414" t="s">
        <v>18</v>
      </c>
      <c r="D4414" t="s">
        <v>8538</v>
      </c>
      <c r="E4414" t="s">
        <v>8539</v>
      </c>
      <c r="F4414" t="s">
        <v>31</v>
      </c>
      <c r="G4414" t="s">
        <v>17</v>
      </c>
      <c r="I4414" t="b">
        <v>1</v>
      </c>
      <c r="J4414" t="b">
        <v>1</v>
      </c>
      <c r="L4414" t="b">
        <v>1</v>
      </c>
      <c r="M4414" t="str">
        <f>HYPERLINK("https://arizona.app.box.com/file/389174766180")</f>
        <v>https://arizona.app.box.com/file/389174766180</v>
      </c>
      <c r="N4414" t="str">
        <f>HYPERLINK("https://arizona.app.box.com/file/386237596847")</f>
        <v>https://arizona.app.box.com/file/386237596847</v>
      </c>
    </row>
    <row r="4415" spans="1:25" x14ac:dyDescent="0.2">
      <c r="A4415">
        <v>4105</v>
      </c>
      <c r="B4415" t="s">
        <v>8535</v>
      </c>
      <c r="C4415" t="s">
        <v>18</v>
      </c>
      <c r="D4415" t="s">
        <v>7056</v>
      </c>
      <c r="E4415" t="s">
        <v>2408</v>
      </c>
      <c r="F4415" t="s">
        <v>16</v>
      </c>
      <c r="G4415" t="s">
        <v>24</v>
      </c>
      <c r="I4415" t="b">
        <v>0</v>
      </c>
      <c r="J4415" t="b">
        <v>0</v>
      </c>
      <c r="L4415" t="b">
        <v>0</v>
      </c>
      <c r="M4415" t="str">
        <f>HYPERLINK("https://arizona.app.box.com/file/389262446717")</f>
        <v>https://arizona.app.box.com/file/389262446717</v>
      </c>
      <c r="N4415" t="str">
        <f>HYPERLINK("https://arizona.app.box.com/file/389168260655")</f>
        <v>https://arizona.app.box.com/file/389168260655</v>
      </c>
    </row>
    <row r="4416" spans="1:25" x14ac:dyDescent="0.2">
      <c r="A4416">
        <v>4106</v>
      </c>
      <c r="B4416" t="s">
        <v>8535</v>
      </c>
      <c r="C4416" t="s">
        <v>18</v>
      </c>
      <c r="D4416" t="s">
        <v>8540</v>
      </c>
      <c r="E4416" t="s">
        <v>8541</v>
      </c>
      <c r="F4416" t="s">
        <v>31</v>
      </c>
      <c r="G4416" t="s">
        <v>17</v>
      </c>
      <c r="I4416" t="b">
        <v>0</v>
      </c>
      <c r="J4416" t="b">
        <v>0</v>
      </c>
      <c r="L4416" t="b">
        <v>0</v>
      </c>
    </row>
    <row r="4417" spans="1:25" x14ac:dyDescent="0.2">
      <c r="A4417">
        <v>4107</v>
      </c>
      <c r="B4417" t="s">
        <v>8535</v>
      </c>
      <c r="C4417" t="s">
        <v>18</v>
      </c>
      <c r="D4417" t="s">
        <v>8542</v>
      </c>
      <c r="E4417" t="s">
        <v>8543</v>
      </c>
      <c r="F4417" t="s">
        <v>31</v>
      </c>
      <c r="G4417" t="s">
        <v>17</v>
      </c>
      <c r="I4417" t="b">
        <v>0</v>
      </c>
      <c r="J4417" t="b">
        <v>0</v>
      </c>
      <c r="L4417" t="b">
        <v>0</v>
      </c>
    </row>
    <row r="4419" spans="1:25" x14ac:dyDescent="0.2">
      <c r="A4419" s="2">
        <v>5327</v>
      </c>
      <c r="B4419" s="2" t="s">
        <v>8544</v>
      </c>
      <c r="C4419" s="2" t="s">
        <v>13</v>
      </c>
      <c r="D4419" s="2" t="s">
        <v>7517</v>
      </c>
      <c r="E4419" s="2" t="s">
        <v>8545</v>
      </c>
      <c r="F4419" s="2" t="s">
        <v>31</v>
      </c>
      <c r="G4419" s="2" t="s">
        <v>17</v>
      </c>
      <c r="H4419" s="2"/>
      <c r="I4419" s="2"/>
      <c r="J4419" s="2"/>
      <c r="K4419" s="2"/>
      <c r="L4419" s="2"/>
      <c r="M4419" s="2"/>
      <c r="N4419" s="2"/>
      <c r="O4419" s="2"/>
      <c r="P4419" s="2"/>
      <c r="Q4419" s="2"/>
      <c r="R4419" s="2"/>
      <c r="S4419" s="2"/>
      <c r="T4419" s="2"/>
      <c r="U4419" s="2"/>
      <c r="V4419" s="2"/>
      <c r="W4419" s="2"/>
      <c r="X4419" s="2"/>
      <c r="Y4419" s="2"/>
    </row>
    <row r="4420" spans="1:25" x14ac:dyDescent="0.2">
      <c r="A4420">
        <v>5328</v>
      </c>
      <c r="B4420" t="s">
        <v>8544</v>
      </c>
      <c r="C4420" t="s">
        <v>18</v>
      </c>
      <c r="D4420" t="s">
        <v>7517</v>
      </c>
      <c r="E4420" t="s">
        <v>3867</v>
      </c>
      <c r="F4420" t="s">
        <v>31</v>
      </c>
      <c r="G4420" t="s">
        <v>17</v>
      </c>
      <c r="I4420" t="b">
        <v>1</v>
      </c>
      <c r="J4420" t="b">
        <v>1</v>
      </c>
      <c r="L4420" t="b">
        <v>1</v>
      </c>
      <c r="M4420" t="str">
        <f>HYPERLINK("https://arizona.app.box.com/file/389260544450")</f>
        <v>https://arizona.app.box.com/file/389260544450</v>
      </c>
      <c r="N4420" t="str">
        <f>HYPERLINK("https://arizona.app.box.com/file/389165138461")</f>
        <v>https://arizona.app.box.com/file/389165138461</v>
      </c>
    </row>
    <row r="4421" spans="1:25" x14ac:dyDescent="0.2">
      <c r="A4421">
        <v>5329</v>
      </c>
      <c r="B4421" t="s">
        <v>8544</v>
      </c>
      <c r="C4421" t="s">
        <v>18</v>
      </c>
      <c r="D4421" t="s">
        <v>8546</v>
      </c>
      <c r="E4421" t="s">
        <v>4701</v>
      </c>
      <c r="F4421" t="s">
        <v>31</v>
      </c>
      <c r="G4421" t="s">
        <v>17</v>
      </c>
      <c r="I4421" t="b">
        <v>1</v>
      </c>
      <c r="J4421" t="b">
        <v>1</v>
      </c>
      <c r="L4421" t="b">
        <v>1</v>
      </c>
    </row>
    <row r="4422" spans="1:25" x14ac:dyDescent="0.2">
      <c r="A4422">
        <v>5330</v>
      </c>
      <c r="B4422" t="s">
        <v>8544</v>
      </c>
      <c r="C4422" t="s">
        <v>18</v>
      </c>
      <c r="D4422" t="s">
        <v>8547</v>
      </c>
      <c r="E4422" t="s">
        <v>4701</v>
      </c>
      <c r="F4422" t="s">
        <v>31</v>
      </c>
      <c r="G4422" t="s">
        <v>17</v>
      </c>
      <c r="I4422" t="b">
        <v>1</v>
      </c>
      <c r="J4422" t="b">
        <v>1</v>
      </c>
      <c r="L4422" t="b">
        <v>1</v>
      </c>
      <c r="M4422" t="str">
        <f>HYPERLINK("https://arizona.app.box.com/file/389263819630")</f>
        <v>https://arizona.app.box.com/file/389263819630</v>
      </c>
      <c r="N4422" t="str">
        <f>HYPERLINK("https://arizona.app.box.com/file/389167308378")</f>
        <v>https://arizona.app.box.com/file/389167308378</v>
      </c>
    </row>
    <row r="4423" spans="1:25" x14ac:dyDescent="0.2">
      <c r="A4423">
        <v>5331</v>
      </c>
      <c r="B4423" t="s">
        <v>8544</v>
      </c>
      <c r="C4423" t="s">
        <v>18</v>
      </c>
      <c r="D4423" t="s">
        <v>8548</v>
      </c>
      <c r="E4423" t="s">
        <v>8549</v>
      </c>
      <c r="F4423" t="s">
        <v>78</v>
      </c>
      <c r="G4423" t="s">
        <v>17</v>
      </c>
      <c r="I4423" t="b">
        <v>0</v>
      </c>
      <c r="J4423" t="b">
        <v>0</v>
      </c>
      <c r="L4423" t="b">
        <v>0</v>
      </c>
      <c r="M4423" t="str">
        <f>HYPERLINK("https://arizona.app.box.com/file/389165706278")</f>
        <v>https://arizona.app.box.com/file/389165706278</v>
      </c>
    </row>
    <row r="4424" spans="1:25" x14ac:dyDescent="0.2">
      <c r="A4424">
        <v>5332</v>
      </c>
      <c r="B4424" t="s">
        <v>8544</v>
      </c>
      <c r="C4424" t="s">
        <v>18</v>
      </c>
      <c r="D4424" t="s">
        <v>8550</v>
      </c>
      <c r="E4424" t="s">
        <v>8551</v>
      </c>
      <c r="F4424" t="s">
        <v>31</v>
      </c>
      <c r="G4424" t="s">
        <v>17</v>
      </c>
      <c r="I4424" t="b">
        <v>0</v>
      </c>
      <c r="J4424" t="b">
        <v>0</v>
      </c>
      <c r="L4424" t="b">
        <v>0</v>
      </c>
    </row>
    <row r="4426" spans="1:25" x14ac:dyDescent="0.2">
      <c r="A4426" s="2">
        <v>7161</v>
      </c>
      <c r="B4426" s="2" t="s">
        <v>8552</v>
      </c>
      <c r="C4426" s="2" t="s">
        <v>13</v>
      </c>
      <c r="D4426" s="2" t="s">
        <v>8553</v>
      </c>
      <c r="E4426" s="2" t="s">
        <v>8554</v>
      </c>
      <c r="F4426" s="2" t="s">
        <v>82</v>
      </c>
      <c r="G4426" s="2" t="s">
        <v>17</v>
      </c>
      <c r="H4426" s="2"/>
      <c r="I4426" s="2"/>
      <c r="J4426" s="2"/>
      <c r="K4426" s="2"/>
      <c r="L4426" s="2"/>
      <c r="M4426" s="2"/>
      <c r="N4426" s="2"/>
      <c r="O4426" s="2"/>
      <c r="P4426" s="2"/>
      <c r="Q4426" s="2"/>
      <c r="R4426" s="2"/>
      <c r="S4426" s="2"/>
      <c r="T4426" s="2"/>
      <c r="U4426" s="2"/>
      <c r="V4426" s="2"/>
      <c r="W4426" s="2"/>
      <c r="X4426" s="2"/>
      <c r="Y4426" s="2"/>
    </row>
    <row r="4427" spans="1:25" x14ac:dyDescent="0.2">
      <c r="A4427">
        <v>7162</v>
      </c>
      <c r="B4427" t="s">
        <v>8552</v>
      </c>
      <c r="C4427" t="s">
        <v>18</v>
      </c>
      <c r="D4427" t="s">
        <v>4248</v>
      </c>
      <c r="E4427" t="s">
        <v>377</v>
      </c>
      <c r="F4427" t="s">
        <v>168</v>
      </c>
      <c r="G4427" t="s">
        <v>24</v>
      </c>
      <c r="I4427" t="b">
        <v>1</v>
      </c>
      <c r="J4427" t="b">
        <v>1</v>
      </c>
      <c r="L4427" t="b">
        <v>1</v>
      </c>
      <c r="M4427" t="str">
        <f>HYPERLINK("https://arizona.app.box.com/file/389267972675")</f>
        <v>https://arizona.app.box.com/file/389267972675</v>
      </c>
      <c r="N4427" t="str">
        <f>HYPERLINK("https://arizona.app.box.com/file/389167454325")</f>
        <v>https://arizona.app.box.com/file/389167454325</v>
      </c>
    </row>
    <row r="4428" spans="1:25" x14ac:dyDescent="0.2">
      <c r="A4428">
        <v>7163</v>
      </c>
      <c r="B4428" t="s">
        <v>8552</v>
      </c>
      <c r="C4428" t="s">
        <v>18</v>
      </c>
      <c r="D4428" t="s">
        <v>8555</v>
      </c>
      <c r="E4428" t="s">
        <v>3557</v>
      </c>
      <c r="F4428" t="s">
        <v>168</v>
      </c>
      <c r="G4428" t="s">
        <v>24</v>
      </c>
      <c r="I4428" t="b">
        <v>1</v>
      </c>
      <c r="J4428" t="b">
        <v>1</v>
      </c>
      <c r="L4428" t="b">
        <v>1</v>
      </c>
      <c r="M4428" t="str">
        <f>HYPERLINK("https://arizona.app.box.com/file/389263217710")</f>
        <v>https://arizona.app.box.com/file/389263217710</v>
      </c>
      <c r="N4428" t="str">
        <f>HYPERLINK("https://arizona.app.box.com/file/389170235998")</f>
        <v>https://arizona.app.box.com/file/389170235998</v>
      </c>
    </row>
    <row r="4429" spans="1:25" x14ac:dyDescent="0.2">
      <c r="A4429">
        <v>7164</v>
      </c>
      <c r="B4429" t="s">
        <v>8552</v>
      </c>
      <c r="C4429" t="s">
        <v>18</v>
      </c>
      <c r="D4429" t="s">
        <v>8556</v>
      </c>
      <c r="E4429" t="s">
        <v>6830</v>
      </c>
      <c r="F4429" t="s">
        <v>168</v>
      </c>
      <c r="G4429" t="s">
        <v>17</v>
      </c>
      <c r="I4429" t="b">
        <v>0</v>
      </c>
      <c r="J4429" t="b">
        <v>0</v>
      </c>
      <c r="L4429" t="b">
        <v>0</v>
      </c>
      <c r="M4429" t="str">
        <f>HYPERLINK("https://arizona.app.box.com/file/386240007916")</f>
        <v>https://arizona.app.box.com/file/386240007916</v>
      </c>
    </row>
    <row r="4430" spans="1:25" x14ac:dyDescent="0.2">
      <c r="A4430">
        <v>7165</v>
      </c>
      <c r="B4430" t="s">
        <v>8552</v>
      </c>
      <c r="C4430" t="s">
        <v>18</v>
      </c>
      <c r="D4430" t="s">
        <v>2657</v>
      </c>
      <c r="E4430" t="s">
        <v>2658</v>
      </c>
      <c r="F4430" t="s">
        <v>174</v>
      </c>
      <c r="G4430" t="s">
        <v>24</v>
      </c>
      <c r="I4430" t="b">
        <v>0</v>
      </c>
      <c r="J4430" t="b">
        <v>0</v>
      </c>
      <c r="L4430" t="b">
        <v>0</v>
      </c>
      <c r="M4430" t="str">
        <f>HYPERLINK("https://arizona.app.box.com/file/389175045716")</f>
        <v>https://arizona.app.box.com/file/389175045716</v>
      </c>
      <c r="N4430" t="str">
        <f>HYPERLINK("https://arizona.app.box.com/file/386241625669")</f>
        <v>https://arizona.app.box.com/file/386241625669</v>
      </c>
    </row>
    <row r="4431" spans="1:25" x14ac:dyDescent="0.2">
      <c r="A4431">
        <v>7166</v>
      </c>
      <c r="B4431" t="s">
        <v>8552</v>
      </c>
      <c r="C4431" t="s">
        <v>18</v>
      </c>
      <c r="D4431" t="s">
        <v>2411</v>
      </c>
      <c r="E4431" t="s">
        <v>2412</v>
      </c>
      <c r="F4431" t="s">
        <v>31</v>
      </c>
      <c r="G4431" t="s">
        <v>17</v>
      </c>
      <c r="I4431" t="b">
        <v>0</v>
      </c>
      <c r="J4431" t="b">
        <v>0</v>
      </c>
      <c r="L4431" t="b">
        <v>0</v>
      </c>
      <c r="M4431" t="str">
        <f>HYPERLINK("https://arizona.app.box.com/file/389171902460")</f>
        <v>https://arizona.app.box.com/file/389171902460</v>
      </c>
      <c r="N4431" t="str">
        <f>HYPERLINK("https://arizona.app.box.com/file/386233112029")</f>
        <v>https://arizona.app.box.com/file/386233112029</v>
      </c>
    </row>
    <row r="4433" spans="1:25" x14ac:dyDescent="0.2">
      <c r="A4433" s="2">
        <v>5544</v>
      </c>
      <c r="B4433" s="2" t="s">
        <v>8557</v>
      </c>
      <c r="C4433" s="2" t="s">
        <v>13</v>
      </c>
      <c r="D4433" s="2" t="s">
        <v>8558</v>
      </c>
      <c r="E4433" s="2" t="s">
        <v>8559</v>
      </c>
      <c r="F4433" s="2" t="s">
        <v>159</v>
      </c>
      <c r="G4433" s="2" t="s">
        <v>193</v>
      </c>
      <c r="H4433" s="2"/>
      <c r="I4433" s="2"/>
      <c r="J4433" s="2"/>
      <c r="K4433" s="2"/>
      <c r="L4433" s="2"/>
      <c r="M4433" s="2"/>
      <c r="N4433" s="2"/>
      <c r="O4433" s="2"/>
      <c r="P4433" s="2"/>
      <c r="Q4433" s="2"/>
      <c r="R4433" s="2"/>
      <c r="S4433" s="2"/>
      <c r="T4433" s="2"/>
      <c r="U4433" s="2"/>
      <c r="V4433" s="2"/>
      <c r="W4433" s="2"/>
      <c r="X4433" s="2"/>
      <c r="Y4433" s="2"/>
    </row>
    <row r="4434" spans="1:25" x14ac:dyDescent="0.2">
      <c r="A4434">
        <v>5545</v>
      </c>
      <c r="B4434" t="s">
        <v>8557</v>
      </c>
      <c r="C4434" t="s">
        <v>18</v>
      </c>
      <c r="D4434" t="s">
        <v>8558</v>
      </c>
      <c r="E4434" t="s">
        <v>8559</v>
      </c>
      <c r="F4434" t="s">
        <v>159</v>
      </c>
      <c r="G4434" t="s">
        <v>193</v>
      </c>
      <c r="I4434" t="b">
        <v>1</v>
      </c>
      <c r="J4434" t="b">
        <v>1</v>
      </c>
      <c r="L4434" t="b">
        <v>1</v>
      </c>
      <c r="M4434" t="str">
        <f>HYPERLINK("https://arizona.app.box.com/file/389172644098")</f>
        <v>https://arizona.app.box.com/file/389172644098</v>
      </c>
      <c r="N4434" t="str">
        <f>HYPERLINK("https://arizona.app.box.com/file/386225665414")</f>
        <v>https://arizona.app.box.com/file/386225665414</v>
      </c>
      <c r="O4434" t="str">
        <f>HYPERLINK("https://arizona.app.box.com/file/389171011727")</f>
        <v>https://arizona.app.box.com/file/389171011727</v>
      </c>
      <c r="P4434" t="str">
        <f>HYPERLINK("https://arizona.app.box.com/file/386215886717")</f>
        <v>https://arizona.app.box.com/file/386215886717</v>
      </c>
    </row>
    <row r="4435" spans="1:25" x14ac:dyDescent="0.2">
      <c r="A4435">
        <v>5546</v>
      </c>
      <c r="B4435" t="s">
        <v>8557</v>
      </c>
      <c r="C4435" t="s">
        <v>18</v>
      </c>
      <c r="D4435" t="s">
        <v>8560</v>
      </c>
      <c r="E4435" t="s">
        <v>8561</v>
      </c>
      <c r="F4435" t="s">
        <v>122</v>
      </c>
      <c r="G4435" t="s">
        <v>88</v>
      </c>
      <c r="I4435" t="b">
        <v>0</v>
      </c>
      <c r="J4435" t="b">
        <v>0</v>
      </c>
      <c r="L4435" t="b">
        <v>0</v>
      </c>
    </row>
    <row r="4436" spans="1:25" x14ac:dyDescent="0.2">
      <c r="A4436">
        <v>5547</v>
      </c>
      <c r="B4436" t="s">
        <v>8557</v>
      </c>
      <c r="C4436" t="s">
        <v>18</v>
      </c>
      <c r="D4436" t="s">
        <v>8562</v>
      </c>
      <c r="E4436" t="s">
        <v>8563</v>
      </c>
      <c r="F4436" t="s">
        <v>31</v>
      </c>
      <c r="G4436" t="s">
        <v>17</v>
      </c>
      <c r="I4436" t="b">
        <v>0</v>
      </c>
      <c r="J4436" t="b">
        <v>0</v>
      </c>
      <c r="L4436" t="b">
        <v>0</v>
      </c>
    </row>
    <row r="4437" spans="1:25" x14ac:dyDescent="0.2">
      <c r="A4437">
        <v>5548</v>
      </c>
      <c r="B4437" t="s">
        <v>8557</v>
      </c>
      <c r="C4437" t="s">
        <v>18</v>
      </c>
      <c r="D4437" t="s">
        <v>8564</v>
      </c>
      <c r="E4437" t="s">
        <v>8565</v>
      </c>
      <c r="F4437" t="s">
        <v>31</v>
      </c>
      <c r="G4437" t="s">
        <v>17</v>
      </c>
      <c r="I4437" t="b">
        <v>0</v>
      </c>
      <c r="J4437" t="b">
        <v>0</v>
      </c>
      <c r="L4437" t="b">
        <v>0</v>
      </c>
    </row>
    <row r="4438" spans="1:25" x14ac:dyDescent="0.2">
      <c r="A4438">
        <v>5549</v>
      </c>
      <c r="B4438" t="s">
        <v>8557</v>
      </c>
      <c r="C4438" t="s">
        <v>18</v>
      </c>
      <c r="D4438" t="s">
        <v>8566</v>
      </c>
      <c r="E4438" t="s">
        <v>8567</v>
      </c>
      <c r="F4438" t="s">
        <v>78</v>
      </c>
      <c r="G4438" t="s">
        <v>24</v>
      </c>
      <c r="I4438" t="b">
        <v>0</v>
      </c>
      <c r="J4438" t="b">
        <v>0</v>
      </c>
      <c r="L4438" t="b">
        <v>0</v>
      </c>
    </row>
    <row r="4440" spans="1:25" x14ac:dyDescent="0.2">
      <c r="A4440" s="2">
        <v>595</v>
      </c>
      <c r="B4440" s="2" t="s">
        <v>8568</v>
      </c>
      <c r="C4440" s="2" t="s">
        <v>13</v>
      </c>
      <c r="D4440" s="2" t="s">
        <v>8569</v>
      </c>
      <c r="E4440" s="2" t="s">
        <v>8570</v>
      </c>
      <c r="F4440" s="2" t="s">
        <v>78</v>
      </c>
      <c r="G4440" s="2" t="s">
        <v>88</v>
      </c>
      <c r="H4440" s="2"/>
      <c r="I4440" s="2"/>
      <c r="J4440" s="2"/>
      <c r="K4440" s="2"/>
      <c r="L4440" s="2"/>
      <c r="M4440" s="2"/>
      <c r="N4440" s="2"/>
      <c r="O4440" s="2"/>
      <c r="P4440" s="2"/>
      <c r="Q4440" s="2"/>
      <c r="R4440" s="2"/>
      <c r="S4440" s="2"/>
      <c r="T4440" s="2"/>
      <c r="U4440" s="2"/>
      <c r="V4440" s="2"/>
      <c r="W4440" s="2"/>
      <c r="X4440" s="2"/>
      <c r="Y4440" s="2"/>
    </row>
    <row r="4441" spans="1:25" x14ac:dyDescent="0.2">
      <c r="A4441">
        <v>596</v>
      </c>
      <c r="B4441" t="s">
        <v>8568</v>
      </c>
      <c r="C4441" t="s">
        <v>18</v>
      </c>
      <c r="D4441" t="s">
        <v>8569</v>
      </c>
      <c r="E4441" t="s">
        <v>8571</v>
      </c>
      <c r="F4441" t="s">
        <v>78</v>
      </c>
      <c r="G4441" t="s">
        <v>88</v>
      </c>
      <c r="I4441" t="b">
        <v>1</v>
      </c>
      <c r="J4441" t="b">
        <v>1</v>
      </c>
      <c r="L4441" t="b">
        <v>1</v>
      </c>
      <c r="M4441" t="str">
        <f>HYPERLINK("https://arizona.app.box.com/file/389261936331")</f>
        <v>https://arizona.app.box.com/file/389261936331</v>
      </c>
      <c r="N4441" t="str">
        <f>HYPERLINK("https://arizona.app.box.com/file/389166213404")</f>
        <v>https://arizona.app.box.com/file/389166213404</v>
      </c>
      <c r="O4441" t="str">
        <f>HYPERLINK("https://arizona.app.box.com/file/386241113911")</f>
        <v>https://arizona.app.box.com/file/386241113911</v>
      </c>
    </row>
    <row r="4442" spans="1:25" x14ac:dyDescent="0.2">
      <c r="A4442">
        <v>597</v>
      </c>
      <c r="B4442" t="s">
        <v>8568</v>
      </c>
      <c r="C4442" t="s">
        <v>18</v>
      </c>
      <c r="D4442" t="s">
        <v>8572</v>
      </c>
      <c r="E4442" t="s">
        <v>8573</v>
      </c>
      <c r="F4442" t="s">
        <v>78</v>
      </c>
      <c r="G4442" t="s">
        <v>88</v>
      </c>
      <c r="I4442" t="b">
        <v>0</v>
      </c>
      <c r="J4442" t="b">
        <v>0</v>
      </c>
      <c r="L4442" t="b">
        <v>0</v>
      </c>
    </row>
    <row r="4443" spans="1:25" x14ac:dyDescent="0.2">
      <c r="A4443">
        <v>598</v>
      </c>
      <c r="B4443" t="s">
        <v>8568</v>
      </c>
      <c r="C4443" t="s">
        <v>18</v>
      </c>
      <c r="D4443" t="s">
        <v>8574</v>
      </c>
      <c r="E4443" t="s">
        <v>8575</v>
      </c>
      <c r="F4443" t="s">
        <v>78</v>
      </c>
      <c r="G4443" t="s">
        <v>88</v>
      </c>
      <c r="I4443" t="b">
        <v>0</v>
      </c>
      <c r="J4443" t="b">
        <v>0</v>
      </c>
      <c r="L4443" t="b">
        <v>0</v>
      </c>
    </row>
    <row r="4444" spans="1:25" x14ac:dyDescent="0.2">
      <c r="A4444">
        <v>599</v>
      </c>
      <c r="B4444" t="s">
        <v>8568</v>
      </c>
      <c r="C4444" t="s">
        <v>18</v>
      </c>
      <c r="D4444" t="s">
        <v>8576</v>
      </c>
      <c r="E4444" t="s">
        <v>8577</v>
      </c>
      <c r="F4444" t="s">
        <v>78</v>
      </c>
      <c r="G4444" t="s">
        <v>130</v>
      </c>
      <c r="I4444" t="b">
        <v>0</v>
      </c>
      <c r="J4444" t="b">
        <v>0</v>
      </c>
      <c r="L4444" t="b">
        <v>0</v>
      </c>
    </row>
    <row r="4445" spans="1:25" x14ac:dyDescent="0.2">
      <c r="A4445">
        <v>600</v>
      </c>
      <c r="B4445" t="s">
        <v>8568</v>
      </c>
      <c r="C4445" t="s">
        <v>18</v>
      </c>
      <c r="D4445" t="s">
        <v>8578</v>
      </c>
      <c r="E4445" t="s">
        <v>8579</v>
      </c>
      <c r="F4445" t="s">
        <v>78</v>
      </c>
      <c r="G4445" t="s">
        <v>88</v>
      </c>
      <c r="I4445" t="b">
        <v>0</v>
      </c>
      <c r="J4445" t="b">
        <v>0</v>
      </c>
      <c r="L4445" t="b">
        <v>0</v>
      </c>
    </row>
    <row r="4447" spans="1:25" x14ac:dyDescent="0.2">
      <c r="A4447" s="2">
        <v>6622</v>
      </c>
      <c r="B4447" s="2" t="s">
        <v>8580</v>
      </c>
      <c r="C4447" s="2" t="s">
        <v>13</v>
      </c>
      <c r="D4447" s="2" t="s">
        <v>8581</v>
      </c>
      <c r="E4447" s="2" t="s">
        <v>8582</v>
      </c>
      <c r="F4447" s="2" t="s">
        <v>78</v>
      </c>
      <c r="G4447" s="2" t="s">
        <v>130</v>
      </c>
      <c r="H4447" s="2"/>
      <c r="I4447" s="2"/>
      <c r="J4447" s="2"/>
      <c r="K4447" s="2"/>
      <c r="L4447" s="2"/>
      <c r="M4447" s="2"/>
      <c r="N4447" s="2"/>
      <c r="O4447" s="2"/>
      <c r="P4447" s="2"/>
      <c r="Q4447" s="2"/>
      <c r="R4447" s="2"/>
      <c r="S4447" s="2"/>
      <c r="T4447" s="2"/>
      <c r="U4447" s="2"/>
      <c r="V4447" s="2"/>
      <c r="W4447" s="2"/>
      <c r="X4447" s="2"/>
      <c r="Y4447" s="2"/>
    </row>
    <row r="4448" spans="1:25" x14ac:dyDescent="0.2">
      <c r="A4448">
        <v>6623</v>
      </c>
      <c r="B4448" t="s">
        <v>8580</v>
      </c>
      <c r="C4448" t="s">
        <v>18</v>
      </c>
      <c r="D4448" t="s">
        <v>8581</v>
      </c>
      <c r="E4448" t="s">
        <v>8582</v>
      </c>
      <c r="F4448" t="s">
        <v>78</v>
      </c>
      <c r="G4448" t="s">
        <v>130</v>
      </c>
      <c r="I4448" t="b">
        <v>1</v>
      </c>
      <c r="J4448" t="b">
        <v>1</v>
      </c>
      <c r="L4448" t="b">
        <v>1</v>
      </c>
      <c r="M4448" t="str">
        <f>HYPERLINK("https://arizona.app.box.com/file/386212825632")</f>
        <v>https://arizona.app.box.com/file/386212825632</v>
      </c>
      <c r="N4448" t="str">
        <f>HYPERLINK("https://arizona.app.box.com/file/386241113911")</f>
        <v>https://arizona.app.box.com/file/386241113911</v>
      </c>
    </row>
    <row r="4449" spans="1:25" x14ac:dyDescent="0.2">
      <c r="A4449">
        <v>6624</v>
      </c>
      <c r="B4449" t="s">
        <v>8580</v>
      </c>
      <c r="C4449" t="s">
        <v>18</v>
      </c>
      <c r="D4449" t="s">
        <v>7443</v>
      </c>
      <c r="E4449" t="s">
        <v>7444</v>
      </c>
      <c r="F4449" t="s">
        <v>78</v>
      </c>
      <c r="G4449" t="s">
        <v>17</v>
      </c>
      <c r="I4449" t="b">
        <v>0</v>
      </c>
      <c r="J4449" t="b">
        <v>0</v>
      </c>
      <c r="L4449" t="b">
        <v>0</v>
      </c>
      <c r="M4449" t="str">
        <f>HYPERLINK("https://arizona.app.box.com/file/386265331214")</f>
        <v>https://arizona.app.box.com/file/386265331214</v>
      </c>
    </row>
    <row r="4450" spans="1:25" x14ac:dyDescent="0.2">
      <c r="A4450">
        <v>6625</v>
      </c>
      <c r="B4450" t="s">
        <v>8580</v>
      </c>
      <c r="C4450" t="s">
        <v>18</v>
      </c>
      <c r="D4450" t="s">
        <v>8583</v>
      </c>
      <c r="E4450" t="s">
        <v>8584</v>
      </c>
      <c r="F4450" t="s">
        <v>78</v>
      </c>
      <c r="G4450" t="s">
        <v>130</v>
      </c>
      <c r="I4450" t="b">
        <v>0</v>
      </c>
      <c r="J4450" t="b">
        <v>0</v>
      </c>
      <c r="L4450" t="b">
        <v>0</v>
      </c>
    </row>
    <row r="4451" spans="1:25" x14ac:dyDescent="0.2">
      <c r="A4451">
        <v>6626</v>
      </c>
      <c r="B4451" t="s">
        <v>8580</v>
      </c>
      <c r="C4451" t="s">
        <v>18</v>
      </c>
      <c r="D4451" t="s">
        <v>8585</v>
      </c>
      <c r="E4451" t="s">
        <v>8586</v>
      </c>
      <c r="F4451" t="s">
        <v>78</v>
      </c>
      <c r="G4451" t="s">
        <v>88</v>
      </c>
      <c r="I4451" t="b">
        <v>0</v>
      </c>
      <c r="J4451" t="b">
        <v>0</v>
      </c>
      <c r="L4451" t="b">
        <v>0</v>
      </c>
    </row>
    <row r="4452" spans="1:25" x14ac:dyDescent="0.2">
      <c r="A4452">
        <v>6627</v>
      </c>
      <c r="B4452" t="s">
        <v>8580</v>
      </c>
      <c r="C4452" t="s">
        <v>18</v>
      </c>
      <c r="D4452" t="s">
        <v>8587</v>
      </c>
      <c r="E4452" t="s">
        <v>8588</v>
      </c>
      <c r="F4452" t="s">
        <v>78</v>
      </c>
      <c r="G4452" t="s">
        <v>88</v>
      </c>
      <c r="I4452" t="b">
        <v>0</v>
      </c>
      <c r="J4452" t="b">
        <v>0</v>
      </c>
      <c r="L4452" t="b">
        <v>0</v>
      </c>
      <c r="M4452" t="str">
        <f>HYPERLINK("https://arizona.app.box.com/file/386243173445")</f>
        <v>https://arizona.app.box.com/file/386243173445</v>
      </c>
    </row>
    <row r="4454" spans="1:25" x14ac:dyDescent="0.2">
      <c r="A4454" s="2">
        <v>5733</v>
      </c>
      <c r="B4454" s="2" t="s">
        <v>8589</v>
      </c>
      <c r="C4454" s="2" t="s">
        <v>13</v>
      </c>
      <c r="D4454" s="2" t="s">
        <v>8590</v>
      </c>
      <c r="E4454" s="2" t="s">
        <v>8591</v>
      </c>
      <c r="F4454" s="2" t="s">
        <v>159</v>
      </c>
      <c r="G4454" s="2" t="s">
        <v>6973</v>
      </c>
      <c r="H4454" s="2"/>
      <c r="I4454" s="2"/>
      <c r="J4454" s="2"/>
      <c r="K4454" s="2"/>
      <c r="L4454" s="2"/>
      <c r="M4454" s="2"/>
      <c r="N4454" s="2"/>
      <c r="O4454" s="2"/>
      <c r="P4454" s="2"/>
      <c r="Q4454" s="2"/>
      <c r="R4454" s="2"/>
      <c r="S4454" s="2"/>
      <c r="T4454" s="2"/>
      <c r="U4454" s="2"/>
      <c r="V4454" s="2"/>
      <c r="W4454" s="2"/>
      <c r="X4454" s="2"/>
      <c r="Y4454" s="2"/>
    </row>
    <row r="4455" spans="1:25" x14ac:dyDescent="0.2">
      <c r="A4455">
        <v>5734</v>
      </c>
      <c r="B4455" t="s">
        <v>8589</v>
      </c>
      <c r="C4455" t="s">
        <v>18</v>
      </c>
      <c r="D4455" t="s">
        <v>6980</v>
      </c>
      <c r="E4455" t="s">
        <v>6981</v>
      </c>
      <c r="F4455" t="s">
        <v>159</v>
      </c>
      <c r="G4455" t="s">
        <v>366</v>
      </c>
      <c r="I4455" t="b">
        <v>1</v>
      </c>
      <c r="J4455" t="b">
        <v>1</v>
      </c>
      <c r="L4455" t="b">
        <v>1</v>
      </c>
      <c r="M4455" t="str">
        <f>HYPERLINK("https://arizona.app.box.com/file/389176684467")</f>
        <v>https://arizona.app.box.com/file/389176684467</v>
      </c>
    </row>
    <row r="4456" spans="1:25" x14ac:dyDescent="0.2">
      <c r="A4456">
        <v>5735</v>
      </c>
      <c r="B4456" t="s">
        <v>8589</v>
      </c>
      <c r="C4456" t="s">
        <v>18</v>
      </c>
      <c r="D4456" t="s">
        <v>6950</v>
      </c>
      <c r="E4456" t="s">
        <v>6951</v>
      </c>
      <c r="F4456" t="s">
        <v>159</v>
      </c>
      <c r="G4456" t="s">
        <v>366</v>
      </c>
      <c r="I4456" t="b">
        <v>1</v>
      </c>
      <c r="J4456" t="b">
        <v>1</v>
      </c>
      <c r="L4456" t="b">
        <v>1</v>
      </c>
      <c r="M4456" t="str">
        <f>HYPERLINK("https://arizona.app.box.com/file/389163876384")</f>
        <v>https://arizona.app.box.com/file/389163876384</v>
      </c>
      <c r="N4456" t="str">
        <f>HYPERLINK("https://arizona.app.box.com/file/386225737381")</f>
        <v>https://arizona.app.box.com/file/386225737381</v>
      </c>
    </row>
    <row r="4457" spans="1:25" x14ac:dyDescent="0.2">
      <c r="A4457">
        <v>5736</v>
      </c>
      <c r="B4457" t="s">
        <v>8589</v>
      </c>
      <c r="C4457" t="s">
        <v>18</v>
      </c>
      <c r="D4457" t="s">
        <v>6976</v>
      </c>
      <c r="E4457" t="s">
        <v>6977</v>
      </c>
      <c r="F4457" t="s">
        <v>159</v>
      </c>
      <c r="G4457" t="s">
        <v>366</v>
      </c>
      <c r="I4457" t="b">
        <v>1</v>
      </c>
      <c r="J4457" t="b">
        <v>0</v>
      </c>
      <c r="L4457" t="b">
        <v>0</v>
      </c>
      <c r="M4457" t="str">
        <f>HYPERLINK("https://arizona.app.box.com/file/389173020511")</f>
        <v>https://arizona.app.box.com/file/389173020511</v>
      </c>
      <c r="N4457" t="str">
        <f>HYPERLINK("https://arizona.app.box.com/file/386241081884")</f>
        <v>https://arizona.app.box.com/file/386241081884</v>
      </c>
    </row>
    <row r="4458" spans="1:25" x14ac:dyDescent="0.2">
      <c r="A4458">
        <v>5737</v>
      </c>
      <c r="B4458" t="s">
        <v>8589</v>
      </c>
      <c r="C4458" t="s">
        <v>18</v>
      </c>
      <c r="D4458" t="s">
        <v>364</v>
      </c>
      <c r="E4458" t="s">
        <v>365</v>
      </c>
      <c r="F4458" t="s">
        <v>159</v>
      </c>
      <c r="G4458" t="s">
        <v>366</v>
      </c>
      <c r="I4458" t="b">
        <v>0</v>
      </c>
      <c r="J4458" t="b">
        <v>0</v>
      </c>
      <c r="L4458" t="b">
        <v>0</v>
      </c>
      <c r="M4458" t="str">
        <f>HYPERLINK("https://arizona.app.box.com/file/389172731077")</f>
        <v>https://arizona.app.box.com/file/389172731077</v>
      </c>
      <c r="N4458" t="str">
        <f>HYPERLINK("https://arizona.app.box.com/file/386215889956")</f>
        <v>https://arizona.app.box.com/file/386215889956</v>
      </c>
    </row>
    <row r="4459" spans="1:25" x14ac:dyDescent="0.2">
      <c r="A4459">
        <v>5738</v>
      </c>
      <c r="B4459" t="s">
        <v>8589</v>
      </c>
      <c r="C4459" t="s">
        <v>18</v>
      </c>
      <c r="D4459" t="s">
        <v>6111</v>
      </c>
      <c r="E4459" t="s">
        <v>6112</v>
      </c>
      <c r="F4459" t="s">
        <v>82</v>
      </c>
      <c r="G4459" t="s">
        <v>638</v>
      </c>
      <c r="I4459" t="b">
        <v>0</v>
      </c>
      <c r="J4459" t="b">
        <v>0</v>
      </c>
      <c r="L4459" t="b">
        <v>0</v>
      </c>
      <c r="M4459" t="str">
        <f>HYPERLINK("https://arizona.app.box.com/file/386246917610")</f>
        <v>https://arizona.app.box.com/file/386246917610</v>
      </c>
      <c r="N4459" t="str">
        <f>HYPERLINK("https://arizona.app.box.com/file/386263804215")</f>
        <v>https://arizona.app.box.com/file/386263804215</v>
      </c>
    </row>
    <row r="4461" spans="1:25" x14ac:dyDescent="0.2">
      <c r="A4461" s="2">
        <v>8008</v>
      </c>
      <c r="B4461" s="2" t="s">
        <v>8592</v>
      </c>
      <c r="C4461" s="2" t="s">
        <v>13</v>
      </c>
      <c r="D4461" s="2" t="s">
        <v>8593</v>
      </c>
      <c r="E4461" s="2" t="s">
        <v>8594</v>
      </c>
      <c r="F4461" s="2" t="s">
        <v>1404</v>
      </c>
      <c r="G4461" s="2" t="s">
        <v>1405</v>
      </c>
      <c r="H4461" s="2"/>
      <c r="I4461" s="2"/>
      <c r="J4461" s="2"/>
      <c r="K4461" s="2"/>
      <c r="L4461" s="2"/>
      <c r="M4461" s="2"/>
      <c r="N4461" s="2"/>
      <c r="O4461" s="2"/>
      <c r="P4461" s="2"/>
      <c r="Q4461" s="2"/>
      <c r="R4461" s="2"/>
      <c r="S4461" s="2"/>
      <c r="T4461" s="2"/>
      <c r="U4461" s="2"/>
      <c r="V4461" s="2"/>
      <c r="W4461" s="2"/>
      <c r="X4461" s="2"/>
      <c r="Y4461" s="2"/>
    </row>
    <row r="4462" spans="1:25" x14ac:dyDescent="0.2">
      <c r="A4462">
        <v>8009</v>
      </c>
      <c r="B4462" t="s">
        <v>8592</v>
      </c>
      <c r="C4462" t="s">
        <v>18</v>
      </c>
      <c r="D4462" t="s">
        <v>8593</v>
      </c>
      <c r="E4462" t="s">
        <v>7706</v>
      </c>
      <c r="F4462" t="s">
        <v>1404</v>
      </c>
      <c r="G4462" t="s">
        <v>1406</v>
      </c>
      <c r="I4462" t="b">
        <v>1</v>
      </c>
      <c r="J4462" t="b">
        <v>1</v>
      </c>
      <c r="L4462" t="b">
        <v>1</v>
      </c>
      <c r="M4462" t="str">
        <f>HYPERLINK("https://arizona.app.box.com/file/389256943024")</f>
        <v>https://arizona.app.box.com/file/389256943024</v>
      </c>
      <c r="N4462" t="str">
        <f>HYPERLINK("https://arizona.app.box.com/file/389153639695")</f>
        <v>https://arizona.app.box.com/file/389153639695</v>
      </c>
    </row>
    <row r="4463" spans="1:25" x14ac:dyDescent="0.2">
      <c r="A4463">
        <v>8010</v>
      </c>
      <c r="B4463" t="s">
        <v>8592</v>
      </c>
      <c r="C4463" t="s">
        <v>18</v>
      </c>
      <c r="D4463" t="s">
        <v>8595</v>
      </c>
      <c r="E4463" t="s">
        <v>8596</v>
      </c>
      <c r="F4463" t="s">
        <v>1404</v>
      </c>
      <c r="G4463" t="s">
        <v>1406</v>
      </c>
      <c r="I4463" t="b">
        <v>1</v>
      </c>
      <c r="J4463" t="b">
        <v>1</v>
      </c>
      <c r="L4463" t="b">
        <v>1</v>
      </c>
      <c r="M4463" t="str">
        <f>HYPERLINK("https://arizona.app.box.com/file/386247342542")</f>
        <v>https://arizona.app.box.com/file/386247342542</v>
      </c>
    </row>
    <row r="4464" spans="1:25" x14ac:dyDescent="0.2">
      <c r="A4464">
        <v>8011</v>
      </c>
      <c r="B4464" t="s">
        <v>8592</v>
      </c>
      <c r="C4464" t="s">
        <v>18</v>
      </c>
      <c r="D4464" t="s">
        <v>5352</v>
      </c>
      <c r="E4464" t="s">
        <v>3146</v>
      </c>
      <c r="F4464" t="s">
        <v>420</v>
      </c>
      <c r="G4464" t="s">
        <v>1406</v>
      </c>
      <c r="I4464" t="b">
        <v>0</v>
      </c>
      <c r="J4464" t="b">
        <v>0</v>
      </c>
      <c r="L4464" t="b">
        <v>0</v>
      </c>
      <c r="M4464" t="str">
        <f>HYPERLINK("https://arizona.app.box.com/file/389262469868")</f>
        <v>https://arizona.app.box.com/file/389262469868</v>
      </c>
      <c r="N4464" t="str">
        <f>HYPERLINK("https://arizona.app.box.com/file/389172332985")</f>
        <v>https://arizona.app.box.com/file/389172332985</v>
      </c>
    </row>
    <row r="4465" spans="1:25" x14ac:dyDescent="0.2">
      <c r="A4465">
        <v>8012</v>
      </c>
      <c r="B4465" t="s">
        <v>8592</v>
      </c>
      <c r="C4465" t="s">
        <v>18</v>
      </c>
      <c r="D4465" t="s">
        <v>5343</v>
      </c>
      <c r="E4465" t="s">
        <v>5344</v>
      </c>
      <c r="F4465" t="s">
        <v>420</v>
      </c>
      <c r="G4465" t="s">
        <v>1406</v>
      </c>
      <c r="I4465" t="b">
        <v>0</v>
      </c>
      <c r="J4465" t="b">
        <v>0</v>
      </c>
      <c r="L4465" t="b">
        <v>0</v>
      </c>
      <c r="M4465" t="str">
        <f>HYPERLINK("https://arizona.app.box.com/file/386233921516")</f>
        <v>https://arizona.app.box.com/file/386233921516</v>
      </c>
    </row>
    <row r="4466" spans="1:25" x14ac:dyDescent="0.2">
      <c r="A4466">
        <v>8013</v>
      </c>
      <c r="B4466" t="s">
        <v>8592</v>
      </c>
      <c r="C4466" t="s">
        <v>18</v>
      </c>
      <c r="D4466" t="s">
        <v>5341</v>
      </c>
      <c r="E4466" t="s">
        <v>5346</v>
      </c>
      <c r="F4466" t="s">
        <v>420</v>
      </c>
      <c r="G4466" t="s">
        <v>1406</v>
      </c>
      <c r="I4466" t="b">
        <v>0</v>
      </c>
      <c r="J4466" t="b">
        <v>0</v>
      </c>
      <c r="L4466" t="b">
        <v>0</v>
      </c>
      <c r="M4466" t="str">
        <f>HYPERLINK("https://arizona.app.box.com/file/386249319302")</f>
        <v>https://arizona.app.box.com/file/386249319302</v>
      </c>
    </row>
    <row r="4468" spans="1:25" x14ac:dyDescent="0.2">
      <c r="A4468" s="2">
        <v>5376</v>
      </c>
      <c r="B4468" s="2" t="s">
        <v>8597</v>
      </c>
      <c r="C4468" s="2" t="s">
        <v>13</v>
      </c>
      <c r="D4468" s="2" t="s">
        <v>496</v>
      </c>
      <c r="E4468" s="2" t="s">
        <v>8598</v>
      </c>
      <c r="F4468" s="2" t="s">
        <v>78</v>
      </c>
      <c r="G4468" s="2" t="s">
        <v>17</v>
      </c>
      <c r="H4468" s="2"/>
      <c r="I4468" s="2"/>
      <c r="J4468" s="2"/>
      <c r="K4468" s="2"/>
      <c r="L4468" s="2"/>
      <c r="M4468" s="2"/>
      <c r="N4468" s="2"/>
      <c r="O4468" s="2"/>
      <c r="P4468" s="2"/>
      <c r="Q4468" s="2"/>
      <c r="R4468" s="2"/>
      <c r="S4468" s="2"/>
      <c r="T4468" s="2"/>
      <c r="U4468" s="2"/>
      <c r="V4468" s="2"/>
      <c r="W4468" s="2"/>
      <c r="X4468" s="2"/>
      <c r="Y4468" s="2"/>
    </row>
    <row r="4469" spans="1:25" x14ac:dyDescent="0.2">
      <c r="A4469">
        <v>5377</v>
      </c>
      <c r="B4469" t="s">
        <v>8597</v>
      </c>
      <c r="C4469" t="s">
        <v>18</v>
      </c>
      <c r="D4469" t="s">
        <v>496</v>
      </c>
      <c r="E4469" t="s">
        <v>497</v>
      </c>
      <c r="F4469" t="s">
        <v>78</v>
      </c>
      <c r="G4469" t="s">
        <v>17</v>
      </c>
      <c r="I4469" t="b">
        <v>1</v>
      </c>
      <c r="J4469" t="b">
        <v>1</v>
      </c>
      <c r="L4469" t="b">
        <v>1</v>
      </c>
      <c r="M4469" t="str">
        <f>HYPERLINK("https://arizona.app.box.com/file/389137369612")</f>
        <v>https://arizona.app.box.com/file/389137369612</v>
      </c>
    </row>
    <row r="4470" spans="1:25" x14ac:dyDescent="0.2">
      <c r="A4470">
        <v>5378</v>
      </c>
      <c r="B4470" t="s">
        <v>8597</v>
      </c>
      <c r="C4470" t="s">
        <v>18</v>
      </c>
      <c r="D4470" t="s">
        <v>8599</v>
      </c>
      <c r="E4470" t="s">
        <v>4358</v>
      </c>
      <c r="F4470" t="s">
        <v>78</v>
      </c>
      <c r="G4470" t="s">
        <v>17</v>
      </c>
      <c r="I4470" t="b">
        <v>1</v>
      </c>
      <c r="J4470" t="b">
        <v>1</v>
      </c>
      <c r="L4470" t="b">
        <v>1</v>
      </c>
      <c r="M4470" t="str">
        <f>HYPERLINK("https://arizona.app.box.com/file/389162135112")</f>
        <v>https://arizona.app.box.com/file/389162135112</v>
      </c>
    </row>
    <row r="4471" spans="1:25" x14ac:dyDescent="0.2">
      <c r="A4471">
        <v>5379</v>
      </c>
      <c r="B4471" t="s">
        <v>8597</v>
      </c>
      <c r="C4471" t="s">
        <v>18</v>
      </c>
      <c r="D4471" t="s">
        <v>1486</v>
      </c>
      <c r="E4471" t="s">
        <v>1487</v>
      </c>
      <c r="F4471" t="s">
        <v>78</v>
      </c>
      <c r="G4471" t="s">
        <v>17</v>
      </c>
      <c r="I4471" t="b">
        <v>0</v>
      </c>
      <c r="J4471" t="b">
        <v>0</v>
      </c>
      <c r="L4471" t="b">
        <v>0</v>
      </c>
    </row>
    <row r="4472" spans="1:25" x14ac:dyDescent="0.2">
      <c r="A4472">
        <v>5380</v>
      </c>
      <c r="B4472" t="s">
        <v>8597</v>
      </c>
      <c r="C4472" t="s">
        <v>18</v>
      </c>
      <c r="D4472" t="s">
        <v>488</v>
      </c>
      <c r="E4472" t="s">
        <v>489</v>
      </c>
      <c r="F4472" t="s">
        <v>78</v>
      </c>
      <c r="G4472" t="s">
        <v>17</v>
      </c>
      <c r="I4472" t="b">
        <v>0</v>
      </c>
      <c r="J4472" t="b">
        <v>0</v>
      </c>
      <c r="L4472" t="b">
        <v>0</v>
      </c>
      <c r="M4472" t="str">
        <f>HYPERLINK("https://arizona.app.box.com/file/389162021512")</f>
        <v>https://arizona.app.box.com/file/389162021512</v>
      </c>
    </row>
    <row r="4473" spans="1:25" x14ac:dyDescent="0.2">
      <c r="A4473">
        <v>5381</v>
      </c>
      <c r="B4473" t="s">
        <v>8597</v>
      </c>
      <c r="C4473" t="s">
        <v>18</v>
      </c>
      <c r="D4473" t="s">
        <v>8600</v>
      </c>
      <c r="E4473" t="s">
        <v>8601</v>
      </c>
      <c r="F4473" t="s">
        <v>78</v>
      </c>
      <c r="G4473" t="s">
        <v>17</v>
      </c>
      <c r="I4473" t="b">
        <v>0</v>
      </c>
      <c r="J4473" t="b">
        <v>0</v>
      </c>
      <c r="L4473" t="b">
        <v>0</v>
      </c>
      <c r="M4473" t="str">
        <f>HYPERLINK("https://arizona.app.box.com/file/389163110964")</f>
        <v>https://arizona.app.box.com/file/389163110964</v>
      </c>
      <c r="N4473" t="str">
        <f>HYPERLINK("https://arizona.app.box.com/file/389163385503")</f>
        <v>https://arizona.app.box.com/file/389163385503</v>
      </c>
    </row>
    <row r="4475" spans="1:25" x14ac:dyDescent="0.2">
      <c r="A4475" s="2">
        <v>8050</v>
      </c>
      <c r="B4475" s="2" t="s">
        <v>8602</v>
      </c>
      <c r="C4475" s="2" t="s">
        <v>13</v>
      </c>
      <c r="D4475" s="2" t="s">
        <v>1368</v>
      </c>
      <c r="E4475" s="2" t="s">
        <v>1369</v>
      </c>
      <c r="F4475" s="2" t="s">
        <v>174</v>
      </c>
      <c r="G4475" s="2" t="s">
        <v>17</v>
      </c>
      <c r="H4475" s="2"/>
      <c r="I4475" s="2"/>
      <c r="J4475" s="2"/>
      <c r="K4475" s="2"/>
      <c r="L4475" s="2"/>
      <c r="M4475" s="2"/>
      <c r="N4475" s="2"/>
      <c r="O4475" s="2"/>
      <c r="P4475" s="2"/>
      <c r="Q4475" s="2"/>
      <c r="R4475" s="2"/>
      <c r="S4475" s="2"/>
      <c r="T4475" s="2"/>
      <c r="U4475" s="2"/>
      <c r="V4475" s="2"/>
      <c r="W4475" s="2"/>
      <c r="X4475" s="2"/>
      <c r="Y4475" s="2"/>
    </row>
    <row r="4476" spans="1:25" x14ac:dyDescent="0.2">
      <c r="A4476">
        <v>8051</v>
      </c>
      <c r="B4476" t="s">
        <v>8602</v>
      </c>
      <c r="C4476" t="s">
        <v>18</v>
      </c>
      <c r="D4476" t="s">
        <v>1368</v>
      </c>
      <c r="E4476" t="s">
        <v>1369</v>
      </c>
      <c r="F4476" t="s">
        <v>174</v>
      </c>
      <c r="G4476" t="s">
        <v>17</v>
      </c>
      <c r="I4476" t="b">
        <v>1</v>
      </c>
      <c r="J4476" t="b">
        <v>1</v>
      </c>
      <c r="L4476" t="b">
        <v>1</v>
      </c>
      <c r="M4476" t="str">
        <f>HYPERLINK("https://arizona.app.box.com/file/389259852256")</f>
        <v>https://arizona.app.box.com/file/389259852256</v>
      </c>
      <c r="N4476" t="str">
        <f>HYPERLINK("https://arizona.app.box.com/file/389151932186")</f>
        <v>https://arizona.app.box.com/file/389151932186</v>
      </c>
      <c r="O4476" t="str">
        <f>HYPERLINK("https://arizona.app.box.com/file/386241113911")</f>
        <v>https://arizona.app.box.com/file/386241113911</v>
      </c>
    </row>
    <row r="4477" spans="1:25" x14ac:dyDescent="0.2">
      <c r="A4477">
        <v>8052</v>
      </c>
      <c r="B4477" t="s">
        <v>8602</v>
      </c>
      <c r="C4477" t="s">
        <v>18</v>
      </c>
      <c r="D4477" t="s">
        <v>8603</v>
      </c>
      <c r="E4477" t="s">
        <v>8604</v>
      </c>
      <c r="F4477" t="s">
        <v>23</v>
      </c>
      <c r="G4477" t="s">
        <v>17</v>
      </c>
      <c r="I4477" t="b">
        <v>0</v>
      </c>
      <c r="J4477" t="b">
        <v>0</v>
      </c>
      <c r="L4477" t="b">
        <v>0</v>
      </c>
      <c r="M4477" t="str">
        <f>HYPERLINK("https://arizona.app.box.com/file/389174493431")</f>
        <v>https://arizona.app.box.com/file/389174493431</v>
      </c>
    </row>
    <row r="4478" spans="1:25" x14ac:dyDescent="0.2">
      <c r="A4478">
        <v>8053</v>
      </c>
      <c r="B4478" t="s">
        <v>8602</v>
      </c>
      <c r="C4478" t="s">
        <v>18</v>
      </c>
      <c r="D4478" t="s">
        <v>8605</v>
      </c>
      <c r="E4478" t="s">
        <v>8606</v>
      </c>
      <c r="F4478" t="s">
        <v>174</v>
      </c>
      <c r="G4478" t="s">
        <v>17</v>
      </c>
      <c r="I4478" t="b">
        <v>0</v>
      </c>
      <c r="J4478" t="b">
        <v>0</v>
      </c>
      <c r="L4478" t="b">
        <v>0</v>
      </c>
      <c r="M4478" t="str">
        <f>HYPERLINK("https://arizona.app.box.com/file/389260728425")</f>
        <v>https://arizona.app.box.com/file/389260728425</v>
      </c>
      <c r="N4478" t="str">
        <f>HYPERLINK("https://arizona.app.box.com/file/389152432339")</f>
        <v>https://arizona.app.box.com/file/389152432339</v>
      </c>
      <c r="O4478" t="str">
        <f>HYPERLINK("https://arizona.app.box.com/file/389266677299")</f>
        <v>https://arizona.app.box.com/file/389266677299</v>
      </c>
      <c r="P4478" t="str">
        <f>HYPERLINK("https://arizona.app.box.com/file/389164028467")</f>
        <v>https://arizona.app.box.com/file/389164028467</v>
      </c>
    </row>
    <row r="4479" spans="1:25" x14ac:dyDescent="0.2">
      <c r="A4479">
        <v>8054</v>
      </c>
      <c r="B4479" t="s">
        <v>8602</v>
      </c>
      <c r="C4479" t="s">
        <v>18</v>
      </c>
      <c r="D4479" t="s">
        <v>547</v>
      </c>
      <c r="E4479" t="s">
        <v>548</v>
      </c>
      <c r="F4479" t="s">
        <v>78</v>
      </c>
      <c r="G4479" t="s">
        <v>17</v>
      </c>
      <c r="I4479" t="b">
        <v>0</v>
      </c>
      <c r="J4479" t="b">
        <v>0</v>
      </c>
      <c r="L4479" t="b">
        <v>0</v>
      </c>
      <c r="M4479" t="str">
        <f>HYPERLINK("https://arizona.app.box.com/file/389267170499")</f>
        <v>https://arizona.app.box.com/file/389267170499</v>
      </c>
      <c r="N4479" t="str">
        <f>HYPERLINK("https://arizona.app.box.com/file/389265433672")</f>
        <v>https://arizona.app.box.com/file/389265433672</v>
      </c>
      <c r="O4479" t="str">
        <f>HYPERLINK("https://arizona.app.box.com/file/389152970720")</f>
        <v>https://arizona.app.box.com/file/389152970720</v>
      </c>
    </row>
    <row r="4480" spans="1:25" x14ac:dyDescent="0.2">
      <c r="A4480">
        <v>8055</v>
      </c>
      <c r="B4480" t="s">
        <v>8602</v>
      </c>
      <c r="C4480" t="s">
        <v>18</v>
      </c>
      <c r="D4480" t="s">
        <v>8607</v>
      </c>
      <c r="E4480" t="s">
        <v>3791</v>
      </c>
      <c r="F4480" t="s">
        <v>16</v>
      </c>
      <c r="G4480" t="s">
        <v>17</v>
      </c>
      <c r="I4480" t="b">
        <v>0</v>
      </c>
      <c r="J4480" t="b">
        <v>0</v>
      </c>
      <c r="L4480" t="b">
        <v>0</v>
      </c>
      <c r="M4480" t="str">
        <f>HYPERLINK("https://arizona.app.box.com/file/389164585172")</f>
        <v>https://arizona.app.box.com/file/389164585172</v>
      </c>
    </row>
    <row r="4482" spans="1:25" x14ac:dyDescent="0.2">
      <c r="A4482" s="2">
        <v>784</v>
      </c>
      <c r="B4482" s="2" t="s">
        <v>8608</v>
      </c>
      <c r="C4482" s="2" t="s">
        <v>13</v>
      </c>
      <c r="D4482" s="2" t="s">
        <v>8609</v>
      </c>
      <c r="E4482" s="2" t="s">
        <v>8610</v>
      </c>
      <c r="F4482" s="2" t="s">
        <v>168</v>
      </c>
      <c r="G4482" s="2" t="s">
        <v>17</v>
      </c>
      <c r="H4482" s="2"/>
      <c r="I4482" s="2"/>
      <c r="J4482" s="2"/>
      <c r="K4482" s="2"/>
      <c r="L4482" s="2"/>
      <c r="M4482" s="2"/>
      <c r="N4482" s="2"/>
      <c r="O4482" s="2"/>
      <c r="P4482" s="2"/>
      <c r="Q4482" s="2"/>
      <c r="R4482" s="2"/>
      <c r="S4482" s="2"/>
      <c r="T4482" s="2"/>
      <c r="U4482" s="2"/>
      <c r="V4482" s="2"/>
      <c r="W4482" s="2"/>
      <c r="X4482" s="2"/>
      <c r="Y4482" s="2"/>
    </row>
    <row r="4483" spans="1:25" x14ac:dyDescent="0.2">
      <c r="A4483">
        <v>785</v>
      </c>
      <c r="B4483" t="s">
        <v>8608</v>
      </c>
      <c r="C4483" t="s">
        <v>18</v>
      </c>
      <c r="D4483" t="s">
        <v>8609</v>
      </c>
      <c r="E4483" t="s">
        <v>8610</v>
      </c>
      <c r="F4483" t="s">
        <v>168</v>
      </c>
      <c r="G4483" t="s">
        <v>17</v>
      </c>
      <c r="I4483" t="b">
        <v>1</v>
      </c>
      <c r="J4483" t="b">
        <v>1</v>
      </c>
      <c r="L4483" t="b">
        <v>1</v>
      </c>
      <c r="M4483" t="str">
        <f>HYPERLINK("https://arizona.app.box.com/file/389162342513")</f>
        <v>https://arizona.app.box.com/file/389162342513</v>
      </c>
      <c r="N4483" t="str">
        <f>HYPERLINK("https://arizona.app.box.com/file/389151022907")</f>
        <v>https://arizona.app.box.com/file/389151022907</v>
      </c>
    </row>
    <row r="4484" spans="1:25" x14ac:dyDescent="0.2">
      <c r="A4484">
        <v>786</v>
      </c>
      <c r="B4484" t="s">
        <v>8608</v>
      </c>
      <c r="C4484" t="s">
        <v>18</v>
      </c>
      <c r="D4484" t="s">
        <v>8611</v>
      </c>
      <c r="E4484" t="s">
        <v>8612</v>
      </c>
      <c r="F4484" t="s">
        <v>168</v>
      </c>
      <c r="G4484" t="s">
        <v>17</v>
      </c>
      <c r="I4484" t="b">
        <v>0</v>
      </c>
      <c r="J4484" t="b">
        <v>0</v>
      </c>
      <c r="L4484" t="b">
        <v>0</v>
      </c>
      <c r="M4484" t="str">
        <f>HYPERLINK("https://arizona.app.box.com/file/389151109759")</f>
        <v>https://arizona.app.box.com/file/389151109759</v>
      </c>
    </row>
    <row r="4485" spans="1:25" x14ac:dyDescent="0.2">
      <c r="A4485">
        <v>787</v>
      </c>
      <c r="B4485" t="s">
        <v>8608</v>
      </c>
      <c r="C4485" t="s">
        <v>18</v>
      </c>
      <c r="D4485" t="s">
        <v>8613</v>
      </c>
      <c r="E4485" t="s">
        <v>8614</v>
      </c>
      <c r="F4485" t="s">
        <v>168</v>
      </c>
      <c r="G4485" t="s">
        <v>17</v>
      </c>
      <c r="I4485" t="b">
        <v>0</v>
      </c>
      <c r="J4485" t="b">
        <v>0</v>
      </c>
      <c r="L4485" t="b">
        <v>0</v>
      </c>
    </row>
    <row r="4486" spans="1:25" x14ac:dyDescent="0.2">
      <c r="A4486">
        <v>788</v>
      </c>
      <c r="B4486" t="s">
        <v>8608</v>
      </c>
      <c r="C4486" t="s">
        <v>18</v>
      </c>
      <c r="D4486" t="s">
        <v>8615</v>
      </c>
      <c r="E4486" t="s">
        <v>8616</v>
      </c>
      <c r="F4486" t="s">
        <v>168</v>
      </c>
      <c r="G4486" t="s">
        <v>24</v>
      </c>
      <c r="I4486" t="b">
        <v>0</v>
      </c>
      <c r="J4486" t="b">
        <v>0</v>
      </c>
      <c r="L4486" t="b">
        <v>0</v>
      </c>
      <c r="M4486" t="str">
        <f>HYPERLINK("https://arizona.app.box.com/file/386213421488")</f>
        <v>https://arizona.app.box.com/file/386213421488</v>
      </c>
      <c r="N4486" t="str">
        <f>HYPERLINK("https://arizona.app.box.com/file/386246645942")</f>
        <v>https://arizona.app.box.com/file/386246645942</v>
      </c>
    </row>
    <row r="4487" spans="1:25" x14ac:dyDescent="0.2">
      <c r="A4487">
        <v>789</v>
      </c>
      <c r="B4487" t="s">
        <v>8608</v>
      </c>
      <c r="C4487" t="s">
        <v>18</v>
      </c>
      <c r="D4487" t="s">
        <v>8617</v>
      </c>
      <c r="E4487" t="s">
        <v>8618</v>
      </c>
      <c r="F4487" t="s">
        <v>168</v>
      </c>
      <c r="G4487" t="s">
        <v>17</v>
      </c>
      <c r="I4487" t="b">
        <v>0</v>
      </c>
      <c r="J4487" t="b">
        <v>0</v>
      </c>
      <c r="L4487" t="b">
        <v>0</v>
      </c>
    </row>
    <row r="4489" spans="1:25" x14ac:dyDescent="0.2">
      <c r="A4489" s="2">
        <v>3360</v>
      </c>
      <c r="B4489" s="2" t="s">
        <v>8619</v>
      </c>
      <c r="C4489" s="2" t="s">
        <v>13</v>
      </c>
      <c r="D4489" s="2" t="s">
        <v>8620</v>
      </c>
      <c r="E4489" s="2" t="s">
        <v>8621</v>
      </c>
      <c r="F4489" s="2" t="s">
        <v>82</v>
      </c>
      <c r="G4489" s="2" t="s">
        <v>74</v>
      </c>
      <c r="H4489" s="2"/>
      <c r="I4489" s="2"/>
      <c r="J4489" s="2"/>
      <c r="K4489" s="2"/>
      <c r="L4489" s="2"/>
      <c r="M4489" s="2"/>
      <c r="N4489" s="2"/>
      <c r="O4489" s="2"/>
      <c r="P4489" s="2"/>
      <c r="Q4489" s="2"/>
      <c r="R4489" s="2"/>
      <c r="S4489" s="2"/>
      <c r="T4489" s="2"/>
      <c r="U4489" s="2"/>
      <c r="V4489" s="2"/>
      <c r="W4489" s="2"/>
      <c r="X4489" s="2"/>
      <c r="Y4489" s="2"/>
    </row>
    <row r="4490" spans="1:25" x14ac:dyDescent="0.2">
      <c r="A4490">
        <v>3361</v>
      </c>
      <c r="B4490" t="s">
        <v>8619</v>
      </c>
      <c r="C4490" t="s">
        <v>18</v>
      </c>
      <c r="D4490" t="s">
        <v>8620</v>
      </c>
      <c r="E4490" t="s">
        <v>8622</v>
      </c>
      <c r="F4490" t="s">
        <v>82</v>
      </c>
      <c r="G4490" t="s">
        <v>74</v>
      </c>
      <c r="I4490" t="b">
        <v>1</v>
      </c>
      <c r="J4490" t="b">
        <v>1</v>
      </c>
      <c r="L4490" t="b">
        <v>1</v>
      </c>
      <c r="M4490" t="str">
        <f>HYPERLINK("https://arizona.app.box.com/file/386248813303")</f>
        <v>https://arizona.app.box.com/file/386248813303</v>
      </c>
      <c r="N4490" t="str">
        <f>HYPERLINK("https://arizona.app.box.com/file/386245725884")</f>
        <v>https://arizona.app.box.com/file/386245725884</v>
      </c>
    </row>
    <row r="4491" spans="1:25" x14ac:dyDescent="0.2">
      <c r="A4491">
        <v>3362</v>
      </c>
      <c r="B4491" t="s">
        <v>8619</v>
      </c>
      <c r="C4491" t="s">
        <v>18</v>
      </c>
      <c r="D4491" t="s">
        <v>2032</v>
      </c>
      <c r="E4491" t="s">
        <v>2033</v>
      </c>
      <c r="F4491" t="s">
        <v>1617</v>
      </c>
      <c r="G4491" t="s">
        <v>74</v>
      </c>
      <c r="I4491" t="b">
        <v>0</v>
      </c>
      <c r="J4491" t="b">
        <v>0</v>
      </c>
      <c r="L4491" t="b">
        <v>0</v>
      </c>
      <c r="M4491" t="str">
        <f>HYPERLINK("https://arizona.app.box.com/file/389179786674")</f>
        <v>https://arizona.app.box.com/file/389179786674</v>
      </c>
    </row>
    <row r="4492" spans="1:25" x14ac:dyDescent="0.2">
      <c r="A4492">
        <v>3363</v>
      </c>
      <c r="B4492" t="s">
        <v>8619</v>
      </c>
      <c r="C4492" t="s">
        <v>18</v>
      </c>
      <c r="D4492" t="s">
        <v>2027</v>
      </c>
      <c r="E4492" t="s">
        <v>2028</v>
      </c>
      <c r="F4492" t="s">
        <v>78</v>
      </c>
      <c r="G4492" t="s">
        <v>74</v>
      </c>
      <c r="I4492" t="b">
        <v>0</v>
      </c>
      <c r="J4492" t="b">
        <v>0</v>
      </c>
      <c r="L4492" t="b">
        <v>0</v>
      </c>
      <c r="M4492" t="str">
        <f>HYPERLINK("https://arizona.app.box.com/file/389178733169")</f>
        <v>https://arizona.app.box.com/file/389178733169</v>
      </c>
      <c r="N4492" t="str">
        <f>HYPERLINK("https://arizona.app.box.com/file/386238209262")</f>
        <v>https://arizona.app.box.com/file/386238209262</v>
      </c>
      <c r="O4492" t="str">
        <f>HYPERLINK("https://arizona.app.box.com/file/389266256137")</f>
        <v>https://arizona.app.box.com/file/389266256137</v>
      </c>
    </row>
    <row r="4493" spans="1:25" x14ac:dyDescent="0.2">
      <c r="A4493">
        <v>3364</v>
      </c>
      <c r="B4493" t="s">
        <v>8619</v>
      </c>
      <c r="C4493" t="s">
        <v>18</v>
      </c>
      <c r="D4493" t="s">
        <v>8623</v>
      </c>
      <c r="E4493" t="s">
        <v>8624</v>
      </c>
      <c r="F4493" t="s">
        <v>23</v>
      </c>
      <c r="G4493" t="s">
        <v>74</v>
      </c>
      <c r="I4493" t="b">
        <v>0</v>
      </c>
      <c r="J4493" t="b">
        <v>0</v>
      </c>
      <c r="L4493" t="b">
        <v>0</v>
      </c>
    </row>
    <row r="4494" spans="1:25" x14ac:dyDescent="0.2">
      <c r="A4494">
        <v>3365</v>
      </c>
      <c r="B4494" t="s">
        <v>8619</v>
      </c>
      <c r="C4494" t="s">
        <v>18</v>
      </c>
      <c r="D4494" t="s">
        <v>8625</v>
      </c>
      <c r="E4494" t="s">
        <v>1986</v>
      </c>
      <c r="F4494" t="s">
        <v>1617</v>
      </c>
      <c r="G4494" t="s">
        <v>74</v>
      </c>
      <c r="I4494" t="b">
        <v>0</v>
      </c>
      <c r="J4494" t="b">
        <v>0</v>
      </c>
      <c r="L4494" t="b">
        <v>0</v>
      </c>
      <c r="M4494" t="str">
        <f>HYPERLINK("https://arizona.app.box.com/file/386249310445")</f>
        <v>https://arizona.app.box.com/file/386249310445</v>
      </c>
    </row>
    <row r="4496" spans="1:25" x14ac:dyDescent="0.2">
      <c r="A4496" s="2">
        <v>7700</v>
      </c>
      <c r="B4496" s="2" t="s">
        <v>8626</v>
      </c>
      <c r="C4496" s="2" t="s">
        <v>13</v>
      </c>
      <c r="D4496" s="2" t="s">
        <v>5205</v>
      </c>
      <c r="E4496" s="2" t="s">
        <v>8627</v>
      </c>
      <c r="F4496" s="2" t="s">
        <v>23</v>
      </c>
      <c r="G4496" s="2" t="s">
        <v>24</v>
      </c>
      <c r="H4496" s="2"/>
      <c r="I4496" s="2"/>
      <c r="J4496" s="2"/>
      <c r="K4496" s="2"/>
      <c r="L4496" s="2"/>
      <c r="M4496" s="2"/>
      <c r="N4496" s="2"/>
      <c r="O4496" s="2"/>
      <c r="P4496" s="2"/>
      <c r="Q4496" s="2"/>
      <c r="R4496" s="2"/>
      <c r="S4496" s="2"/>
      <c r="T4496" s="2"/>
      <c r="U4496" s="2"/>
      <c r="V4496" s="2"/>
      <c r="W4496" s="2"/>
      <c r="X4496" s="2"/>
      <c r="Y4496" s="2"/>
    </row>
    <row r="4497" spans="1:25" x14ac:dyDescent="0.2">
      <c r="A4497">
        <v>7701</v>
      </c>
      <c r="B4497" t="s">
        <v>8626</v>
      </c>
      <c r="C4497" t="s">
        <v>18</v>
      </c>
      <c r="D4497" t="s">
        <v>5205</v>
      </c>
      <c r="E4497" t="s">
        <v>5206</v>
      </c>
      <c r="F4497" t="s">
        <v>23</v>
      </c>
      <c r="G4497" t="s">
        <v>24</v>
      </c>
      <c r="I4497" t="b">
        <v>1</v>
      </c>
      <c r="J4497" t="b">
        <v>1</v>
      </c>
      <c r="L4497" t="b">
        <v>1</v>
      </c>
      <c r="M4497" t="str">
        <f>HYPERLINK("https://arizona.app.box.com/file/389171397651")</f>
        <v>https://arizona.app.box.com/file/389171397651</v>
      </c>
      <c r="N4497" t="str">
        <f>HYPERLINK("https://arizona.app.box.com/file/386225734225")</f>
        <v>https://arizona.app.box.com/file/386225734225</v>
      </c>
    </row>
    <row r="4498" spans="1:25" x14ac:dyDescent="0.2">
      <c r="A4498">
        <v>7702</v>
      </c>
      <c r="B4498" t="s">
        <v>8626</v>
      </c>
      <c r="C4498" t="s">
        <v>18</v>
      </c>
      <c r="D4498" t="s">
        <v>21</v>
      </c>
      <c r="E4498" t="s">
        <v>22</v>
      </c>
      <c r="F4498" t="s">
        <v>23</v>
      </c>
      <c r="G4498" t="s">
        <v>24</v>
      </c>
      <c r="I4498" t="b">
        <v>1</v>
      </c>
      <c r="J4498" t="b">
        <v>1</v>
      </c>
      <c r="L4498" t="b">
        <v>1</v>
      </c>
      <c r="M4498" t="str">
        <f>HYPERLINK("https://arizona.app.box.com/file/389268395077")</f>
        <v>https://arizona.app.box.com/file/389268395077</v>
      </c>
      <c r="N4498" t="str">
        <f>HYPERLINK("https://arizona.app.box.com/file/389164468262")</f>
        <v>https://arizona.app.box.com/file/389164468262</v>
      </c>
    </row>
    <row r="4499" spans="1:25" x14ac:dyDescent="0.2">
      <c r="A4499">
        <v>7703</v>
      </c>
      <c r="B4499" t="s">
        <v>8626</v>
      </c>
      <c r="C4499" t="s">
        <v>18</v>
      </c>
      <c r="D4499" t="s">
        <v>33</v>
      </c>
      <c r="E4499" t="s">
        <v>34</v>
      </c>
      <c r="F4499" t="s">
        <v>23</v>
      </c>
      <c r="G4499" t="s">
        <v>24</v>
      </c>
      <c r="I4499" t="b">
        <v>1</v>
      </c>
      <c r="J4499" t="b">
        <v>1</v>
      </c>
      <c r="L4499" t="b">
        <v>1</v>
      </c>
      <c r="M4499" t="str">
        <f>HYPERLINK("https://arizona.app.box.com/file/389176547087")</f>
        <v>https://arizona.app.box.com/file/389176547087</v>
      </c>
      <c r="N4499" t="str">
        <f>HYPERLINK("https://arizona.app.box.com/file/386239447758")</f>
        <v>https://arizona.app.box.com/file/386239447758</v>
      </c>
    </row>
    <row r="4500" spans="1:25" x14ac:dyDescent="0.2">
      <c r="A4500">
        <v>7704</v>
      </c>
      <c r="B4500" t="s">
        <v>8626</v>
      </c>
      <c r="C4500" t="s">
        <v>18</v>
      </c>
      <c r="D4500" t="s">
        <v>5201</v>
      </c>
      <c r="E4500" t="s">
        <v>5202</v>
      </c>
      <c r="F4500" t="s">
        <v>670</v>
      </c>
      <c r="G4500" t="s">
        <v>24</v>
      </c>
      <c r="I4500" t="b">
        <v>0</v>
      </c>
      <c r="J4500" t="b">
        <v>0</v>
      </c>
      <c r="L4500" t="b">
        <v>0</v>
      </c>
      <c r="M4500" t="str">
        <f>HYPERLINK("https://arizona.app.box.com/file/389262618140")</f>
        <v>https://arizona.app.box.com/file/389262618140</v>
      </c>
      <c r="N4500" t="str">
        <f>HYPERLINK("https://arizona.app.box.com/file/386239082812")</f>
        <v>https://arizona.app.box.com/file/386239082812</v>
      </c>
    </row>
    <row r="4501" spans="1:25" x14ac:dyDescent="0.2">
      <c r="A4501">
        <v>7705</v>
      </c>
      <c r="B4501" t="s">
        <v>8626</v>
      </c>
      <c r="C4501" t="s">
        <v>18</v>
      </c>
      <c r="D4501" t="s">
        <v>5197</v>
      </c>
      <c r="E4501" t="s">
        <v>5198</v>
      </c>
      <c r="F4501" t="s">
        <v>670</v>
      </c>
      <c r="G4501" t="s">
        <v>24</v>
      </c>
      <c r="I4501" t="b">
        <v>0</v>
      </c>
      <c r="J4501" t="b">
        <v>0</v>
      </c>
      <c r="L4501" t="b">
        <v>0</v>
      </c>
      <c r="M4501" t="str">
        <f>HYPERLINK("https://arizona.app.box.com/file/389258549163")</f>
        <v>https://arizona.app.box.com/file/389258549163</v>
      </c>
      <c r="N4501" t="str">
        <f>HYPERLINK("https://arizona.app.box.com/file/389161842971")</f>
        <v>https://arizona.app.box.com/file/389161842971</v>
      </c>
    </row>
    <row r="4503" spans="1:25" x14ac:dyDescent="0.2">
      <c r="A4503" s="2">
        <v>2303</v>
      </c>
      <c r="B4503" s="2" t="s">
        <v>8628</v>
      </c>
      <c r="C4503" s="2" t="s">
        <v>13</v>
      </c>
      <c r="D4503" s="2" t="s">
        <v>3504</v>
      </c>
      <c r="E4503" s="2" t="s">
        <v>8629</v>
      </c>
      <c r="F4503" s="2" t="s">
        <v>451</v>
      </c>
      <c r="G4503" s="2" t="s">
        <v>252</v>
      </c>
      <c r="H4503" s="2"/>
      <c r="I4503" s="2"/>
      <c r="J4503" s="2"/>
      <c r="K4503" s="2"/>
      <c r="L4503" s="2"/>
      <c r="M4503" s="2"/>
      <c r="N4503" s="2"/>
      <c r="O4503" s="2"/>
      <c r="P4503" s="2"/>
      <c r="Q4503" s="2"/>
      <c r="R4503" s="2"/>
      <c r="S4503" s="2"/>
      <c r="T4503" s="2"/>
      <c r="U4503" s="2"/>
      <c r="V4503" s="2"/>
      <c r="W4503" s="2"/>
      <c r="X4503" s="2"/>
      <c r="Y4503" s="2"/>
    </row>
    <row r="4504" spans="1:25" x14ac:dyDescent="0.2">
      <c r="A4504">
        <v>2304</v>
      </c>
      <c r="B4504" t="s">
        <v>8628</v>
      </c>
      <c r="C4504" t="s">
        <v>18</v>
      </c>
      <c r="D4504" t="s">
        <v>3504</v>
      </c>
      <c r="E4504" t="s">
        <v>3505</v>
      </c>
      <c r="F4504" t="s">
        <v>451</v>
      </c>
      <c r="G4504" t="s">
        <v>252</v>
      </c>
      <c r="I4504" t="b">
        <v>1</v>
      </c>
      <c r="J4504" t="b">
        <v>1</v>
      </c>
      <c r="L4504" t="b">
        <v>1</v>
      </c>
      <c r="M4504" t="str">
        <f>HYPERLINK("https://arizona.app.box.com/file/389256758395")</f>
        <v>https://arizona.app.box.com/file/389256758395</v>
      </c>
      <c r="N4504" t="str">
        <f>HYPERLINK("https://arizona.app.box.com/file/389162537379")</f>
        <v>https://arizona.app.box.com/file/389162537379</v>
      </c>
    </row>
    <row r="4505" spans="1:25" x14ac:dyDescent="0.2">
      <c r="A4505">
        <v>2305</v>
      </c>
      <c r="B4505" t="s">
        <v>8628</v>
      </c>
      <c r="C4505" t="s">
        <v>18</v>
      </c>
      <c r="D4505" t="s">
        <v>8630</v>
      </c>
      <c r="E4505" t="s">
        <v>4353</v>
      </c>
      <c r="F4505" t="s">
        <v>451</v>
      </c>
      <c r="G4505" t="s">
        <v>252</v>
      </c>
      <c r="I4505" t="b">
        <v>1</v>
      </c>
      <c r="J4505" t="b">
        <v>1</v>
      </c>
      <c r="L4505" t="b">
        <v>1</v>
      </c>
      <c r="M4505" t="str">
        <f>HYPERLINK("https://arizona.app.box.com/file/386231237560")</f>
        <v>https://arizona.app.box.com/file/386231237560</v>
      </c>
    </row>
    <row r="4506" spans="1:25" x14ac:dyDescent="0.2">
      <c r="A4506">
        <v>2306</v>
      </c>
      <c r="B4506" t="s">
        <v>8628</v>
      </c>
      <c r="C4506" t="s">
        <v>18</v>
      </c>
      <c r="D4506" t="s">
        <v>2423</v>
      </c>
      <c r="E4506" t="s">
        <v>2424</v>
      </c>
      <c r="F4506" t="s">
        <v>420</v>
      </c>
      <c r="G4506" t="s">
        <v>252</v>
      </c>
      <c r="I4506" t="b">
        <v>0</v>
      </c>
      <c r="J4506" t="b">
        <v>0</v>
      </c>
      <c r="L4506" t="b">
        <v>0</v>
      </c>
      <c r="M4506" t="str">
        <f>HYPERLINK("https://arizona.app.box.com/file/389257475838")</f>
        <v>https://arizona.app.box.com/file/389257475838</v>
      </c>
      <c r="N4506" t="str">
        <f>HYPERLINK("https://arizona.app.box.com/file/389137689415")</f>
        <v>https://arizona.app.box.com/file/389137689415</v>
      </c>
    </row>
    <row r="4507" spans="1:25" x14ac:dyDescent="0.2">
      <c r="A4507">
        <v>2307</v>
      </c>
      <c r="B4507" t="s">
        <v>8628</v>
      </c>
      <c r="C4507" t="s">
        <v>18</v>
      </c>
      <c r="D4507" t="s">
        <v>3497</v>
      </c>
      <c r="E4507" t="s">
        <v>1472</v>
      </c>
      <c r="F4507" t="s">
        <v>78</v>
      </c>
      <c r="G4507" t="s">
        <v>252</v>
      </c>
      <c r="I4507" t="b">
        <v>0</v>
      </c>
      <c r="J4507" t="b">
        <v>0</v>
      </c>
      <c r="L4507" t="b">
        <v>0</v>
      </c>
      <c r="M4507" t="str">
        <f>HYPERLINK("https://arizona.app.box.com/file/389264006612")</f>
        <v>https://arizona.app.box.com/file/389264006612</v>
      </c>
      <c r="N4507" t="str">
        <f>HYPERLINK("https://arizona.app.box.com/file/389162830913")</f>
        <v>https://arizona.app.box.com/file/389162830913</v>
      </c>
    </row>
    <row r="4508" spans="1:25" x14ac:dyDescent="0.2">
      <c r="A4508">
        <v>2308</v>
      </c>
      <c r="B4508" t="s">
        <v>8628</v>
      </c>
      <c r="C4508" t="s">
        <v>18</v>
      </c>
      <c r="D4508" t="s">
        <v>3494</v>
      </c>
      <c r="E4508" t="s">
        <v>209</v>
      </c>
      <c r="F4508" t="s">
        <v>420</v>
      </c>
      <c r="G4508" t="s">
        <v>252</v>
      </c>
      <c r="I4508" t="b">
        <v>0</v>
      </c>
      <c r="J4508" t="b">
        <v>0</v>
      </c>
      <c r="L4508" t="b">
        <v>0</v>
      </c>
      <c r="M4508" t="str">
        <f>HYPERLINK("https://arizona.app.box.com/file/389255941642")</f>
        <v>https://arizona.app.box.com/file/389255941642</v>
      </c>
      <c r="N4508" t="str">
        <f>HYPERLINK("https://arizona.app.box.com/file/389169161420")</f>
        <v>https://arizona.app.box.com/file/389169161420</v>
      </c>
    </row>
    <row r="4510" spans="1:25" x14ac:dyDescent="0.2">
      <c r="A4510" s="2">
        <v>6216</v>
      </c>
      <c r="B4510" s="2" t="s">
        <v>8631</v>
      </c>
      <c r="C4510" s="2" t="s">
        <v>13</v>
      </c>
      <c r="D4510" s="2" t="s">
        <v>2766</v>
      </c>
      <c r="E4510" s="2" t="s">
        <v>8632</v>
      </c>
      <c r="F4510" s="2" t="s">
        <v>151</v>
      </c>
      <c r="G4510" s="2" t="s">
        <v>24</v>
      </c>
      <c r="H4510" s="2"/>
      <c r="I4510" s="2"/>
      <c r="J4510" s="2"/>
      <c r="K4510" s="2"/>
      <c r="L4510" s="2"/>
      <c r="M4510" s="2"/>
      <c r="N4510" s="2"/>
      <c r="O4510" s="2"/>
      <c r="P4510" s="2"/>
      <c r="Q4510" s="2"/>
      <c r="R4510" s="2"/>
      <c r="S4510" s="2"/>
      <c r="T4510" s="2"/>
      <c r="U4510" s="2"/>
      <c r="V4510" s="2"/>
      <c r="W4510" s="2"/>
      <c r="X4510" s="2"/>
      <c r="Y4510" s="2"/>
    </row>
    <row r="4511" spans="1:25" x14ac:dyDescent="0.2">
      <c r="A4511">
        <v>6217</v>
      </c>
      <c r="B4511" t="s">
        <v>8631</v>
      </c>
      <c r="C4511" t="s">
        <v>18</v>
      </c>
      <c r="D4511" t="s">
        <v>2766</v>
      </c>
      <c r="E4511" t="s">
        <v>2767</v>
      </c>
      <c r="F4511" t="s">
        <v>151</v>
      </c>
      <c r="G4511" t="s">
        <v>24</v>
      </c>
      <c r="I4511" t="b">
        <v>1</v>
      </c>
      <c r="J4511" t="b">
        <v>1</v>
      </c>
      <c r="L4511" t="b">
        <v>1</v>
      </c>
      <c r="M4511" t="str">
        <f>HYPERLINK("https://arizona.app.box.com/file/389268219925")</f>
        <v>https://arizona.app.box.com/file/389268219925</v>
      </c>
      <c r="N4511" t="str">
        <f>HYPERLINK("https://arizona.app.box.com/file/389153062942")</f>
        <v>https://arizona.app.box.com/file/389153062942</v>
      </c>
      <c r="O4511" t="str">
        <f>HYPERLINK("https://arizona.app.box.com/file/389263746357")</f>
        <v>https://arizona.app.box.com/file/389263746357</v>
      </c>
    </row>
    <row r="4512" spans="1:25" x14ac:dyDescent="0.2">
      <c r="A4512">
        <v>6218</v>
      </c>
      <c r="B4512" t="s">
        <v>8631</v>
      </c>
      <c r="C4512" t="s">
        <v>18</v>
      </c>
      <c r="D4512" t="s">
        <v>8633</v>
      </c>
      <c r="E4512" t="s">
        <v>3695</v>
      </c>
      <c r="F4512" t="s">
        <v>159</v>
      </c>
      <c r="G4512" t="s">
        <v>24</v>
      </c>
      <c r="I4512" t="b">
        <v>0</v>
      </c>
      <c r="J4512" t="b">
        <v>0</v>
      </c>
      <c r="L4512" t="b">
        <v>0</v>
      </c>
    </row>
    <row r="4513" spans="1:25" x14ac:dyDescent="0.2">
      <c r="A4513">
        <v>6219</v>
      </c>
      <c r="B4513" t="s">
        <v>8631</v>
      </c>
      <c r="C4513" t="s">
        <v>18</v>
      </c>
      <c r="D4513" t="s">
        <v>8634</v>
      </c>
      <c r="E4513" t="s">
        <v>8338</v>
      </c>
      <c r="F4513" t="s">
        <v>174</v>
      </c>
      <c r="G4513" t="s">
        <v>17</v>
      </c>
      <c r="I4513" t="b">
        <v>0</v>
      </c>
      <c r="J4513" t="b">
        <v>0</v>
      </c>
      <c r="L4513" t="b">
        <v>0</v>
      </c>
      <c r="M4513" t="str">
        <f>HYPERLINK("https://arizona.app.box.com/file/389175056196")</f>
        <v>https://arizona.app.box.com/file/389175056196</v>
      </c>
    </row>
    <row r="4514" spans="1:25" x14ac:dyDescent="0.2">
      <c r="A4514">
        <v>6220</v>
      </c>
      <c r="B4514" t="s">
        <v>8631</v>
      </c>
      <c r="C4514" t="s">
        <v>18</v>
      </c>
      <c r="D4514" t="s">
        <v>4872</v>
      </c>
      <c r="E4514" t="s">
        <v>4873</v>
      </c>
      <c r="F4514" t="s">
        <v>159</v>
      </c>
      <c r="G4514" t="s">
        <v>345</v>
      </c>
      <c r="I4514" t="b">
        <v>0</v>
      </c>
      <c r="J4514" t="b">
        <v>0</v>
      </c>
      <c r="L4514" t="b">
        <v>0</v>
      </c>
      <c r="M4514" t="str">
        <f>HYPERLINK("https://arizona.app.box.com/file/386217707182")</f>
        <v>https://arizona.app.box.com/file/386217707182</v>
      </c>
      <c r="N4514" t="str">
        <f>HYPERLINK("https://arizona.app.box.com/file/386227815721")</f>
        <v>https://arizona.app.box.com/file/386227815721</v>
      </c>
    </row>
    <row r="4515" spans="1:25" x14ac:dyDescent="0.2">
      <c r="A4515">
        <v>6221</v>
      </c>
      <c r="B4515" t="s">
        <v>8631</v>
      </c>
      <c r="C4515" t="s">
        <v>18</v>
      </c>
      <c r="D4515" t="s">
        <v>8635</v>
      </c>
      <c r="E4515" t="s">
        <v>8636</v>
      </c>
      <c r="F4515" t="s">
        <v>151</v>
      </c>
      <c r="G4515" t="s">
        <v>24</v>
      </c>
      <c r="I4515" t="b">
        <v>0</v>
      </c>
      <c r="J4515" t="b">
        <v>0</v>
      </c>
      <c r="L4515" t="b">
        <v>0</v>
      </c>
      <c r="M4515" t="str">
        <f>HYPERLINK("https://arizona.app.box.com/file/386237981789")</f>
        <v>https://arizona.app.box.com/file/386237981789</v>
      </c>
    </row>
    <row r="4517" spans="1:25" x14ac:dyDescent="0.2">
      <c r="A4517" s="2">
        <v>7959</v>
      </c>
      <c r="B4517" s="2" t="s">
        <v>8637</v>
      </c>
      <c r="C4517" s="2" t="s">
        <v>13</v>
      </c>
      <c r="D4517" s="2" t="s">
        <v>8638</v>
      </c>
      <c r="E4517" s="2" t="s">
        <v>8639</v>
      </c>
      <c r="F4517" s="2" t="s">
        <v>23</v>
      </c>
      <c r="G4517" s="2" t="s">
        <v>292</v>
      </c>
      <c r="H4517" s="2"/>
      <c r="I4517" s="2"/>
      <c r="J4517" s="2"/>
      <c r="K4517" s="2"/>
      <c r="L4517" s="2"/>
      <c r="M4517" s="2"/>
      <c r="N4517" s="2"/>
      <c r="O4517" s="2"/>
      <c r="P4517" s="2"/>
      <c r="Q4517" s="2"/>
      <c r="R4517" s="2"/>
      <c r="S4517" s="2"/>
      <c r="T4517" s="2"/>
      <c r="U4517" s="2"/>
      <c r="V4517" s="2"/>
      <c r="W4517" s="2"/>
      <c r="X4517" s="2"/>
      <c r="Y4517" s="2"/>
    </row>
    <row r="4518" spans="1:25" x14ac:dyDescent="0.2">
      <c r="A4518">
        <v>7960</v>
      </c>
      <c r="B4518" t="s">
        <v>8637</v>
      </c>
      <c r="C4518" t="s">
        <v>18</v>
      </c>
      <c r="D4518" t="s">
        <v>8640</v>
      </c>
      <c r="E4518" t="s">
        <v>8639</v>
      </c>
      <c r="F4518" t="s">
        <v>23</v>
      </c>
      <c r="G4518" t="s">
        <v>292</v>
      </c>
      <c r="I4518" t="b">
        <v>1</v>
      </c>
      <c r="J4518" t="b">
        <v>1</v>
      </c>
      <c r="L4518" t="b">
        <v>1</v>
      </c>
      <c r="M4518" t="str">
        <f>HYPERLINK("https://arizona.app.box.com/file/386240919953")</f>
        <v>https://arizona.app.box.com/file/386240919953</v>
      </c>
      <c r="N4518" t="str">
        <f>HYPERLINK("https://arizona.app.box.com/file/386217209026")</f>
        <v>https://arizona.app.box.com/file/386217209026</v>
      </c>
    </row>
    <row r="4519" spans="1:25" x14ac:dyDescent="0.2">
      <c r="A4519">
        <v>7961</v>
      </c>
      <c r="B4519" t="s">
        <v>8637</v>
      </c>
      <c r="C4519" t="s">
        <v>18</v>
      </c>
      <c r="D4519" t="s">
        <v>8641</v>
      </c>
      <c r="E4519" t="s">
        <v>3656</v>
      </c>
      <c r="F4519" t="s">
        <v>260</v>
      </c>
      <c r="G4519" t="s">
        <v>134</v>
      </c>
      <c r="I4519" t="b">
        <v>0</v>
      </c>
      <c r="J4519" t="b">
        <v>0</v>
      </c>
      <c r="L4519" t="b">
        <v>0</v>
      </c>
      <c r="M4519" t="str">
        <f>HYPERLINK("https://arizona.app.box.com/file/389263415047")</f>
        <v>https://arizona.app.box.com/file/389263415047</v>
      </c>
    </row>
    <row r="4520" spans="1:25" x14ac:dyDescent="0.2">
      <c r="A4520">
        <v>7962</v>
      </c>
      <c r="B4520" t="s">
        <v>8637</v>
      </c>
      <c r="C4520" t="s">
        <v>18</v>
      </c>
      <c r="D4520" t="s">
        <v>1052</v>
      </c>
      <c r="E4520" t="s">
        <v>1053</v>
      </c>
      <c r="F4520" t="s">
        <v>596</v>
      </c>
      <c r="G4520" t="s">
        <v>201</v>
      </c>
      <c r="I4520" t="b">
        <v>0</v>
      </c>
      <c r="J4520" t="b">
        <v>0</v>
      </c>
      <c r="L4520" t="b">
        <v>0</v>
      </c>
      <c r="M4520" t="str">
        <f>HYPERLINK("https://arizona.app.box.com/file/389176707386")</f>
        <v>https://arizona.app.box.com/file/389176707386</v>
      </c>
      <c r="N4520" t="str">
        <f>HYPERLINK("https://arizona.app.box.com/file/386216525498")</f>
        <v>https://arizona.app.box.com/file/386216525498</v>
      </c>
    </row>
    <row r="4521" spans="1:25" x14ac:dyDescent="0.2">
      <c r="A4521">
        <v>7963</v>
      </c>
      <c r="B4521" t="s">
        <v>8637</v>
      </c>
      <c r="C4521" t="s">
        <v>18</v>
      </c>
      <c r="D4521" t="s">
        <v>157</v>
      </c>
      <c r="E4521" t="s">
        <v>158</v>
      </c>
      <c r="F4521" t="s">
        <v>160</v>
      </c>
      <c r="G4521" t="s">
        <v>161</v>
      </c>
      <c r="I4521" t="b">
        <v>0</v>
      </c>
      <c r="J4521" t="b">
        <v>0</v>
      </c>
      <c r="L4521" t="b">
        <v>0</v>
      </c>
      <c r="M4521" t="str">
        <f>HYPERLINK("https://arizona.app.box.com/file/389263180916")</f>
        <v>https://arizona.app.box.com/file/389263180916</v>
      </c>
      <c r="N4521" t="str">
        <f>HYPERLINK("https://arizona.app.box.com/file/386216449454")</f>
        <v>https://arizona.app.box.com/file/386216449454</v>
      </c>
    </row>
    <row r="4522" spans="1:25" x14ac:dyDescent="0.2">
      <c r="A4522">
        <v>7964</v>
      </c>
      <c r="B4522" t="s">
        <v>8637</v>
      </c>
      <c r="C4522" t="s">
        <v>18</v>
      </c>
      <c r="D4522" t="s">
        <v>8642</v>
      </c>
      <c r="E4522" t="s">
        <v>8643</v>
      </c>
      <c r="F4522" t="s">
        <v>78</v>
      </c>
      <c r="G4522" t="s">
        <v>17</v>
      </c>
      <c r="I4522" t="b">
        <v>0</v>
      </c>
      <c r="J4522" t="b">
        <v>0</v>
      </c>
      <c r="L4522" t="b">
        <v>0</v>
      </c>
      <c r="M4522" t="str">
        <f>HYPERLINK("https://arizona.app.box.com/file/389263174183")</f>
        <v>https://arizona.app.box.com/file/389263174183</v>
      </c>
      <c r="N4522" t="str">
        <f>HYPERLINK("https://arizona.app.box.com/file/389168616045")</f>
        <v>https://arizona.app.box.com/file/389168616045</v>
      </c>
      <c r="O4522" t="str">
        <f>HYPERLINK("https://arizona.app.box.com/file/389266892046")</f>
        <v>https://arizona.app.box.com/file/389266892046</v>
      </c>
    </row>
    <row r="4524" spans="1:25" x14ac:dyDescent="0.2">
      <c r="A4524" s="2">
        <v>210</v>
      </c>
      <c r="B4524" s="2" t="s">
        <v>8644</v>
      </c>
      <c r="C4524" s="2" t="s">
        <v>13</v>
      </c>
      <c r="D4524" s="2" t="s">
        <v>8645</v>
      </c>
      <c r="E4524" s="2" t="s">
        <v>8646</v>
      </c>
      <c r="F4524" s="2" t="s">
        <v>159</v>
      </c>
      <c r="G4524" s="2" t="s">
        <v>265</v>
      </c>
      <c r="H4524" s="2"/>
      <c r="I4524" s="2"/>
      <c r="J4524" s="2"/>
      <c r="K4524" s="2"/>
      <c r="L4524" s="2"/>
      <c r="M4524" s="2"/>
      <c r="N4524" s="2"/>
      <c r="O4524" s="2"/>
      <c r="P4524" s="2"/>
      <c r="Q4524" s="2"/>
      <c r="R4524" s="2"/>
      <c r="S4524" s="2"/>
      <c r="T4524" s="2"/>
      <c r="U4524" s="2"/>
      <c r="V4524" s="2"/>
      <c r="W4524" s="2"/>
      <c r="X4524" s="2"/>
      <c r="Y4524" s="2"/>
    </row>
    <row r="4525" spans="1:25" x14ac:dyDescent="0.2">
      <c r="A4525">
        <v>211</v>
      </c>
      <c r="B4525" t="s">
        <v>8644</v>
      </c>
      <c r="C4525" t="s">
        <v>18</v>
      </c>
      <c r="D4525" t="s">
        <v>8645</v>
      </c>
      <c r="E4525" t="s">
        <v>8646</v>
      </c>
      <c r="F4525" t="s">
        <v>1837</v>
      </c>
      <c r="G4525" t="s">
        <v>265</v>
      </c>
      <c r="I4525" t="b">
        <v>1</v>
      </c>
      <c r="J4525" t="b">
        <v>1</v>
      </c>
      <c r="L4525" t="b">
        <v>1</v>
      </c>
      <c r="M4525" t="str">
        <f>HYPERLINK("https://arizona.app.box.com/file/386230627228")</f>
        <v>https://arizona.app.box.com/file/386230627228</v>
      </c>
      <c r="N4525" t="str">
        <f>HYPERLINK("https://arizona.app.box.com/file/386239896965")</f>
        <v>https://arizona.app.box.com/file/386239896965</v>
      </c>
    </row>
    <row r="4526" spans="1:25" x14ac:dyDescent="0.2">
      <c r="A4526">
        <v>212</v>
      </c>
      <c r="B4526" t="s">
        <v>8644</v>
      </c>
      <c r="C4526" t="s">
        <v>18</v>
      </c>
      <c r="D4526" t="s">
        <v>3429</v>
      </c>
      <c r="E4526" t="s">
        <v>3430</v>
      </c>
      <c r="F4526" t="s">
        <v>159</v>
      </c>
      <c r="G4526" t="s">
        <v>265</v>
      </c>
      <c r="I4526" t="b">
        <v>0</v>
      </c>
      <c r="J4526" t="b">
        <v>0</v>
      </c>
      <c r="L4526" t="b">
        <v>0</v>
      </c>
      <c r="M4526" t="str">
        <f>HYPERLINK("https://arizona.app.box.com/file/389163366317")</f>
        <v>https://arizona.app.box.com/file/389163366317</v>
      </c>
      <c r="N4526" t="str">
        <f>HYPERLINK("https://arizona.app.box.com/file/386240798930")</f>
        <v>https://arizona.app.box.com/file/386240798930</v>
      </c>
    </row>
    <row r="4527" spans="1:25" x14ac:dyDescent="0.2">
      <c r="A4527">
        <v>213</v>
      </c>
      <c r="B4527" t="s">
        <v>8644</v>
      </c>
      <c r="C4527" t="s">
        <v>18</v>
      </c>
      <c r="D4527" t="s">
        <v>3433</v>
      </c>
      <c r="E4527" t="s">
        <v>3434</v>
      </c>
      <c r="F4527" t="s">
        <v>82</v>
      </c>
      <c r="G4527" t="s">
        <v>265</v>
      </c>
      <c r="I4527" t="b">
        <v>0</v>
      </c>
      <c r="J4527" t="b">
        <v>0</v>
      </c>
      <c r="L4527" t="b">
        <v>0</v>
      </c>
    </row>
    <row r="4528" spans="1:25" x14ac:dyDescent="0.2">
      <c r="A4528">
        <v>214</v>
      </c>
      <c r="B4528" t="s">
        <v>8644</v>
      </c>
      <c r="C4528" t="s">
        <v>18</v>
      </c>
      <c r="D4528" t="s">
        <v>3435</v>
      </c>
      <c r="E4528" t="s">
        <v>3436</v>
      </c>
      <c r="F4528" t="s">
        <v>82</v>
      </c>
      <c r="G4528" t="s">
        <v>265</v>
      </c>
      <c r="I4528" t="b">
        <v>0</v>
      </c>
      <c r="J4528" t="b">
        <v>0</v>
      </c>
      <c r="L4528" t="b">
        <v>0</v>
      </c>
      <c r="M4528" t="str">
        <f>HYPERLINK("https://arizona.app.box.com/file/386218722417")</f>
        <v>https://arizona.app.box.com/file/386218722417</v>
      </c>
    </row>
    <row r="4529" spans="1:25" x14ac:dyDescent="0.2">
      <c r="A4529">
        <v>215</v>
      </c>
      <c r="B4529" t="s">
        <v>8644</v>
      </c>
      <c r="C4529" t="s">
        <v>18</v>
      </c>
      <c r="D4529" t="s">
        <v>8647</v>
      </c>
      <c r="E4529" t="s">
        <v>8648</v>
      </c>
      <c r="F4529" t="s">
        <v>8649</v>
      </c>
      <c r="G4529" t="s">
        <v>265</v>
      </c>
      <c r="I4529" t="b">
        <v>0</v>
      </c>
      <c r="J4529" t="b">
        <v>0</v>
      </c>
      <c r="L4529" t="b">
        <v>0</v>
      </c>
      <c r="M4529" t="str">
        <f>HYPERLINK("https://arizona.app.box.com/file/386253501534")</f>
        <v>https://arizona.app.box.com/file/386253501534</v>
      </c>
      <c r="N4529" t="str">
        <f>HYPERLINK("https://arizona.app.box.com/file/386235424540")</f>
        <v>https://arizona.app.box.com/file/386235424540</v>
      </c>
    </row>
    <row r="4531" spans="1:25" x14ac:dyDescent="0.2">
      <c r="A4531" s="2">
        <v>3080</v>
      </c>
      <c r="B4531" s="2" t="s">
        <v>8650</v>
      </c>
      <c r="C4531" s="2" t="s">
        <v>13</v>
      </c>
      <c r="D4531" s="2" t="s">
        <v>8651</v>
      </c>
      <c r="E4531" s="2" t="s">
        <v>8652</v>
      </c>
      <c r="F4531" s="2" t="s">
        <v>16</v>
      </c>
      <c r="G4531" s="2" t="s">
        <v>3688</v>
      </c>
      <c r="H4531" s="2"/>
      <c r="I4531" s="2"/>
      <c r="J4531" s="2"/>
      <c r="K4531" s="2"/>
      <c r="L4531" s="2"/>
      <c r="M4531" s="2"/>
      <c r="N4531" s="2"/>
      <c r="O4531" s="2"/>
      <c r="P4531" s="2"/>
      <c r="Q4531" s="2"/>
      <c r="R4531" s="2"/>
      <c r="S4531" s="2"/>
      <c r="T4531" s="2"/>
      <c r="U4531" s="2"/>
      <c r="V4531" s="2"/>
      <c r="W4531" s="2"/>
      <c r="X4531" s="2"/>
      <c r="Y4531" s="2"/>
    </row>
    <row r="4532" spans="1:25" x14ac:dyDescent="0.2">
      <c r="A4532">
        <v>3081</v>
      </c>
      <c r="B4532" t="s">
        <v>8650</v>
      </c>
      <c r="C4532" t="s">
        <v>18</v>
      </c>
      <c r="D4532" t="s">
        <v>8651</v>
      </c>
      <c r="E4532" t="s">
        <v>170</v>
      </c>
      <c r="F4532" t="s">
        <v>16</v>
      </c>
      <c r="G4532" t="s">
        <v>4192</v>
      </c>
      <c r="I4532" t="b">
        <v>1</v>
      </c>
      <c r="J4532" t="b">
        <v>1</v>
      </c>
      <c r="L4532" t="b">
        <v>1</v>
      </c>
      <c r="M4532" t="str">
        <f>HYPERLINK("https://arizona.app.box.com/file/389263969711")</f>
        <v>https://arizona.app.box.com/file/389263969711</v>
      </c>
    </row>
    <row r="4533" spans="1:25" x14ac:dyDescent="0.2">
      <c r="A4533">
        <v>3082</v>
      </c>
      <c r="B4533" t="s">
        <v>8650</v>
      </c>
      <c r="C4533" t="s">
        <v>18</v>
      </c>
      <c r="D4533" t="s">
        <v>8653</v>
      </c>
      <c r="E4533" t="s">
        <v>5474</v>
      </c>
      <c r="F4533" t="s">
        <v>82</v>
      </c>
      <c r="G4533" t="s">
        <v>4192</v>
      </c>
      <c r="I4533" t="b">
        <v>1</v>
      </c>
      <c r="J4533" t="b">
        <v>1</v>
      </c>
      <c r="L4533" t="b">
        <v>1</v>
      </c>
      <c r="M4533" t="str">
        <f>HYPERLINK("https://arizona.app.box.com/file/389166120650")</f>
        <v>https://arizona.app.box.com/file/389166120650</v>
      </c>
    </row>
    <row r="4534" spans="1:25" x14ac:dyDescent="0.2">
      <c r="A4534">
        <v>3083</v>
      </c>
      <c r="B4534" t="s">
        <v>8650</v>
      </c>
      <c r="C4534" t="s">
        <v>18</v>
      </c>
      <c r="D4534" t="s">
        <v>8654</v>
      </c>
      <c r="E4534" t="s">
        <v>8655</v>
      </c>
      <c r="F4534" t="s">
        <v>16</v>
      </c>
      <c r="G4534" t="s">
        <v>3688</v>
      </c>
      <c r="I4534" t="b">
        <v>0</v>
      </c>
      <c r="J4534" t="b">
        <v>0</v>
      </c>
      <c r="L4534" t="b">
        <v>0</v>
      </c>
    </row>
    <row r="4535" spans="1:25" x14ac:dyDescent="0.2">
      <c r="A4535">
        <v>3084</v>
      </c>
      <c r="B4535" t="s">
        <v>8650</v>
      </c>
      <c r="C4535" t="s">
        <v>18</v>
      </c>
      <c r="D4535" t="s">
        <v>8656</v>
      </c>
      <c r="E4535" t="s">
        <v>358</v>
      </c>
      <c r="F4535" t="s">
        <v>369</v>
      </c>
      <c r="G4535" t="s">
        <v>3688</v>
      </c>
      <c r="I4535" t="b">
        <v>0</v>
      </c>
      <c r="J4535" t="b">
        <v>0</v>
      </c>
      <c r="L4535" t="b">
        <v>0</v>
      </c>
    </row>
    <row r="4536" spans="1:25" x14ac:dyDescent="0.2">
      <c r="A4536">
        <v>3085</v>
      </c>
      <c r="B4536" t="s">
        <v>8650</v>
      </c>
      <c r="C4536" t="s">
        <v>18</v>
      </c>
      <c r="D4536" t="s">
        <v>8657</v>
      </c>
      <c r="E4536" t="s">
        <v>8658</v>
      </c>
      <c r="F4536" t="s">
        <v>82</v>
      </c>
      <c r="G4536" t="s">
        <v>3688</v>
      </c>
      <c r="I4536" t="b">
        <v>0</v>
      </c>
      <c r="J4536" t="b">
        <v>0</v>
      </c>
      <c r="L4536" t="b">
        <v>0</v>
      </c>
    </row>
    <row r="4538" spans="1:25" x14ac:dyDescent="0.2">
      <c r="A4538" s="2">
        <v>3493</v>
      </c>
      <c r="B4538" s="2" t="s">
        <v>8659</v>
      </c>
      <c r="C4538" s="2" t="s">
        <v>13</v>
      </c>
      <c r="D4538" s="2" t="s">
        <v>8660</v>
      </c>
      <c r="E4538" s="2" t="s">
        <v>8661</v>
      </c>
      <c r="F4538" s="2" t="s">
        <v>82</v>
      </c>
      <c r="G4538" s="2" t="s">
        <v>265</v>
      </c>
      <c r="H4538" s="2"/>
      <c r="I4538" s="2"/>
      <c r="J4538" s="2"/>
      <c r="K4538" s="2"/>
      <c r="L4538" s="2"/>
      <c r="M4538" s="2"/>
      <c r="N4538" s="2"/>
      <c r="O4538" s="2"/>
      <c r="P4538" s="2"/>
      <c r="Q4538" s="2"/>
      <c r="R4538" s="2"/>
      <c r="S4538" s="2"/>
      <c r="T4538" s="2"/>
      <c r="U4538" s="2"/>
      <c r="V4538" s="2"/>
      <c r="W4538" s="2"/>
      <c r="X4538" s="2"/>
      <c r="Y4538" s="2"/>
    </row>
    <row r="4539" spans="1:25" x14ac:dyDescent="0.2">
      <c r="A4539">
        <v>3494</v>
      </c>
      <c r="B4539" t="s">
        <v>8659</v>
      </c>
      <c r="C4539" t="s">
        <v>18</v>
      </c>
      <c r="D4539" t="s">
        <v>8660</v>
      </c>
      <c r="E4539" t="s">
        <v>8661</v>
      </c>
      <c r="F4539" t="s">
        <v>82</v>
      </c>
      <c r="G4539" t="s">
        <v>265</v>
      </c>
      <c r="I4539" t="b">
        <v>1</v>
      </c>
      <c r="J4539" t="b">
        <v>1</v>
      </c>
      <c r="L4539" t="b">
        <v>1</v>
      </c>
      <c r="M4539" t="str">
        <f>HYPERLINK("https://arizona.app.box.com/file/389263817259")</f>
        <v>https://arizona.app.box.com/file/389263817259</v>
      </c>
      <c r="N4539" t="str">
        <f>HYPERLINK("https://arizona.app.box.com/file/386214439242")</f>
        <v>https://arizona.app.box.com/file/386214439242</v>
      </c>
      <c r="O4539" t="str">
        <f>HYPERLINK("https://arizona.app.box.com/file/389162545258")</f>
        <v>https://arizona.app.box.com/file/389162545258</v>
      </c>
    </row>
    <row r="4540" spans="1:25" x14ac:dyDescent="0.2">
      <c r="A4540">
        <v>3495</v>
      </c>
      <c r="B4540" t="s">
        <v>8659</v>
      </c>
      <c r="C4540" t="s">
        <v>18</v>
      </c>
      <c r="D4540" t="s">
        <v>8662</v>
      </c>
      <c r="E4540" t="s">
        <v>2801</v>
      </c>
      <c r="F4540" t="s">
        <v>159</v>
      </c>
      <c r="G4540" t="s">
        <v>265</v>
      </c>
      <c r="I4540" t="b">
        <v>0</v>
      </c>
      <c r="J4540" t="b">
        <v>0</v>
      </c>
      <c r="L4540" t="b">
        <v>0</v>
      </c>
      <c r="M4540" t="str">
        <f>HYPERLINK("https://arizona.app.box.com/file/389264085260")</f>
        <v>https://arizona.app.box.com/file/389264085260</v>
      </c>
    </row>
    <row r="4541" spans="1:25" x14ac:dyDescent="0.2">
      <c r="A4541">
        <v>3496</v>
      </c>
      <c r="B4541" t="s">
        <v>8659</v>
      </c>
      <c r="C4541" t="s">
        <v>18</v>
      </c>
      <c r="D4541" t="s">
        <v>8663</v>
      </c>
      <c r="E4541" t="s">
        <v>8664</v>
      </c>
      <c r="F4541" t="s">
        <v>248</v>
      </c>
      <c r="G4541" t="s">
        <v>265</v>
      </c>
      <c r="I4541" t="b">
        <v>0</v>
      </c>
      <c r="J4541" t="b">
        <v>0</v>
      </c>
      <c r="L4541" t="b">
        <v>0</v>
      </c>
      <c r="M4541" t="str">
        <f>HYPERLINK("https://arizona.app.box.com/file/386214295690")</f>
        <v>https://arizona.app.box.com/file/386214295690</v>
      </c>
      <c r="N4541" t="str">
        <f>HYPERLINK("https://arizona.app.box.com/file/386249475710")</f>
        <v>https://arizona.app.box.com/file/386249475710</v>
      </c>
    </row>
    <row r="4542" spans="1:25" x14ac:dyDescent="0.2">
      <c r="A4542">
        <v>3497</v>
      </c>
      <c r="B4542" t="s">
        <v>8659</v>
      </c>
      <c r="C4542" t="s">
        <v>18</v>
      </c>
      <c r="D4542" t="s">
        <v>8665</v>
      </c>
      <c r="E4542" t="s">
        <v>8666</v>
      </c>
      <c r="F4542" t="s">
        <v>248</v>
      </c>
      <c r="G4542" t="s">
        <v>134</v>
      </c>
      <c r="I4542" t="b">
        <v>0</v>
      </c>
      <c r="J4542" t="b">
        <v>0</v>
      </c>
      <c r="L4542" t="b">
        <v>0</v>
      </c>
    </row>
    <row r="4543" spans="1:25" x14ac:dyDescent="0.2">
      <c r="A4543">
        <v>3498</v>
      </c>
      <c r="B4543" t="s">
        <v>8659</v>
      </c>
      <c r="C4543" t="s">
        <v>18</v>
      </c>
      <c r="D4543" t="s">
        <v>8667</v>
      </c>
      <c r="E4543" t="s">
        <v>1088</v>
      </c>
      <c r="F4543" t="s">
        <v>248</v>
      </c>
      <c r="G4543" t="s">
        <v>265</v>
      </c>
      <c r="I4543" t="b">
        <v>0</v>
      </c>
      <c r="J4543" t="b">
        <v>0</v>
      </c>
      <c r="L4543" t="b">
        <v>0</v>
      </c>
      <c r="M4543" t="str">
        <f>HYPERLINK("https://arizona.app.box.com/file/389168449350")</f>
        <v>https://arizona.app.box.com/file/389168449350</v>
      </c>
      <c r="N4543" t="str">
        <f>HYPERLINK("https://arizona.app.box.com/file/386226181285")</f>
        <v>https://arizona.app.box.com/file/386226181285</v>
      </c>
    </row>
    <row r="4545" spans="1:25" x14ac:dyDescent="0.2">
      <c r="A4545" s="2">
        <v>2884</v>
      </c>
      <c r="B4545" s="2" t="s">
        <v>8668</v>
      </c>
      <c r="C4545" s="2" t="s">
        <v>13</v>
      </c>
      <c r="D4545" s="2" t="s">
        <v>4383</v>
      </c>
      <c r="E4545" s="2" t="s">
        <v>8669</v>
      </c>
      <c r="F4545" s="2" t="s">
        <v>159</v>
      </c>
      <c r="G4545" s="2" t="s">
        <v>201</v>
      </c>
      <c r="H4545" s="2"/>
      <c r="I4545" s="2"/>
      <c r="J4545" s="2"/>
      <c r="K4545" s="2"/>
      <c r="L4545" s="2"/>
      <c r="M4545" s="2"/>
      <c r="N4545" s="2"/>
      <c r="O4545" s="2"/>
      <c r="P4545" s="2"/>
      <c r="Q4545" s="2"/>
      <c r="R4545" s="2"/>
      <c r="S4545" s="2"/>
      <c r="T4545" s="2"/>
      <c r="U4545" s="2"/>
      <c r="V4545" s="2"/>
      <c r="W4545" s="2"/>
      <c r="X4545" s="2"/>
      <c r="Y4545" s="2"/>
    </row>
    <row r="4546" spans="1:25" x14ac:dyDescent="0.2">
      <c r="A4546">
        <v>2885</v>
      </c>
      <c r="B4546" t="s">
        <v>8668</v>
      </c>
      <c r="C4546" t="s">
        <v>18</v>
      </c>
      <c r="D4546" t="s">
        <v>4383</v>
      </c>
      <c r="E4546" t="s">
        <v>4384</v>
      </c>
      <c r="F4546" t="s">
        <v>1837</v>
      </c>
      <c r="G4546" t="s">
        <v>201</v>
      </c>
      <c r="I4546" t="b">
        <v>1</v>
      </c>
      <c r="J4546" t="b">
        <v>1</v>
      </c>
      <c r="L4546" t="b">
        <v>1</v>
      </c>
      <c r="M4546" t="str">
        <f>HYPERLINK("https://arizona.app.box.com/file/386245462942")</f>
        <v>https://arizona.app.box.com/file/386245462942</v>
      </c>
      <c r="N4546" t="str">
        <f>HYPERLINK("https://arizona.app.box.com/file/386239826243")</f>
        <v>https://arizona.app.box.com/file/386239826243</v>
      </c>
    </row>
    <row r="4547" spans="1:25" x14ac:dyDescent="0.2">
      <c r="A4547">
        <v>2886</v>
      </c>
      <c r="B4547" t="s">
        <v>8668</v>
      </c>
      <c r="C4547" t="s">
        <v>18</v>
      </c>
      <c r="D4547" t="s">
        <v>210</v>
      </c>
      <c r="E4547" t="s">
        <v>211</v>
      </c>
      <c r="F4547" t="s">
        <v>159</v>
      </c>
      <c r="G4547" t="s">
        <v>201</v>
      </c>
      <c r="I4547" t="b">
        <v>0</v>
      </c>
      <c r="J4547" t="b">
        <v>0</v>
      </c>
      <c r="L4547" t="b">
        <v>0</v>
      </c>
      <c r="M4547" t="str">
        <f>HYPERLINK("https://arizona.app.box.com/file/389266347022")</f>
        <v>https://arizona.app.box.com/file/389266347022</v>
      </c>
      <c r="N4547" t="str">
        <f>HYPERLINK("https://arizona.app.box.com/file/389152134689")</f>
        <v>https://arizona.app.box.com/file/389152134689</v>
      </c>
    </row>
    <row r="4548" spans="1:25" x14ac:dyDescent="0.2">
      <c r="A4548">
        <v>2887</v>
      </c>
      <c r="B4548" t="s">
        <v>8668</v>
      </c>
      <c r="C4548" t="s">
        <v>18</v>
      </c>
      <c r="D4548" t="s">
        <v>4387</v>
      </c>
      <c r="E4548" t="s">
        <v>4388</v>
      </c>
      <c r="F4548" t="s">
        <v>159</v>
      </c>
      <c r="G4548" t="s">
        <v>201</v>
      </c>
      <c r="I4548" t="b">
        <v>0</v>
      </c>
      <c r="J4548" t="b">
        <v>0</v>
      </c>
      <c r="L4548" t="b">
        <v>0</v>
      </c>
      <c r="M4548" t="str">
        <f>HYPERLINK("https://arizona.app.box.com/file/389184805704")</f>
        <v>https://arizona.app.box.com/file/389184805704</v>
      </c>
      <c r="N4548" t="str">
        <f>HYPERLINK("https://arizona.app.box.com/file/386227827786")</f>
        <v>https://arizona.app.box.com/file/386227827786</v>
      </c>
    </row>
    <row r="4549" spans="1:25" x14ac:dyDescent="0.2">
      <c r="A4549">
        <v>2888</v>
      </c>
      <c r="B4549" t="s">
        <v>8668</v>
      </c>
      <c r="C4549" t="s">
        <v>18</v>
      </c>
      <c r="D4549" t="s">
        <v>203</v>
      </c>
      <c r="E4549" t="s">
        <v>204</v>
      </c>
      <c r="F4549" t="s">
        <v>205</v>
      </c>
      <c r="G4549" t="s">
        <v>201</v>
      </c>
      <c r="I4549" t="b">
        <v>0</v>
      </c>
      <c r="J4549" t="b">
        <v>0</v>
      </c>
      <c r="L4549" t="b">
        <v>0</v>
      </c>
      <c r="M4549" t="str">
        <f>HYPERLINK("https://arizona.app.box.com/file/389255053362")</f>
        <v>https://arizona.app.box.com/file/389255053362</v>
      </c>
      <c r="N4549" t="str">
        <f>HYPERLINK("https://arizona.app.box.com/file/389163554550")</f>
        <v>https://arizona.app.box.com/file/389163554550</v>
      </c>
    </row>
    <row r="4550" spans="1:25" x14ac:dyDescent="0.2">
      <c r="A4550">
        <v>2889</v>
      </c>
      <c r="B4550" t="s">
        <v>8668</v>
      </c>
      <c r="C4550" t="s">
        <v>18</v>
      </c>
      <c r="D4550" t="s">
        <v>206</v>
      </c>
      <c r="E4550" t="s">
        <v>207</v>
      </c>
      <c r="F4550" t="s">
        <v>205</v>
      </c>
      <c r="G4550" t="s">
        <v>201</v>
      </c>
      <c r="I4550" t="b">
        <v>0</v>
      </c>
      <c r="J4550" t="b">
        <v>0</v>
      </c>
      <c r="L4550" t="b">
        <v>0</v>
      </c>
      <c r="M4550" t="str">
        <f>HYPERLINK("https://arizona.app.box.com/file/389266459890")</f>
        <v>https://arizona.app.box.com/file/389266459890</v>
      </c>
      <c r="N4550" t="str">
        <f>HYPERLINK("https://arizona.app.box.com/file/389162354854")</f>
        <v>https://arizona.app.box.com/file/389162354854</v>
      </c>
    </row>
    <row r="4552" spans="1:25" x14ac:dyDescent="0.2">
      <c r="A4552" s="2">
        <v>6090</v>
      </c>
      <c r="B4552" s="2" t="s">
        <v>8670</v>
      </c>
      <c r="C4552" s="2" t="s">
        <v>13</v>
      </c>
      <c r="D4552" s="2" t="s">
        <v>2521</v>
      </c>
      <c r="E4552" s="2" t="s">
        <v>8671</v>
      </c>
      <c r="F4552" s="2" t="s">
        <v>87</v>
      </c>
      <c r="G4552" s="2" t="s">
        <v>879</v>
      </c>
      <c r="H4552" s="2"/>
      <c r="I4552" s="2"/>
      <c r="J4552" s="2"/>
      <c r="K4552" s="2"/>
      <c r="L4552" s="2"/>
      <c r="M4552" s="2"/>
      <c r="N4552" s="2"/>
      <c r="O4552" s="2"/>
      <c r="P4552" s="2"/>
      <c r="Q4552" s="2"/>
      <c r="R4552" s="2"/>
      <c r="S4552" s="2"/>
      <c r="T4552" s="2"/>
      <c r="U4552" s="2"/>
      <c r="V4552" s="2"/>
      <c r="W4552" s="2"/>
      <c r="X4552" s="2"/>
      <c r="Y4552" s="2"/>
    </row>
    <row r="4553" spans="1:25" x14ac:dyDescent="0.2">
      <c r="A4553">
        <v>6091</v>
      </c>
      <c r="B4553" t="s">
        <v>8670</v>
      </c>
      <c r="C4553" t="s">
        <v>18</v>
      </c>
      <c r="D4553" t="s">
        <v>2521</v>
      </c>
      <c r="E4553" t="s">
        <v>2493</v>
      </c>
      <c r="F4553" t="s">
        <v>87</v>
      </c>
      <c r="G4553" t="s">
        <v>879</v>
      </c>
      <c r="I4553" t="b">
        <v>1</v>
      </c>
      <c r="J4553" t="b">
        <v>1</v>
      </c>
      <c r="L4553" t="b">
        <v>1</v>
      </c>
    </row>
    <row r="4554" spans="1:25" x14ac:dyDescent="0.2">
      <c r="A4554">
        <v>6092</v>
      </c>
      <c r="B4554" t="s">
        <v>8670</v>
      </c>
      <c r="C4554" t="s">
        <v>18</v>
      </c>
      <c r="D4554" t="s">
        <v>2518</v>
      </c>
      <c r="E4554" t="s">
        <v>2519</v>
      </c>
      <c r="F4554" t="s">
        <v>87</v>
      </c>
      <c r="G4554" t="s">
        <v>879</v>
      </c>
      <c r="I4554" t="b">
        <v>1</v>
      </c>
      <c r="J4554" t="b">
        <v>1</v>
      </c>
      <c r="L4554" t="b">
        <v>1</v>
      </c>
      <c r="M4554" t="str">
        <f>HYPERLINK("https://arizona.app.box.com/file/386245183802")</f>
        <v>https://arizona.app.box.com/file/386245183802</v>
      </c>
    </row>
    <row r="4555" spans="1:25" x14ac:dyDescent="0.2">
      <c r="A4555">
        <v>6093</v>
      </c>
      <c r="B4555" t="s">
        <v>8670</v>
      </c>
      <c r="C4555" t="s">
        <v>18</v>
      </c>
      <c r="D4555" t="s">
        <v>8672</v>
      </c>
      <c r="E4555" t="s">
        <v>2285</v>
      </c>
      <c r="F4555" t="s">
        <v>159</v>
      </c>
      <c r="G4555" t="s">
        <v>879</v>
      </c>
      <c r="I4555" t="b">
        <v>0</v>
      </c>
      <c r="J4555" t="b">
        <v>0</v>
      </c>
      <c r="L4555" t="b">
        <v>0</v>
      </c>
      <c r="M4555" t="str">
        <f>HYPERLINK("https://arizona.app.box.com/file/389169858247")</f>
        <v>https://arizona.app.box.com/file/389169858247</v>
      </c>
      <c r="N4555" t="str">
        <f>HYPERLINK("https://arizona.app.box.com/file/386239155768")</f>
        <v>https://arizona.app.box.com/file/386239155768</v>
      </c>
    </row>
    <row r="4556" spans="1:25" x14ac:dyDescent="0.2">
      <c r="A4556">
        <v>6094</v>
      </c>
      <c r="B4556" t="s">
        <v>8670</v>
      </c>
      <c r="C4556" t="s">
        <v>18</v>
      </c>
      <c r="D4556" t="s">
        <v>8673</v>
      </c>
      <c r="E4556" t="s">
        <v>8674</v>
      </c>
      <c r="F4556" t="s">
        <v>87</v>
      </c>
      <c r="G4556" t="s">
        <v>62</v>
      </c>
      <c r="I4556" t="b">
        <v>0</v>
      </c>
      <c r="J4556" t="b">
        <v>0</v>
      </c>
      <c r="L4556" t="b">
        <v>0</v>
      </c>
      <c r="M4556" t="str">
        <f>HYPERLINK("https://arizona.app.box.com/file/389172331381")</f>
        <v>https://arizona.app.box.com/file/389172331381</v>
      </c>
      <c r="N4556" t="str">
        <f>HYPERLINK("https://arizona.app.box.com/file/386225836981")</f>
        <v>https://arizona.app.box.com/file/386225836981</v>
      </c>
      <c r="O4556" t="str">
        <f>HYPERLINK("https://arizona.app.box.com/file/389176046551")</f>
        <v>https://arizona.app.box.com/file/389176046551</v>
      </c>
      <c r="P4556" t="str">
        <f>HYPERLINK("https://arizona.app.box.com/file/386216122634")</f>
        <v>https://arizona.app.box.com/file/386216122634</v>
      </c>
    </row>
    <row r="4557" spans="1:25" x14ac:dyDescent="0.2">
      <c r="A4557">
        <v>6095</v>
      </c>
      <c r="B4557" t="s">
        <v>8670</v>
      </c>
      <c r="C4557" t="s">
        <v>18</v>
      </c>
      <c r="D4557" t="s">
        <v>8675</v>
      </c>
      <c r="E4557" t="s">
        <v>8676</v>
      </c>
      <c r="F4557" t="s">
        <v>159</v>
      </c>
      <c r="G4557" t="s">
        <v>62</v>
      </c>
      <c r="I4557" t="b">
        <v>0</v>
      </c>
      <c r="J4557" t="b">
        <v>0</v>
      </c>
      <c r="L4557" t="b">
        <v>0</v>
      </c>
      <c r="M4557" t="str">
        <f>HYPERLINK("https://arizona.app.box.com/file/386217715547")</f>
        <v>https://arizona.app.box.com/file/386217715547</v>
      </c>
    </row>
    <row r="4559" spans="1:25" x14ac:dyDescent="0.2">
      <c r="A4559" s="2">
        <v>3402</v>
      </c>
      <c r="B4559" s="2" t="s">
        <v>8677</v>
      </c>
      <c r="C4559" s="2" t="s">
        <v>13</v>
      </c>
      <c r="D4559" s="2" t="s">
        <v>2607</v>
      </c>
      <c r="E4559" s="2" t="s">
        <v>8678</v>
      </c>
      <c r="F4559" s="2" t="s">
        <v>78</v>
      </c>
      <c r="G4559" s="2" t="s">
        <v>62</v>
      </c>
      <c r="H4559" s="2"/>
      <c r="I4559" s="2"/>
      <c r="J4559" s="2"/>
      <c r="K4559" s="2"/>
      <c r="L4559" s="2"/>
      <c r="M4559" s="2"/>
      <c r="N4559" s="2"/>
      <c r="O4559" s="2"/>
      <c r="P4559" s="2"/>
      <c r="Q4559" s="2"/>
      <c r="R4559" s="2"/>
      <c r="S4559" s="2"/>
      <c r="T4559" s="2"/>
      <c r="U4559" s="2"/>
      <c r="V4559" s="2"/>
      <c r="W4559" s="2"/>
      <c r="X4559" s="2"/>
      <c r="Y4559" s="2"/>
    </row>
    <row r="4560" spans="1:25" x14ac:dyDescent="0.2">
      <c r="A4560">
        <v>3403</v>
      </c>
      <c r="B4560" t="s">
        <v>8677</v>
      </c>
      <c r="C4560" t="s">
        <v>18</v>
      </c>
      <c r="D4560" t="s">
        <v>2607</v>
      </c>
      <c r="E4560" t="s">
        <v>2608</v>
      </c>
      <c r="F4560" t="s">
        <v>78</v>
      </c>
      <c r="G4560" t="s">
        <v>62</v>
      </c>
      <c r="I4560" t="b">
        <v>1</v>
      </c>
      <c r="J4560" t="b">
        <v>1</v>
      </c>
      <c r="L4560" t="b">
        <v>1</v>
      </c>
      <c r="M4560" t="str">
        <f>HYPERLINK("https://arizona.app.box.com/file/389256647401")</f>
        <v>https://arizona.app.box.com/file/389256647401</v>
      </c>
      <c r="N4560" t="str">
        <f>HYPERLINK("https://arizona.app.box.com/file/389162626517")</f>
        <v>https://arizona.app.box.com/file/389162626517</v>
      </c>
    </row>
    <row r="4561" spans="1:25" x14ac:dyDescent="0.2">
      <c r="A4561">
        <v>3404</v>
      </c>
      <c r="B4561" t="s">
        <v>8677</v>
      </c>
      <c r="C4561" t="s">
        <v>18</v>
      </c>
      <c r="D4561" t="s">
        <v>2604</v>
      </c>
      <c r="E4561" t="s">
        <v>2605</v>
      </c>
      <c r="F4561" t="s">
        <v>78</v>
      </c>
      <c r="G4561" t="s">
        <v>88</v>
      </c>
      <c r="I4561" t="b">
        <v>1</v>
      </c>
      <c r="J4561" t="b">
        <v>0</v>
      </c>
      <c r="L4561" t="b">
        <v>0</v>
      </c>
      <c r="M4561" t="str">
        <f>HYPERLINK("https://arizona.app.box.com/file/389172393202")</f>
        <v>https://arizona.app.box.com/file/389172393202</v>
      </c>
    </row>
    <row r="4562" spans="1:25" x14ac:dyDescent="0.2">
      <c r="A4562">
        <v>3405</v>
      </c>
      <c r="B4562" t="s">
        <v>8677</v>
      </c>
      <c r="C4562" t="s">
        <v>18</v>
      </c>
      <c r="D4562" t="s">
        <v>2598</v>
      </c>
      <c r="E4562" t="s">
        <v>2600</v>
      </c>
      <c r="F4562" t="s">
        <v>78</v>
      </c>
      <c r="G4562" t="s">
        <v>879</v>
      </c>
      <c r="I4562" t="b">
        <v>0</v>
      </c>
      <c r="J4562" t="b">
        <v>0</v>
      </c>
      <c r="L4562" t="b">
        <v>0</v>
      </c>
      <c r="M4562" t="str">
        <f>HYPERLINK("https://arizona.app.box.com/file/389264475716")</f>
        <v>https://arizona.app.box.com/file/389264475716</v>
      </c>
      <c r="N4562" t="str">
        <f>HYPERLINK("https://arizona.app.box.com/file/389172064631")</f>
        <v>https://arizona.app.box.com/file/389172064631</v>
      </c>
      <c r="O4562" t="str">
        <f>HYPERLINK("https://arizona.app.box.com/file/389174337022")</f>
        <v>https://arizona.app.box.com/file/389174337022</v>
      </c>
    </row>
    <row r="4563" spans="1:25" x14ac:dyDescent="0.2">
      <c r="A4563">
        <v>3406</v>
      </c>
      <c r="B4563" t="s">
        <v>8677</v>
      </c>
      <c r="C4563" t="s">
        <v>18</v>
      </c>
      <c r="D4563" t="s">
        <v>2611</v>
      </c>
      <c r="E4563" t="s">
        <v>2612</v>
      </c>
      <c r="F4563" t="s">
        <v>78</v>
      </c>
      <c r="G4563" t="s">
        <v>417</v>
      </c>
      <c r="I4563" t="b">
        <v>0</v>
      </c>
      <c r="J4563" t="b">
        <v>0</v>
      </c>
      <c r="L4563" t="b">
        <v>0</v>
      </c>
      <c r="M4563" t="str">
        <f>HYPERLINK("https://arizona.app.box.com/file/389266994737")</f>
        <v>https://arizona.app.box.com/file/389266994737</v>
      </c>
      <c r="N4563" t="str">
        <f>HYPERLINK("https://arizona.app.box.com/file/389164035750")</f>
        <v>https://arizona.app.box.com/file/389164035750</v>
      </c>
      <c r="O4563" t="str">
        <f>HYPERLINK("https://arizona.app.box.com/file/389264555940")</f>
        <v>https://arizona.app.box.com/file/389264555940</v>
      </c>
      <c r="P4563" t="str">
        <f>HYPERLINK("https://arizona.app.box.com/file/389138093165")</f>
        <v>https://arizona.app.box.com/file/389138093165</v>
      </c>
    </row>
    <row r="4564" spans="1:25" x14ac:dyDescent="0.2">
      <c r="A4564">
        <v>3407</v>
      </c>
      <c r="B4564" t="s">
        <v>8677</v>
      </c>
      <c r="C4564" t="s">
        <v>18</v>
      </c>
      <c r="D4564" t="s">
        <v>8679</v>
      </c>
      <c r="E4564" t="s">
        <v>8680</v>
      </c>
      <c r="F4564" t="s">
        <v>78</v>
      </c>
      <c r="G4564" t="s">
        <v>62</v>
      </c>
      <c r="I4564" t="b">
        <v>1</v>
      </c>
      <c r="J4564" t="b">
        <v>1</v>
      </c>
      <c r="L4564" t="b">
        <v>1</v>
      </c>
      <c r="M4564" t="str">
        <f>HYPERLINK("https://arizona.app.box.com/file/386242405660")</f>
        <v>https://arizona.app.box.com/file/386242405660</v>
      </c>
    </row>
    <row r="4566" spans="1:25" x14ac:dyDescent="0.2">
      <c r="A4566" s="2">
        <v>6447</v>
      </c>
      <c r="B4566" s="2" t="s">
        <v>8681</v>
      </c>
      <c r="C4566" s="2" t="s">
        <v>13</v>
      </c>
      <c r="D4566" s="2" t="s">
        <v>8682</v>
      </c>
      <c r="E4566" s="2" t="s">
        <v>8683</v>
      </c>
      <c r="F4566" s="2" t="s">
        <v>561</v>
      </c>
      <c r="G4566" s="2" t="s">
        <v>193</v>
      </c>
      <c r="H4566" s="2"/>
      <c r="I4566" s="2"/>
      <c r="J4566" s="2"/>
      <c r="K4566" s="2"/>
      <c r="L4566" s="2"/>
      <c r="M4566" s="2"/>
      <c r="N4566" s="2"/>
      <c r="O4566" s="2"/>
      <c r="P4566" s="2"/>
      <c r="Q4566" s="2"/>
      <c r="R4566" s="2"/>
      <c r="S4566" s="2"/>
      <c r="T4566" s="2"/>
      <c r="U4566" s="2"/>
      <c r="V4566" s="2"/>
      <c r="W4566" s="2"/>
      <c r="X4566" s="2"/>
      <c r="Y4566" s="2"/>
    </row>
    <row r="4567" spans="1:25" x14ac:dyDescent="0.2">
      <c r="A4567">
        <v>6448</v>
      </c>
      <c r="B4567" t="s">
        <v>8681</v>
      </c>
      <c r="C4567" t="s">
        <v>18</v>
      </c>
      <c r="D4567" t="s">
        <v>8682</v>
      </c>
      <c r="E4567" t="s">
        <v>8684</v>
      </c>
      <c r="F4567" t="s">
        <v>561</v>
      </c>
      <c r="G4567" t="s">
        <v>193</v>
      </c>
      <c r="I4567" t="b">
        <v>1</v>
      </c>
      <c r="J4567" t="b">
        <v>1</v>
      </c>
      <c r="L4567" t="b">
        <v>1</v>
      </c>
      <c r="M4567" t="str">
        <f>HYPERLINK("https://arizona.app.box.com/file/389170726129")</f>
        <v>https://arizona.app.box.com/file/389170726129</v>
      </c>
      <c r="N4567" t="str">
        <f>HYPERLINK("https://arizona.app.box.com/file/386231009087")</f>
        <v>https://arizona.app.box.com/file/386231009087</v>
      </c>
      <c r="O4567" t="str">
        <f>HYPERLINK("https://arizona.app.box.com/file/389172956956")</f>
        <v>https://arizona.app.box.com/file/389172956956</v>
      </c>
      <c r="P4567" t="str">
        <f>HYPERLINK("https://arizona.app.box.com/file/386238861594")</f>
        <v>https://arizona.app.box.com/file/386238861594</v>
      </c>
    </row>
    <row r="4568" spans="1:25" x14ac:dyDescent="0.2">
      <c r="A4568">
        <v>6449</v>
      </c>
      <c r="B4568" t="s">
        <v>8681</v>
      </c>
      <c r="C4568" t="s">
        <v>18</v>
      </c>
      <c r="D4568" t="s">
        <v>8685</v>
      </c>
      <c r="E4568" t="s">
        <v>7941</v>
      </c>
      <c r="F4568" t="s">
        <v>574</v>
      </c>
      <c r="G4568" t="s">
        <v>193</v>
      </c>
      <c r="I4568" t="b">
        <v>0</v>
      </c>
      <c r="J4568" t="b">
        <v>0</v>
      </c>
      <c r="L4568" t="b">
        <v>0</v>
      </c>
      <c r="M4568" t="str">
        <f>HYPERLINK("https://arizona.app.box.com/file/389171754357")</f>
        <v>https://arizona.app.box.com/file/389171754357</v>
      </c>
      <c r="N4568" t="str">
        <f>HYPERLINK("https://arizona.app.box.com/file/386234628208")</f>
        <v>https://arizona.app.box.com/file/386234628208</v>
      </c>
    </row>
    <row r="4569" spans="1:25" x14ac:dyDescent="0.2">
      <c r="A4569">
        <v>6450</v>
      </c>
      <c r="B4569" t="s">
        <v>8681</v>
      </c>
      <c r="C4569" t="s">
        <v>18</v>
      </c>
      <c r="D4569" t="s">
        <v>8686</v>
      </c>
      <c r="E4569" t="s">
        <v>8687</v>
      </c>
      <c r="F4569" t="s">
        <v>574</v>
      </c>
      <c r="G4569" t="s">
        <v>193</v>
      </c>
      <c r="I4569" t="b">
        <v>0</v>
      </c>
      <c r="J4569" t="b">
        <v>0</v>
      </c>
      <c r="L4569" t="b">
        <v>0</v>
      </c>
      <c r="M4569" t="str">
        <f>HYPERLINK("https://arizona.app.box.com/file/389165417841")</f>
        <v>https://arizona.app.box.com/file/389165417841</v>
      </c>
      <c r="N4569" t="str">
        <f>HYPERLINK("https://arizona.app.box.com/file/386235683768")</f>
        <v>https://arizona.app.box.com/file/386235683768</v>
      </c>
    </row>
    <row r="4570" spans="1:25" x14ac:dyDescent="0.2">
      <c r="A4570">
        <v>6451</v>
      </c>
      <c r="B4570" t="s">
        <v>8681</v>
      </c>
      <c r="C4570" t="s">
        <v>18</v>
      </c>
      <c r="D4570" t="s">
        <v>8688</v>
      </c>
      <c r="E4570" t="s">
        <v>8689</v>
      </c>
      <c r="F4570" t="s">
        <v>574</v>
      </c>
      <c r="G4570" t="s">
        <v>193</v>
      </c>
      <c r="I4570" t="b">
        <v>0</v>
      </c>
      <c r="J4570" t="b">
        <v>0</v>
      </c>
      <c r="L4570" t="b">
        <v>0</v>
      </c>
      <c r="M4570" t="str">
        <f>HYPERLINK("https://arizona.app.box.com/file/389170047213")</f>
        <v>https://arizona.app.box.com/file/389170047213</v>
      </c>
      <c r="N4570" t="str">
        <f>HYPERLINK("https://arizona.app.box.com/file/386213342269")</f>
        <v>https://arizona.app.box.com/file/386213342269</v>
      </c>
      <c r="O4570" t="str">
        <f>HYPERLINK("https://arizona.app.box.com/file/389172255887")</f>
        <v>https://arizona.app.box.com/file/389172255887</v>
      </c>
      <c r="P4570" t="str">
        <f>HYPERLINK("https://arizona.app.box.com/file/386243005832")</f>
        <v>https://arizona.app.box.com/file/386243005832</v>
      </c>
    </row>
    <row r="4571" spans="1:25" x14ac:dyDescent="0.2">
      <c r="A4571">
        <v>6452</v>
      </c>
      <c r="B4571" t="s">
        <v>8681</v>
      </c>
      <c r="C4571" t="s">
        <v>18</v>
      </c>
      <c r="D4571" t="s">
        <v>5805</v>
      </c>
      <c r="E4571" t="s">
        <v>5806</v>
      </c>
      <c r="F4571" t="s">
        <v>670</v>
      </c>
      <c r="G4571" t="s">
        <v>17</v>
      </c>
      <c r="I4571" t="b">
        <v>0</v>
      </c>
      <c r="J4571" t="b">
        <v>0</v>
      </c>
      <c r="L4571" t="b">
        <v>0</v>
      </c>
      <c r="M4571" t="str">
        <f>HYPERLINK("https://arizona.app.box.com/file/389178153893")</f>
        <v>https://arizona.app.box.com/file/389178153893</v>
      </c>
    </row>
    <row r="4573" spans="1:25" x14ac:dyDescent="0.2">
      <c r="A4573" s="2">
        <v>2730</v>
      </c>
      <c r="B4573" s="2" t="s">
        <v>8690</v>
      </c>
      <c r="C4573" s="2" t="s">
        <v>13</v>
      </c>
      <c r="D4573" s="2" t="s">
        <v>8691</v>
      </c>
      <c r="E4573" s="2" t="s">
        <v>8692</v>
      </c>
      <c r="F4573" s="2" t="s">
        <v>654</v>
      </c>
      <c r="G4573" s="2" t="s">
        <v>265</v>
      </c>
      <c r="H4573" s="2"/>
      <c r="I4573" s="2"/>
      <c r="J4573" s="2"/>
      <c r="K4573" s="2"/>
      <c r="L4573" s="2"/>
      <c r="M4573" s="2"/>
      <c r="N4573" s="2"/>
      <c r="O4573" s="2"/>
      <c r="P4573" s="2"/>
      <c r="Q4573" s="2"/>
      <c r="R4573" s="2"/>
      <c r="S4573" s="2"/>
      <c r="T4573" s="2"/>
      <c r="U4573" s="2"/>
      <c r="V4573" s="2"/>
      <c r="W4573" s="2"/>
      <c r="X4573" s="2"/>
      <c r="Y4573" s="2"/>
    </row>
    <row r="4574" spans="1:25" x14ac:dyDescent="0.2">
      <c r="A4574">
        <v>2731</v>
      </c>
      <c r="B4574" t="s">
        <v>8690</v>
      </c>
      <c r="C4574" t="s">
        <v>18</v>
      </c>
      <c r="D4574" t="s">
        <v>8691</v>
      </c>
      <c r="E4574" t="s">
        <v>8693</v>
      </c>
      <c r="F4574" t="s">
        <v>654</v>
      </c>
      <c r="G4574" t="s">
        <v>265</v>
      </c>
      <c r="I4574" t="b">
        <v>1</v>
      </c>
      <c r="J4574" t="b">
        <v>1</v>
      </c>
      <c r="L4574" t="b">
        <v>1</v>
      </c>
      <c r="M4574" t="str">
        <f>HYPERLINK("https://arizona.app.box.com/file/386246060930")</f>
        <v>https://arizona.app.box.com/file/386246060930</v>
      </c>
      <c r="N4574" t="str">
        <f>HYPERLINK("https://arizona.app.box.com/file/386216819345")</f>
        <v>https://arizona.app.box.com/file/386216819345</v>
      </c>
    </row>
    <row r="4575" spans="1:25" x14ac:dyDescent="0.2">
      <c r="A4575">
        <v>2732</v>
      </c>
      <c r="B4575" t="s">
        <v>8690</v>
      </c>
      <c r="C4575" t="s">
        <v>18</v>
      </c>
      <c r="D4575" t="s">
        <v>8694</v>
      </c>
      <c r="E4575" t="s">
        <v>8695</v>
      </c>
      <c r="F4575" t="s">
        <v>596</v>
      </c>
      <c r="G4575" t="s">
        <v>265</v>
      </c>
      <c r="I4575" t="b">
        <v>0</v>
      </c>
      <c r="J4575" t="b">
        <v>0</v>
      </c>
      <c r="L4575" t="b">
        <v>0</v>
      </c>
    </row>
    <row r="4576" spans="1:25" x14ac:dyDescent="0.2">
      <c r="A4576">
        <v>2733</v>
      </c>
      <c r="B4576" t="s">
        <v>8690</v>
      </c>
      <c r="C4576" t="s">
        <v>18</v>
      </c>
      <c r="D4576" t="s">
        <v>8696</v>
      </c>
      <c r="E4576" t="s">
        <v>8697</v>
      </c>
      <c r="F4576" t="s">
        <v>23</v>
      </c>
      <c r="G4576" t="s">
        <v>265</v>
      </c>
      <c r="I4576" t="b">
        <v>0</v>
      </c>
      <c r="J4576" t="b">
        <v>0</v>
      </c>
      <c r="L4576" t="b">
        <v>0</v>
      </c>
    </row>
    <row r="4577" spans="1:25" x14ac:dyDescent="0.2">
      <c r="A4577">
        <v>2734</v>
      </c>
      <c r="B4577" t="s">
        <v>8690</v>
      </c>
      <c r="C4577" t="s">
        <v>18</v>
      </c>
      <c r="D4577" t="s">
        <v>8698</v>
      </c>
      <c r="E4577" t="s">
        <v>8699</v>
      </c>
      <c r="F4577" t="s">
        <v>451</v>
      </c>
      <c r="G4577" t="s">
        <v>265</v>
      </c>
      <c r="I4577" t="b">
        <v>0</v>
      </c>
      <c r="J4577" t="b">
        <v>0</v>
      </c>
      <c r="L4577" t="b">
        <v>0</v>
      </c>
      <c r="M4577" t="str">
        <f>HYPERLINK("https://arizona.app.box.com/file/386239787808")</f>
        <v>https://arizona.app.box.com/file/386239787808</v>
      </c>
    </row>
    <row r="4578" spans="1:25" x14ac:dyDescent="0.2">
      <c r="A4578">
        <v>2735</v>
      </c>
      <c r="B4578" t="s">
        <v>8690</v>
      </c>
      <c r="C4578" t="s">
        <v>18</v>
      </c>
      <c r="D4578" t="s">
        <v>8700</v>
      </c>
      <c r="E4578" t="s">
        <v>8701</v>
      </c>
      <c r="F4578" t="s">
        <v>451</v>
      </c>
      <c r="G4578" t="s">
        <v>265</v>
      </c>
      <c r="I4578" t="b">
        <v>0</v>
      </c>
      <c r="J4578" t="b">
        <v>0</v>
      </c>
      <c r="L4578" t="b">
        <v>0</v>
      </c>
      <c r="M4578" t="str">
        <f>HYPERLINK("https://arizona.app.box.com/file/386241866474")</f>
        <v>https://arizona.app.box.com/file/386241866474</v>
      </c>
    </row>
    <row r="4580" spans="1:25" x14ac:dyDescent="0.2">
      <c r="A4580" s="2">
        <v>7217</v>
      </c>
      <c r="B4580" s="2" t="s">
        <v>8702</v>
      </c>
      <c r="C4580" s="2" t="s">
        <v>13</v>
      </c>
      <c r="D4580" s="2" t="s">
        <v>8703</v>
      </c>
      <c r="E4580" s="2" t="s">
        <v>8704</v>
      </c>
      <c r="F4580" s="2" t="s">
        <v>200</v>
      </c>
      <c r="G4580" s="2" t="s">
        <v>345</v>
      </c>
      <c r="H4580" s="2"/>
      <c r="I4580" s="2"/>
      <c r="J4580" s="2"/>
      <c r="K4580" s="2"/>
      <c r="L4580" s="2"/>
      <c r="M4580" s="2"/>
      <c r="N4580" s="2"/>
      <c r="O4580" s="2"/>
      <c r="P4580" s="2"/>
      <c r="Q4580" s="2"/>
      <c r="R4580" s="2"/>
      <c r="S4580" s="2"/>
      <c r="T4580" s="2"/>
      <c r="U4580" s="2"/>
      <c r="V4580" s="2"/>
      <c r="W4580" s="2"/>
      <c r="X4580" s="2"/>
      <c r="Y4580" s="2"/>
    </row>
    <row r="4581" spans="1:25" x14ac:dyDescent="0.2">
      <c r="A4581">
        <v>7218</v>
      </c>
      <c r="B4581" t="s">
        <v>8702</v>
      </c>
      <c r="C4581" t="s">
        <v>18</v>
      </c>
      <c r="D4581" t="s">
        <v>8703</v>
      </c>
      <c r="E4581" t="s">
        <v>7706</v>
      </c>
      <c r="F4581" t="s">
        <v>200</v>
      </c>
      <c r="G4581" t="s">
        <v>345</v>
      </c>
      <c r="I4581" t="b">
        <v>1</v>
      </c>
      <c r="J4581" t="b">
        <v>1</v>
      </c>
      <c r="L4581" t="b">
        <v>1</v>
      </c>
      <c r="M4581" t="str">
        <f>HYPERLINK("https://arizona.app.box.com/file/389264433878")</f>
        <v>https://arizona.app.box.com/file/389264433878</v>
      </c>
      <c r="N4581" t="str">
        <f>HYPERLINK("https://arizona.app.box.com/file/389164959856")</f>
        <v>https://arizona.app.box.com/file/389164959856</v>
      </c>
    </row>
    <row r="4582" spans="1:25" x14ac:dyDescent="0.2">
      <c r="A4582">
        <v>7219</v>
      </c>
      <c r="B4582" t="s">
        <v>8702</v>
      </c>
      <c r="C4582" t="s">
        <v>18</v>
      </c>
      <c r="D4582" t="s">
        <v>8705</v>
      </c>
      <c r="E4582" t="s">
        <v>3816</v>
      </c>
      <c r="F4582" t="s">
        <v>205</v>
      </c>
      <c r="G4582" t="s">
        <v>345</v>
      </c>
      <c r="I4582" t="b">
        <v>1</v>
      </c>
      <c r="J4582" t="b">
        <v>1</v>
      </c>
      <c r="L4582" t="b">
        <v>1</v>
      </c>
      <c r="M4582" t="str">
        <f>HYPERLINK("https://arizona.app.box.com/file/389260500944")</f>
        <v>https://arizona.app.box.com/file/389260500944</v>
      </c>
      <c r="N4582" t="str">
        <f>HYPERLINK("https://arizona.app.box.com/file/389166343888")</f>
        <v>https://arizona.app.box.com/file/389166343888</v>
      </c>
    </row>
    <row r="4583" spans="1:25" x14ac:dyDescent="0.2">
      <c r="A4583">
        <v>7220</v>
      </c>
      <c r="B4583" t="s">
        <v>8702</v>
      </c>
      <c r="C4583" t="s">
        <v>18</v>
      </c>
      <c r="D4583" t="s">
        <v>2133</v>
      </c>
      <c r="E4583" t="s">
        <v>701</v>
      </c>
      <c r="F4583" t="s">
        <v>1010</v>
      </c>
      <c r="G4583" t="s">
        <v>345</v>
      </c>
      <c r="I4583" t="b">
        <v>0</v>
      </c>
      <c r="J4583" t="b">
        <v>0</v>
      </c>
      <c r="L4583" t="b">
        <v>0</v>
      </c>
      <c r="M4583" t="str">
        <f>HYPERLINK("https://arizona.app.box.com/file/389263370155")</f>
        <v>https://arizona.app.box.com/file/389263370155</v>
      </c>
      <c r="N4583" t="str">
        <f>HYPERLINK("https://arizona.app.box.com/file/389161143061")</f>
        <v>https://arizona.app.box.com/file/389161143061</v>
      </c>
    </row>
    <row r="4584" spans="1:25" x14ac:dyDescent="0.2">
      <c r="A4584">
        <v>7221</v>
      </c>
      <c r="B4584" t="s">
        <v>8702</v>
      </c>
      <c r="C4584" t="s">
        <v>18</v>
      </c>
      <c r="D4584" t="s">
        <v>8706</v>
      </c>
      <c r="E4584" t="s">
        <v>8707</v>
      </c>
      <c r="F4584" t="s">
        <v>144</v>
      </c>
      <c r="G4584" t="s">
        <v>345</v>
      </c>
      <c r="I4584" t="b">
        <v>0</v>
      </c>
      <c r="J4584" t="b">
        <v>0</v>
      </c>
      <c r="L4584" t="b">
        <v>0</v>
      </c>
      <c r="M4584" t="str">
        <f>HYPERLINK("https://arizona.app.box.com/file/386239816235")</f>
        <v>https://arizona.app.box.com/file/386239816235</v>
      </c>
      <c r="N4584" t="str">
        <f>HYPERLINK("https://arizona.app.box.com/file/386238487503")</f>
        <v>https://arizona.app.box.com/file/386238487503</v>
      </c>
    </row>
    <row r="4585" spans="1:25" x14ac:dyDescent="0.2">
      <c r="A4585">
        <v>7222</v>
      </c>
      <c r="B4585" t="s">
        <v>8702</v>
      </c>
      <c r="C4585" t="s">
        <v>18</v>
      </c>
      <c r="D4585" t="s">
        <v>8708</v>
      </c>
      <c r="E4585" t="s">
        <v>8709</v>
      </c>
      <c r="F4585" t="s">
        <v>23</v>
      </c>
      <c r="G4585" t="s">
        <v>345</v>
      </c>
      <c r="I4585" t="b">
        <v>0</v>
      </c>
      <c r="J4585" t="b">
        <v>0</v>
      </c>
      <c r="L4585" t="b">
        <v>0</v>
      </c>
    </row>
    <row r="4587" spans="1:25" x14ac:dyDescent="0.2">
      <c r="A4587" s="2">
        <v>2947</v>
      </c>
      <c r="B4587" s="2" t="s">
        <v>8710</v>
      </c>
      <c r="C4587" s="2" t="s">
        <v>13</v>
      </c>
      <c r="D4587" s="2" t="s">
        <v>8711</v>
      </c>
      <c r="E4587" s="2" t="s">
        <v>8712</v>
      </c>
      <c r="F4587" s="2" t="s">
        <v>1077</v>
      </c>
      <c r="G4587" s="2" t="s">
        <v>134</v>
      </c>
      <c r="H4587" s="2"/>
      <c r="I4587" s="2"/>
      <c r="J4587" s="2"/>
      <c r="K4587" s="2"/>
      <c r="L4587" s="2"/>
      <c r="M4587" s="2"/>
      <c r="N4587" s="2"/>
      <c r="O4587" s="2"/>
      <c r="P4587" s="2"/>
      <c r="Q4587" s="2"/>
      <c r="R4587" s="2"/>
      <c r="S4587" s="2"/>
      <c r="T4587" s="2"/>
      <c r="U4587" s="2"/>
      <c r="V4587" s="2"/>
      <c r="W4587" s="2"/>
      <c r="X4587" s="2"/>
      <c r="Y4587" s="2"/>
    </row>
    <row r="4588" spans="1:25" x14ac:dyDescent="0.2">
      <c r="A4588">
        <v>2948</v>
      </c>
      <c r="B4588" t="s">
        <v>8710</v>
      </c>
      <c r="C4588" t="s">
        <v>18</v>
      </c>
      <c r="D4588" t="s">
        <v>8713</v>
      </c>
      <c r="E4588" t="s">
        <v>2049</v>
      </c>
      <c r="F4588" t="s">
        <v>1077</v>
      </c>
      <c r="G4588" t="s">
        <v>134</v>
      </c>
      <c r="I4588" t="b">
        <v>1</v>
      </c>
      <c r="J4588" t="b">
        <v>1</v>
      </c>
      <c r="L4588" t="b">
        <v>1</v>
      </c>
      <c r="M4588" t="str">
        <f>HYPERLINK("https://arizona.app.box.com/file/389262870309")</f>
        <v>https://arizona.app.box.com/file/389262870309</v>
      </c>
      <c r="N4588" t="str">
        <f>HYPERLINK("https://arizona.app.box.com/file/389166074956")</f>
        <v>https://arizona.app.box.com/file/389166074956</v>
      </c>
    </row>
    <row r="4589" spans="1:25" x14ac:dyDescent="0.2">
      <c r="A4589">
        <v>2949</v>
      </c>
      <c r="B4589" t="s">
        <v>8710</v>
      </c>
      <c r="C4589" t="s">
        <v>18</v>
      </c>
      <c r="D4589" t="s">
        <v>8714</v>
      </c>
      <c r="E4589" t="s">
        <v>3000</v>
      </c>
      <c r="F4589" t="s">
        <v>1077</v>
      </c>
      <c r="G4589" t="s">
        <v>134</v>
      </c>
      <c r="I4589" t="b">
        <v>1</v>
      </c>
      <c r="J4589" t="b">
        <v>1</v>
      </c>
      <c r="L4589" t="b">
        <v>1</v>
      </c>
      <c r="M4589" t="str">
        <f>HYPERLINK("https://arizona.app.box.com/file/389159840566")</f>
        <v>https://arizona.app.box.com/file/389159840566</v>
      </c>
    </row>
    <row r="4590" spans="1:25" x14ac:dyDescent="0.2">
      <c r="A4590">
        <v>2950</v>
      </c>
      <c r="B4590" t="s">
        <v>8710</v>
      </c>
      <c r="C4590" t="s">
        <v>18</v>
      </c>
      <c r="D4590" t="s">
        <v>3863</v>
      </c>
      <c r="E4590" t="s">
        <v>3800</v>
      </c>
      <c r="F4590" t="s">
        <v>785</v>
      </c>
      <c r="G4590" t="s">
        <v>134</v>
      </c>
      <c r="I4590" t="b">
        <v>0</v>
      </c>
      <c r="J4590" t="b">
        <v>0</v>
      </c>
      <c r="L4590" t="b">
        <v>0</v>
      </c>
      <c r="M4590" t="str">
        <f>HYPERLINK("https://arizona.app.box.com/file/389267414834")</f>
        <v>https://arizona.app.box.com/file/389267414834</v>
      </c>
      <c r="N4590" t="str">
        <f>HYPERLINK("https://arizona.app.box.com/file/389155905868")</f>
        <v>https://arizona.app.box.com/file/389155905868</v>
      </c>
    </row>
    <row r="4591" spans="1:25" x14ac:dyDescent="0.2">
      <c r="A4591">
        <v>2951</v>
      </c>
      <c r="B4591" t="s">
        <v>8710</v>
      </c>
      <c r="C4591" t="s">
        <v>18</v>
      </c>
      <c r="D4591" t="s">
        <v>8641</v>
      </c>
      <c r="E4591" t="s">
        <v>3656</v>
      </c>
      <c r="F4591" t="s">
        <v>260</v>
      </c>
      <c r="G4591" t="s">
        <v>134</v>
      </c>
      <c r="I4591" t="b">
        <v>0</v>
      </c>
      <c r="J4591" t="b">
        <v>0</v>
      </c>
      <c r="L4591" t="b">
        <v>0</v>
      </c>
      <c r="M4591" t="str">
        <f>HYPERLINK("https://arizona.app.box.com/file/389263415047")</f>
        <v>https://arizona.app.box.com/file/389263415047</v>
      </c>
    </row>
    <row r="4592" spans="1:25" x14ac:dyDescent="0.2">
      <c r="A4592">
        <v>2952</v>
      </c>
      <c r="B4592" t="s">
        <v>8710</v>
      </c>
      <c r="C4592" t="s">
        <v>18</v>
      </c>
      <c r="D4592" t="s">
        <v>8715</v>
      </c>
      <c r="E4592" t="s">
        <v>5552</v>
      </c>
      <c r="F4592" t="s">
        <v>2388</v>
      </c>
      <c r="G4592" t="s">
        <v>134</v>
      </c>
      <c r="I4592" t="b">
        <v>0</v>
      </c>
      <c r="J4592" t="b">
        <v>0</v>
      </c>
      <c r="L4592" t="b">
        <v>0</v>
      </c>
      <c r="M4592" t="str">
        <f>HYPERLINK("https://arizona.app.box.com/file/389170579129")</f>
        <v>https://arizona.app.box.com/file/389170579129</v>
      </c>
      <c r="N4592" t="str">
        <f>HYPERLINK("https://arizona.app.box.com/file/386235192134")</f>
        <v>https://arizona.app.box.com/file/386235192134</v>
      </c>
    </row>
    <row r="4594" spans="1:25" x14ac:dyDescent="0.2">
      <c r="A4594" s="2">
        <v>6524</v>
      </c>
      <c r="B4594" s="2" t="s">
        <v>8716</v>
      </c>
      <c r="C4594" s="2" t="s">
        <v>13</v>
      </c>
      <c r="D4594" s="2" t="s">
        <v>3084</v>
      </c>
      <c r="E4594" s="2" t="s">
        <v>8717</v>
      </c>
      <c r="F4594" s="2" t="s">
        <v>151</v>
      </c>
      <c r="G4594" s="2" t="s">
        <v>24</v>
      </c>
      <c r="H4594" s="2"/>
      <c r="I4594" s="2"/>
      <c r="J4594" s="2"/>
      <c r="K4594" s="2"/>
      <c r="L4594" s="2"/>
      <c r="M4594" s="2"/>
      <c r="N4594" s="2"/>
      <c r="O4594" s="2"/>
      <c r="P4594" s="2"/>
      <c r="Q4594" s="2"/>
      <c r="R4594" s="2"/>
      <c r="S4594" s="2"/>
      <c r="T4594" s="2"/>
      <c r="U4594" s="2"/>
      <c r="V4594" s="2"/>
      <c r="W4594" s="2"/>
      <c r="X4594" s="2"/>
      <c r="Y4594" s="2"/>
    </row>
    <row r="4595" spans="1:25" x14ac:dyDescent="0.2">
      <c r="A4595">
        <v>6525</v>
      </c>
      <c r="B4595" t="s">
        <v>8716</v>
      </c>
      <c r="C4595" t="s">
        <v>18</v>
      </c>
      <c r="D4595" t="s">
        <v>3084</v>
      </c>
      <c r="E4595" t="s">
        <v>3085</v>
      </c>
      <c r="F4595" t="s">
        <v>151</v>
      </c>
      <c r="G4595" t="s">
        <v>24</v>
      </c>
      <c r="I4595" t="b">
        <v>1</v>
      </c>
      <c r="J4595" t="b">
        <v>1</v>
      </c>
      <c r="L4595" t="b">
        <v>1</v>
      </c>
      <c r="M4595" t="str">
        <f>HYPERLINK("https://arizona.app.box.com/file/386244678934")</f>
        <v>https://arizona.app.box.com/file/386244678934</v>
      </c>
    </row>
    <row r="4596" spans="1:25" x14ac:dyDescent="0.2">
      <c r="A4596">
        <v>6526</v>
      </c>
      <c r="B4596" t="s">
        <v>8716</v>
      </c>
      <c r="C4596" t="s">
        <v>18</v>
      </c>
      <c r="D4596" t="s">
        <v>3087</v>
      </c>
      <c r="E4596" t="s">
        <v>3088</v>
      </c>
      <c r="F4596" t="s">
        <v>151</v>
      </c>
      <c r="G4596" t="s">
        <v>24</v>
      </c>
      <c r="I4596" t="b">
        <v>1</v>
      </c>
      <c r="J4596" t="b">
        <v>1</v>
      </c>
      <c r="L4596" t="b">
        <v>1</v>
      </c>
      <c r="M4596" t="str">
        <f>HYPERLINK("https://arizona.app.box.com/file/386237823903")</f>
        <v>https://arizona.app.box.com/file/386237823903</v>
      </c>
    </row>
    <row r="4597" spans="1:25" x14ac:dyDescent="0.2">
      <c r="A4597">
        <v>6527</v>
      </c>
      <c r="B4597" t="s">
        <v>8716</v>
      </c>
      <c r="C4597" t="s">
        <v>18</v>
      </c>
      <c r="D4597" t="s">
        <v>3077</v>
      </c>
      <c r="E4597" t="s">
        <v>3078</v>
      </c>
      <c r="F4597" t="s">
        <v>151</v>
      </c>
      <c r="G4597" t="s">
        <v>24</v>
      </c>
      <c r="I4597" t="b">
        <v>0</v>
      </c>
      <c r="J4597" t="b">
        <v>0</v>
      </c>
      <c r="L4597" t="b">
        <v>0</v>
      </c>
      <c r="M4597" t="str">
        <f>HYPERLINK("https://arizona.app.box.com/file/386246396845")</f>
        <v>https://arizona.app.box.com/file/386246396845</v>
      </c>
    </row>
    <row r="4598" spans="1:25" x14ac:dyDescent="0.2">
      <c r="A4598">
        <v>6528</v>
      </c>
      <c r="B4598" t="s">
        <v>8716</v>
      </c>
      <c r="C4598" t="s">
        <v>18</v>
      </c>
      <c r="D4598" t="s">
        <v>3074</v>
      </c>
      <c r="E4598" t="s">
        <v>486</v>
      </c>
      <c r="F4598" t="s">
        <v>151</v>
      </c>
      <c r="G4598" t="s">
        <v>24</v>
      </c>
      <c r="I4598" t="b">
        <v>0</v>
      </c>
      <c r="J4598" t="b">
        <v>0</v>
      </c>
      <c r="L4598" t="b">
        <v>0</v>
      </c>
      <c r="M4598" t="str">
        <f>HYPERLINK("https://arizona.app.box.com/file/386214208293")</f>
        <v>https://arizona.app.box.com/file/386214208293</v>
      </c>
    </row>
    <row r="4599" spans="1:25" x14ac:dyDescent="0.2">
      <c r="A4599">
        <v>6529</v>
      </c>
      <c r="B4599" t="s">
        <v>8716</v>
      </c>
      <c r="C4599" t="s">
        <v>18</v>
      </c>
      <c r="D4599" t="s">
        <v>3131</v>
      </c>
      <c r="E4599" t="s">
        <v>3132</v>
      </c>
      <c r="F4599" t="s">
        <v>78</v>
      </c>
      <c r="G4599" t="s">
        <v>24</v>
      </c>
      <c r="I4599" t="b">
        <v>0</v>
      </c>
      <c r="J4599" t="b">
        <v>0</v>
      </c>
      <c r="L4599" t="b">
        <v>0</v>
      </c>
      <c r="M4599" t="str">
        <f>HYPERLINK("https://arizona.app.box.com/file/386238876998")</f>
        <v>https://arizona.app.box.com/file/386238876998</v>
      </c>
      <c r="N4599" t="str">
        <f>HYPERLINK("https://arizona.app.box.com/file/389179245044")</f>
        <v>https://arizona.app.box.com/file/389179245044</v>
      </c>
      <c r="O4599" t="str">
        <f>HYPERLINK("https://arizona.app.box.com/file/386213019406")</f>
        <v>https://arizona.app.box.com/file/386213019406</v>
      </c>
    </row>
    <row r="4601" spans="1:25" x14ac:dyDescent="0.2">
      <c r="A4601" s="2">
        <v>147</v>
      </c>
      <c r="B4601" s="2" t="s">
        <v>8718</v>
      </c>
      <c r="C4601" s="2" t="s">
        <v>13</v>
      </c>
      <c r="D4601" s="2" t="s">
        <v>2744</v>
      </c>
      <c r="E4601" s="2" t="s">
        <v>8719</v>
      </c>
      <c r="F4601" s="2" t="s">
        <v>2738</v>
      </c>
      <c r="G4601" s="2" t="s">
        <v>17</v>
      </c>
      <c r="H4601" s="2"/>
      <c r="I4601" s="2"/>
      <c r="J4601" s="2"/>
      <c r="K4601" s="2"/>
      <c r="L4601" s="2"/>
      <c r="M4601" s="2"/>
      <c r="N4601" s="2"/>
      <c r="O4601" s="2"/>
      <c r="P4601" s="2"/>
      <c r="Q4601" s="2"/>
      <c r="R4601" s="2"/>
      <c r="S4601" s="2"/>
      <c r="T4601" s="2"/>
      <c r="U4601" s="2"/>
      <c r="V4601" s="2"/>
      <c r="W4601" s="2"/>
      <c r="X4601" s="2"/>
      <c r="Y4601" s="2"/>
    </row>
    <row r="4602" spans="1:25" x14ac:dyDescent="0.2">
      <c r="A4602">
        <v>148</v>
      </c>
      <c r="B4602" t="s">
        <v>8718</v>
      </c>
      <c r="C4602" t="s">
        <v>18</v>
      </c>
      <c r="D4602" t="s">
        <v>2744</v>
      </c>
      <c r="E4602" t="s">
        <v>109</v>
      </c>
      <c r="F4602" t="s">
        <v>2738</v>
      </c>
      <c r="G4602" t="s">
        <v>17</v>
      </c>
      <c r="I4602" t="b">
        <v>1</v>
      </c>
      <c r="J4602" t="b">
        <v>1</v>
      </c>
      <c r="L4602" t="b">
        <v>1</v>
      </c>
      <c r="M4602" t="str">
        <f>HYPERLINK("https://arizona.app.box.com/file/389134049948")</f>
        <v>https://arizona.app.box.com/file/389134049948</v>
      </c>
    </row>
    <row r="4603" spans="1:25" x14ac:dyDescent="0.2">
      <c r="A4603">
        <v>149</v>
      </c>
      <c r="B4603" t="s">
        <v>8718</v>
      </c>
      <c r="C4603" t="s">
        <v>18</v>
      </c>
      <c r="D4603" t="s">
        <v>2746</v>
      </c>
      <c r="E4603" t="s">
        <v>2747</v>
      </c>
      <c r="F4603" t="s">
        <v>2738</v>
      </c>
      <c r="G4603" t="s">
        <v>17</v>
      </c>
      <c r="I4603" t="b">
        <v>1</v>
      </c>
      <c r="J4603" t="b">
        <v>1</v>
      </c>
      <c r="L4603" t="b">
        <v>1</v>
      </c>
      <c r="M4603" t="str">
        <f>HYPERLINK("https://arizona.app.box.com/file/389154988844")</f>
        <v>https://arizona.app.box.com/file/389154988844</v>
      </c>
    </row>
    <row r="4604" spans="1:25" x14ac:dyDescent="0.2">
      <c r="A4604">
        <v>150</v>
      </c>
      <c r="B4604" t="s">
        <v>8718</v>
      </c>
      <c r="C4604" t="s">
        <v>18</v>
      </c>
      <c r="D4604" t="s">
        <v>2749</v>
      </c>
      <c r="E4604" t="s">
        <v>2750</v>
      </c>
      <c r="F4604" t="s">
        <v>2738</v>
      </c>
      <c r="G4604" t="s">
        <v>17</v>
      </c>
      <c r="I4604" t="b">
        <v>0</v>
      </c>
      <c r="J4604" t="b">
        <v>0</v>
      </c>
      <c r="L4604" t="b">
        <v>0</v>
      </c>
      <c r="M4604" t="str">
        <f>HYPERLINK("https://arizona.app.box.com/file/389162593332")</f>
        <v>https://arizona.app.box.com/file/389162593332</v>
      </c>
      <c r="N4604" t="str">
        <f>HYPERLINK("https://arizona.app.box.com/file/389150443342")</f>
        <v>https://arizona.app.box.com/file/389150443342</v>
      </c>
    </row>
    <row r="4605" spans="1:25" x14ac:dyDescent="0.2">
      <c r="A4605">
        <v>151</v>
      </c>
      <c r="B4605" t="s">
        <v>8718</v>
      </c>
      <c r="C4605" t="s">
        <v>18</v>
      </c>
      <c r="D4605" t="s">
        <v>8720</v>
      </c>
      <c r="E4605" t="s">
        <v>8721</v>
      </c>
      <c r="F4605" t="s">
        <v>82</v>
      </c>
      <c r="G4605" t="s">
        <v>17</v>
      </c>
      <c r="I4605" t="b">
        <v>0</v>
      </c>
      <c r="J4605" t="b">
        <v>0</v>
      </c>
      <c r="L4605" t="b">
        <v>0</v>
      </c>
      <c r="M4605" t="str">
        <f>HYPERLINK("https://arizona.app.box.com/file/389151484307")</f>
        <v>https://arizona.app.box.com/file/389151484307</v>
      </c>
      <c r="N4605" t="str">
        <f>HYPERLINK("https://arizona.app.box.com/file/389159487981")</f>
        <v>https://arizona.app.box.com/file/389159487981</v>
      </c>
    </row>
    <row r="4606" spans="1:25" x14ac:dyDescent="0.2">
      <c r="A4606">
        <v>152</v>
      </c>
      <c r="B4606" t="s">
        <v>8718</v>
      </c>
      <c r="C4606" t="s">
        <v>18</v>
      </c>
      <c r="D4606" t="s">
        <v>2736</v>
      </c>
      <c r="E4606" t="s">
        <v>2608</v>
      </c>
      <c r="F4606" t="s">
        <v>2738</v>
      </c>
      <c r="G4606" t="s">
        <v>17</v>
      </c>
      <c r="I4606" t="b">
        <v>0</v>
      </c>
      <c r="J4606" t="b">
        <v>0</v>
      </c>
      <c r="L4606" t="b">
        <v>0</v>
      </c>
      <c r="M4606" t="str">
        <f>HYPERLINK("https://arizona.app.box.com/file/389267196642")</f>
        <v>https://arizona.app.box.com/file/389267196642</v>
      </c>
      <c r="N4606" t="str">
        <f>HYPERLINK("https://arizona.app.box.com/file/389165220256")</f>
        <v>https://arizona.app.box.com/file/389165220256</v>
      </c>
    </row>
    <row r="4608" spans="1:25" x14ac:dyDescent="0.2">
      <c r="A4608" s="2">
        <v>5222</v>
      </c>
      <c r="B4608" s="2" t="s">
        <v>8722</v>
      </c>
      <c r="C4608" s="2" t="s">
        <v>13</v>
      </c>
      <c r="D4608" s="2" t="s">
        <v>3345</v>
      </c>
      <c r="E4608" s="2" t="s">
        <v>3346</v>
      </c>
      <c r="F4608" s="2" t="s">
        <v>420</v>
      </c>
      <c r="G4608" s="2" t="s">
        <v>502</v>
      </c>
      <c r="H4608" s="2"/>
      <c r="I4608" s="2"/>
      <c r="J4608" s="2"/>
      <c r="K4608" s="2"/>
      <c r="L4608" s="2"/>
      <c r="M4608" s="2"/>
      <c r="N4608" s="2"/>
      <c r="O4608" s="2"/>
      <c r="P4608" s="2"/>
      <c r="Q4608" s="2"/>
      <c r="R4608" s="2"/>
      <c r="S4608" s="2"/>
      <c r="T4608" s="2"/>
      <c r="U4608" s="2"/>
      <c r="V4608" s="2"/>
      <c r="W4608" s="2"/>
      <c r="X4608" s="2"/>
      <c r="Y4608" s="2"/>
    </row>
    <row r="4609" spans="1:25" x14ac:dyDescent="0.2">
      <c r="A4609">
        <v>5223</v>
      </c>
      <c r="B4609" t="s">
        <v>8722</v>
      </c>
      <c r="C4609" t="s">
        <v>18</v>
      </c>
      <c r="D4609" t="s">
        <v>3345</v>
      </c>
      <c r="E4609" t="s">
        <v>3346</v>
      </c>
      <c r="F4609" t="s">
        <v>420</v>
      </c>
      <c r="G4609" t="s">
        <v>502</v>
      </c>
      <c r="I4609" t="b">
        <v>1</v>
      </c>
      <c r="J4609" t="b">
        <v>1</v>
      </c>
      <c r="L4609" t="b">
        <v>1</v>
      </c>
      <c r="M4609" t="str">
        <f>HYPERLINK("https://arizona.app.box.com/file/386228580910")</f>
        <v>https://arizona.app.box.com/file/386228580910</v>
      </c>
      <c r="N4609" t="str">
        <f>HYPERLINK("https://arizona.app.box.com/file/386228326594")</f>
        <v>https://arizona.app.box.com/file/386228326594</v>
      </c>
    </row>
    <row r="4610" spans="1:25" x14ac:dyDescent="0.2">
      <c r="A4610">
        <v>5224</v>
      </c>
      <c r="B4610" t="s">
        <v>8722</v>
      </c>
      <c r="C4610" t="s">
        <v>18</v>
      </c>
      <c r="D4610" t="s">
        <v>3349</v>
      </c>
      <c r="E4610" t="s">
        <v>3350</v>
      </c>
      <c r="F4610" t="s">
        <v>670</v>
      </c>
      <c r="G4610" t="s">
        <v>502</v>
      </c>
      <c r="I4610" t="b">
        <v>0</v>
      </c>
      <c r="J4610" t="b">
        <v>0</v>
      </c>
      <c r="L4610" t="b">
        <v>0</v>
      </c>
      <c r="M4610" t="str">
        <f>HYPERLINK("https://arizona.app.box.com/file/389173611875")</f>
        <v>https://arizona.app.box.com/file/389173611875</v>
      </c>
      <c r="N4610" t="str">
        <f>HYPERLINK("https://arizona.app.box.com/file/386237996099")</f>
        <v>https://arizona.app.box.com/file/386237996099</v>
      </c>
      <c r="O4610" t="str">
        <f>HYPERLINK("https://arizona.app.box.com/file/389171331902")</f>
        <v>https://arizona.app.box.com/file/389171331902</v>
      </c>
      <c r="P4610" t="str">
        <f>HYPERLINK("https://arizona.app.box.com/file/386241539805")</f>
        <v>https://arizona.app.box.com/file/386241539805</v>
      </c>
    </row>
    <row r="4611" spans="1:25" x14ac:dyDescent="0.2">
      <c r="A4611">
        <v>5225</v>
      </c>
      <c r="B4611" t="s">
        <v>8722</v>
      </c>
      <c r="C4611" t="s">
        <v>18</v>
      </c>
      <c r="D4611" t="s">
        <v>8723</v>
      </c>
      <c r="E4611" t="s">
        <v>8724</v>
      </c>
      <c r="F4611" t="s">
        <v>78</v>
      </c>
      <c r="G4611" t="s">
        <v>502</v>
      </c>
      <c r="I4611" t="b">
        <v>0</v>
      </c>
      <c r="J4611" t="b">
        <v>0</v>
      </c>
      <c r="L4611" t="b">
        <v>0</v>
      </c>
      <c r="M4611" t="str">
        <f>HYPERLINK("https://arizona.app.box.com/file/386256900163")</f>
        <v>https://arizona.app.box.com/file/386256900163</v>
      </c>
    </row>
    <row r="4612" spans="1:25" x14ac:dyDescent="0.2">
      <c r="A4612">
        <v>5226</v>
      </c>
      <c r="B4612" t="s">
        <v>8722</v>
      </c>
      <c r="C4612" t="s">
        <v>18</v>
      </c>
      <c r="D4612" t="s">
        <v>5310</v>
      </c>
      <c r="E4612" t="s">
        <v>5311</v>
      </c>
      <c r="F4612" t="s">
        <v>420</v>
      </c>
      <c r="G4612" t="s">
        <v>88</v>
      </c>
      <c r="I4612" t="b">
        <v>0</v>
      </c>
      <c r="J4612" t="b">
        <v>0</v>
      </c>
      <c r="L4612" t="b">
        <v>0</v>
      </c>
    </row>
    <row r="4613" spans="1:25" x14ac:dyDescent="0.2">
      <c r="A4613">
        <v>5227</v>
      </c>
      <c r="B4613" t="s">
        <v>8722</v>
      </c>
      <c r="C4613" t="s">
        <v>18</v>
      </c>
      <c r="D4613" t="s">
        <v>8725</v>
      </c>
      <c r="E4613" t="s">
        <v>8726</v>
      </c>
      <c r="F4613" t="s">
        <v>670</v>
      </c>
      <c r="G4613" t="s">
        <v>502</v>
      </c>
      <c r="I4613" t="b">
        <v>0</v>
      </c>
      <c r="J4613" t="b">
        <v>0</v>
      </c>
      <c r="L4613" t="b">
        <v>0</v>
      </c>
      <c r="M4613" t="str">
        <f>HYPERLINK("https://arizona.app.box.com/file/386215808188")</f>
        <v>https://arizona.app.box.com/file/386215808188</v>
      </c>
      <c r="N4613" t="str">
        <f>HYPERLINK("https://arizona.app.box.com/file/386228177910")</f>
        <v>https://arizona.app.box.com/file/386228177910</v>
      </c>
    </row>
    <row r="4615" spans="1:25" x14ac:dyDescent="0.2">
      <c r="A4615" s="2">
        <v>7329</v>
      </c>
      <c r="B4615" s="2" t="s">
        <v>8727</v>
      </c>
      <c r="C4615" s="2" t="s">
        <v>13</v>
      </c>
      <c r="D4615" s="2" t="s">
        <v>8728</v>
      </c>
      <c r="E4615" s="2" t="s">
        <v>8729</v>
      </c>
      <c r="F4615" s="2" t="s">
        <v>151</v>
      </c>
      <c r="G4615" s="2" t="s">
        <v>88</v>
      </c>
      <c r="H4615" s="2"/>
      <c r="I4615" s="2"/>
      <c r="J4615" s="2"/>
      <c r="K4615" s="2"/>
      <c r="L4615" s="2"/>
      <c r="M4615" s="2"/>
      <c r="N4615" s="2"/>
      <c r="O4615" s="2"/>
      <c r="P4615" s="2"/>
      <c r="Q4615" s="2"/>
      <c r="R4615" s="2"/>
      <c r="S4615" s="2"/>
      <c r="T4615" s="2"/>
      <c r="U4615" s="2"/>
      <c r="V4615" s="2"/>
      <c r="W4615" s="2"/>
      <c r="X4615" s="2"/>
      <c r="Y4615" s="2"/>
    </row>
    <row r="4616" spans="1:25" x14ac:dyDescent="0.2">
      <c r="A4616">
        <v>7330</v>
      </c>
      <c r="B4616" t="s">
        <v>8727</v>
      </c>
      <c r="C4616" t="s">
        <v>18</v>
      </c>
      <c r="D4616" t="s">
        <v>8728</v>
      </c>
      <c r="E4616" t="s">
        <v>8729</v>
      </c>
      <c r="F4616" t="s">
        <v>151</v>
      </c>
      <c r="G4616" t="s">
        <v>88</v>
      </c>
      <c r="I4616" t="b">
        <v>1</v>
      </c>
      <c r="J4616" t="b">
        <v>1</v>
      </c>
      <c r="L4616" t="b">
        <v>1</v>
      </c>
      <c r="M4616" t="str">
        <f>HYPERLINK("https://arizona.app.box.com/file/389152157090")</f>
        <v>https://arizona.app.box.com/file/389152157090</v>
      </c>
      <c r="N4616" t="str">
        <f>HYPERLINK("https://arizona.app.box.com/file/389262488231")</f>
        <v>https://arizona.app.box.com/file/389262488231</v>
      </c>
      <c r="O4616" t="str">
        <f>HYPERLINK("https://arizona.app.box.com/file/389138668947")</f>
        <v>https://arizona.app.box.com/file/389138668947</v>
      </c>
    </row>
    <row r="4617" spans="1:25" x14ac:dyDescent="0.2">
      <c r="A4617">
        <v>7331</v>
      </c>
      <c r="B4617" t="s">
        <v>8727</v>
      </c>
      <c r="C4617" t="s">
        <v>18</v>
      </c>
      <c r="D4617" t="s">
        <v>3277</v>
      </c>
      <c r="E4617" t="s">
        <v>3278</v>
      </c>
      <c r="F4617" t="s">
        <v>78</v>
      </c>
      <c r="G4617" t="s">
        <v>130</v>
      </c>
      <c r="I4617" t="b">
        <v>0</v>
      </c>
      <c r="J4617" t="b">
        <v>0</v>
      </c>
      <c r="L4617" t="b">
        <v>0</v>
      </c>
      <c r="M4617" t="str">
        <f>HYPERLINK("https://arizona.app.box.com/file/389257752661")</f>
        <v>https://arizona.app.box.com/file/389257752661</v>
      </c>
      <c r="N4617" t="str">
        <f>HYPERLINK("https://arizona.app.box.com/file/389166625461")</f>
        <v>https://arizona.app.box.com/file/389166625461</v>
      </c>
      <c r="O4617" t="str">
        <f>HYPERLINK("https://arizona.app.box.com/file/389168310778")</f>
        <v>https://arizona.app.box.com/file/389168310778</v>
      </c>
    </row>
    <row r="4618" spans="1:25" x14ac:dyDescent="0.2">
      <c r="A4618">
        <v>7332</v>
      </c>
      <c r="B4618" t="s">
        <v>8727</v>
      </c>
      <c r="C4618" t="s">
        <v>18</v>
      </c>
      <c r="D4618" t="s">
        <v>8730</v>
      </c>
      <c r="E4618" t="s">
        <v>8731</v>
      </c>
      <c r="F4618" t="s">
        <v>78</v>
      </c>
      <c r="G4618" t="s">
        <v>62</v>
      </c>
      <c r="I4618" t="b">
        <v>0</v>
      </c>
      <c r="J4618" t="b">
        <v>0</v>
      </c>
      <c r="L4618" t="b">
        <v>0</v>
      </c>
    </row>
    <row r="4619" spans="1:25" x14ac:dyDescent="0.2">
      <c r="A4619">
        <v>7333</v>
      </c>
      <c r="B4619" t="s">
        <v>8727</v>
      </c>
      <c r="C4619" t="s">
        <v>18</v>
      </c>
      <c r="D4619" t="s">
        <v>8732</v>
      </c>
      <c r="E4619" t="s">
        <v>8733</v>
      </c>
      <c r="F4619" t="s">
        <v>78</v>
      </c>
      <c r="G4619" t="s">
        <v>88</v>
      </c>
      <c r="I4619" t="b">
        <v>0</v>
      </c>
      <c r="J4619" t="b">
        <v>0</v>
      </c>
      <c r="L4619" t="b">
        <v>0</v>
      </c>
    </row>
    <row r="4620" spans="1:25" x14ac:dyDescent="0.2">
      <c r="A4620">
        <v>7334</v>
      </c>
      <c r="B4620" t="s">
        <v>8727</v>
      </c>
      <c r="C4620" t="s">
        <v>18</v>
      </c>
      <c r="D4620" t="s">
        <v>8734</v>
      </c>
      <c r="E4620" t="s">
        <v>3860</v>
      </c>
      <c r="F4620" t="s">
        <v>174</v>
      </c>
      <c r="G4620" t="s">
        <v>17</v>
      </c>
      <c r="I4620" t="b">
        <v>0</v>
      </c>
      <c r="J4620" t="b">
        <v>0</v>
      </c>
      <c r="L4620" t="b">
        <v>0</v>
      </c>
      <c r="M4620" t="str">
        <f>HYPERLINK("https://arizona.app.box.com/file/389274443489")</f>
        <v>https://arizona.app.box.com/file/389274443489</v>
      </c>
      <c r="N4620" t="str">
        <f>HYPERLINK("https://arizona.app.box.com/file/389169638476")</f>
        <v>https://arizona.app.box.com/file/389169638476</v>
      </c>
    </row>
    <row r="4622" spans="1:25" x14ac:dyDescent="0.2">
      <c r="A4622" s="2">
        <v>7091</v>
      </c>
      <c r="B4622" s="2" t="s">
        <v>8735</v>
      </c>
      <c r="C4622" s="2" t="s">
        <v>13</v>
      </c>
      <c r="D4622" s="2" t="s">
        <v>8607</v>
      </c>
      <c r="E4622" s="2" t="s">
        <v>8736</v>
      </c>
      <c r="F4622" s="2" t="s">
        <v>16</v>
      </c>
      <c r="G4622" s="2" t="s">
        <v>17</v>
      </c>
      <c r="H4622" s="2"/>
      <c r="I4622" s="2"/>
      <c r="J4622" s="2"/>
      <c r="K4622" s="2"/>
      <c r="L4622" s="2"/>
      <c r="M4622" s="2"/>
      <c r="N4622" s="2"/>
      <c r="O4622" s="2"/>
      <c r="P4622" s="2"/>
      <c r="Q4622" s="2"/>
      <c r="R4622" s="2"/>
      <c r="S4622" s="2"/>
      <c r="T4622" s="2"/>
      <c r="U4622" s="2"/>
      <c r="V4622" s="2"/>
      <c r="W4622" s="2"/>
      <c r="X4622" s="2"/>
      <c r="Y4622" s="2"/>
    </row>
    <row r="4623" spans="1:25" x14ac:dyDescent="0.2">
      <c r="A4623">
        <v>7092</v>
      </c>
      <c r="B4623" t="s">
        <v>8735</v>
      </c>
      <c r="C4623" t="s">
        <v>18</v>
      </c>
      <c r="D4623" t="s">
        <v>8607</v>
      </c>
      <c r="E4623" t="s">
        <v>3791</v>
      </c>
      <c r="F4623" t="s">
        <v>16</v>
      </c>
      <c r="G4623" t="s">
        <v>17</v>
      </c>
      <c r="I4623" t="b">
        <v>1</v>
      </c>
      <c r="J4623" t="b">
        <v>1</v>
      </c>
      <c r="L4623" t="b">
        <v>1</v>
      </c>
      <c r="M4623" t="str">
        <f>HYPERLINK("https://arizona.app.box.com/file/389164585172")</f>
        <v>https://arizona.app.box.com/file/389164585172</v>
      </c>
    </row>
    <row r="4624" spans="1:25" x14ac:dyDescent="0.2">
      <c r="A4624">
        <v>7093</v>
      </c>
      <c r="B4624" t="s">
        <v>8735</v>
      </c>
      <c r="C4624" t="s">
        <v>18</v>
      </c>
      <c r="D4624" t="s">
        <v>5011</v>
      </c>
      <c r="E4624" t="s">
        <v>5012</v>
      </c>
      <c r="F4624" t="s">
        <v>16</v>
      </c>
      <c r="G4624" t="s">
        <v>24</v>
      </c>
      <c r="I4624" t="b">
        <v>0</v>
      </c>
      <c r="J4624" t="b">
        <v>0</v>
      </c>
      <c r="L4624" t="b">
        <v>0</v>
      </c>
      <c r="M4624" t="str">
        <f>HYPERLINK("https://arizona.app.box.com/file/386242113405")</f>
        <v>https://arizona.app.box.com/file/386242113405</v>
      </c>
      <c r="N4624" t="str">
        <f>HYPERLINK("https://arizona.app.box.com/file/386239536591")</f>
        <v>https://arizona.app.box.com/file/386239536591</v>
      </c>
    </row>
    <row r="4625" spans="1:25" x14ac:dyDescent="0.2">
      <c r="A4625">
        <v>7094</v>
      </c>
      <c r="B4625" t="s">
        <v>8735</v>
      </c>
      <c r="C4625" t="s">
        <v>18</v>
      </c>
      <c r="D4625" t="s">
        <v>8737</v>
      </c>
      <c r="E4625" t="s">
        <v>1299</v>
      </c>
      <c r="F4625" t="s">
        <v>23</v>
      </c>
      <c r="G4625" t="s">
        <v>88</v>
      </c>
      <c r="I4625" t="b">
        <v>0</v>
      </c>
      <c r="J4625" t="b">
        <v>0</v>
      </c>
      <c r="L4625" t="b">
        <v>0</v>
      </c>
      <c r="M4625" t="str">
        <f>HYPERLINK("https://arizona.app.box.com/file/389266311870")</f>
        <v>https://arizona.app.box.com/file/389266311870</v>
      </c>
      <c r="N4625" t="str">
        <f>HYPERLINK("https://arizona.app.box.com/file/389166029205")</f>
        <v>https://arizona.app.box.com/file/389166029205</v>
      </c>
    </row>
    <row r="4626" spans="1:25" x14ac:dyDescent="0.2">
      <c r="A4626">
        <v>7095</v>
      </c>
      <c r="B4626" t="s">
        <v>8735</v>
      </c>
      <c r="C4626" t="s">
        <v>18</v>
      </c>
      <c r="D4626" t="s">
        <v>5023</v>
      </c>
      <c r="E4626" t="s">
        <v>5024</v>
      </c>
      <c r="F4626" t="s">
        <v>16</v>
      </c>
      <c r="G4626" t="s">
        <v>62</v>
      </c>
      <c r="I4626" t="b">
        <v>0</v>
      </c>
      <c r="J4626" t="b">
        <v>0</v>
      </c>
      <c r="L4626" t="b">
        <v>0</v>
      </c>
    </row>
    <row r="4627" spans="1:25" x14ac:dyDescent="0.2">
      <c r="A4627">
        <v>7096</v>
      </c>
      <c r="B4627" t="s">
        <v>8735</v>
      </c>
      <c r="C4627" t="s">
        <v>18</v>
      </c>
      <c r="D4627" t="s">
        <v>8738</v>
      </c>
      <c r="E4627" t="s">
        <v>8739</v>
      </c>
      <c r="F4627" t="s">
        <v>168</v>
      </c>
      <c r="G4627" t="s">
        <v>24</v>
      </c>
      <c r="I4627" t="b">
        <v>0</v>
      </c>
      <c r="J4627" t="b">
        <v>0</v>
      </c>
      <c r="L4627" t="b">
        <v>0</v>
      </c>
      <c r="M4627" t="str">
        <f>HYPERLINK("https://arizona.app.box.com/file/386216434722")</f>
        <v>https://arizona.app.box.com/file/386216434722</v>
      </c>
      <c r="N4627" t="str">
        <f>HYPERLINK("https://arizona.app.box.com/file/386239077409")</f>
        <v>https://arizona.app.box.com/file/386239077409</v>
      </c>
    </row>
    <row r="4629" spans="1:25" x14ac:dyDescent="0.2">
      <c r="A4629" s="2">
        <v>5502</v>
      </c>
      <c r="B4629" s="2" t="s">
        <v>8740</v>
      </c>
      <c r="C4629" s="2" t="s">
        <v>13</v>
      </c>
      <c r="D4629" s="2" t="s">
        <v>8741</v>
      </c>
      <c r="E4629" s="2" t="s">
        <v>8742</v>
      </c>
      <c r="F4629" s="2" t="s">
        <v>369</v>
      </c>
      <c r="G4629" s="2" t="s">
        <v>24</v>
      </c>
      <c r="H4629" s="2"/>
      <c r="I4629" s="2"/>
      <c r="J4629" s="2"/>
      <c r="K4629" s="2"/>
      <c r="L4629" s="2"/>
      <c r="M4629" s="2"/>
      <c r="N4629" s="2"/>
      <c r="O4629" s="2"/>
      <c r="P4629" s="2"/>
      <c r="Q4629" s="2"/>
      <c r="R4629" s="2"/>
      <c r="S4629" s="2"/>
      <c r="T4629" s="2"/>
      <c r="U4629" s="2"/>
      <c r="V4629" s="2"/>
      <c r="W4629" s="2"/>
      <c r="X4629" s="2"/>
      <c r="Y4629" s="2"/>
    </row>
    <row r="4630" spans="1:25" x14ac:dyDescent="0.2">
      <c r="A4630">
        <v>5503</v>
      </c>
      <c r="B4630" t="s">
        <v>8740</v>
      </c>
      <c r="C4630" t="s">
        <v>18</v>
      </c>
      <c r="D4630" t="s">
        <v>8741</v>
      </c>
      <c r="E4630" t="s">
        <v>8742</v>
      </c>
      <c r="F4630" t="s">
        <v>369</v>
      </c>
      <c r="G4630" t="s">
        <v>24</v>
      </c>
      <c r="I4630" t="b">
        <v>1</v>
      </c>
      <c r="J4630" t="b">
        <v>1</v>
      </c>
      <c r="L4630" t="b">
        <v>1</v>
      </c>
      <c r="M4630" t="str">
        <f>HYPERLINK("https://arizona.app.box.com/file/389174579267")</f>
        <v>https://arizona.app.box.com/file/389174579267</v>
      </c>
      <c r="N4630" t="str">
        <f>HYPERLINK("https://arizona.app.box.com/file/386240939953")</f>
        <v>https://arizona.app.box.com/file/386240939953</v>
      </c>
      <c r="O4630" t="str">
        <f>HYPERLINK("https://arizona.app.box.com/file/389169773205")</f>
        <v>https://arizona.app.box.com/file/389169773205</v>
      </c>
      <c r="P4630" t="str">
        <f>HYPERLINK("https://arizona.app.box.com/file/386239243637")</f>
        <v>https://arizona.app.box.com/file/386239243637</v>
      </c>
    </row>
    <row r="4631" spans="1:25" x14ac:dyDescent="0.2">
      <c r="A4631">
        <v>5504</v>
      </c>
      <c r="B4631" t="s">
        <v>8740</v>
      </c>
      <c r="C4631" t="s">
        <v>18</v>
      </c>
      <c r="D4631" t="s">
        <v>3659</v>
      </c>
      <c r="E4631" t="s">
        <v>2886</v>
      </c>
      <c r="F4631" t="s">
        <v>369</v>
      </c>
      <c r="G4631" t="s">
        <v>17</v>
      </c>
      <c r="I4631" t="b">
        <v>1</v>
      </c>
      <c r="J4631" t="b">
        <v>0</v>
      </c>
      <c r="L4631" t="b">
        <v>0</v>
      </c>
      <c r="M4631" t="str">
        <f>HYPERLINK("https://arizona.app.box.com/file/389256688316")</f>
        <v>https://arizona.app.box.com/file/389256688316</v>
      </c>
      <c r="N4631" t="str">
        <f>HYPERLINK("https://arizona.app.box.com/file/389169865148")</f>
        <v>https://arizona.app.box.com/file/389169865148</v>
      </c>
    </row>
    <row r="4632" spans="1:25" x14ac:dyDescent="0.2">
      <c r="A4632">
        <v>5505</v>
      </c>
      <c r="B4632" t="s">
        <v>8740</v>
      </c>
      <c r="C4632" t="s">
        <v>18</v>
      </c>
      <c r="D4632" t="s">
        <v>375</v>
      </c>
      <c r="E4632" t="s">
        <v>377</v>
      </c>
      <c r="F4632" t="s">
        <v>369</v>
      </c>
      <c r="G4632" t="s">
        <v>24</v>
      </c>
      <c r="I4632" t="b">
        <v>0</v>
      </c>
      <c r="J4632" t="b">
        <v>0</v>
      </c>
      <c r="L4632" t="b">
        <v>0</v>
      </c>
      <c r="M4632" t="str">
        <f>HYPERLINK("https://arizona.app.box.com/file/389265338274")</f>
        <v>https://arizona.app.box.com/file/389265338274</v>
      </c>
      <c r="N4632" t="str">
        <f>HYPERLINK("https://arizona.app.box.com/file/389162873435")</f>
        <v>https://arizona.app.box.com/file/389162873435</v>
      </c>
    </row>
    <row r="4633" spans="1:25" x14ac:dyDescent="0.2">
      <c r="A4633">
        <v>5506</v>
      </c>
      <c r="B4633" t="s">
        <v>8740</v>
      </c>
      <c r="C4633" t="s">
        <v>18</v>
      </c>
      <c r="D4633" t="s">
        <v>8743</v>
      </c>
      <c r="E4633" t="s">
        <v>8744</v>
      </c>
      <c r="F4633" t="s">
        <v>369</v>
      </c>
      <c r="G4633" t="s">
        <v>17</v>
      </c>
      <c r="I4633" t="b">
        <v>1</v>
      </c>
      <c r="J4633" t="b">
        <v>0</v>
      </c>
      <c r="L4633" t="b">
        <v>0</v>
      </c>
    </row>
    <row r="4634" spans="1:25" x14ac:dyDescent="0.2">
      <c r="A4634">
        <v>5507</v>
      </c>
      <c r="B4634" t="s">
        <v>8740</v>
      </c>
      <c r="C4634" t="s">
        <v>18</v>
      </c>
      <c r="D4634" t="s">
        <v>8745</v>
      </c>
      <c r="E4634" t="s">
        <v>8746</v>
      </c>
      <c r="F4634" t="s">
        <v>16</v>
      </c>
      <c r="G4634" t="s">
        <v>17</v>
      </c>
      <c r="I4634" t="b">
        <v>0</v>
      </c>
      <c r="J4634" t="b">
        <v>0</v>
      </c>
      <c r="L4634" t="b">
        <v>0</v>
      </c>
      <c r="M4634" t="str">
        <f>HYPERLINK("https://arizona.app.box.com/file/389165724618")</f>
        <v>https://arizona.app.box.com/file/389165724618</v>
      </c>
      <c r="N4634" t="str">
        <f>HYPERLINK("https://arizona.app.box.com/file/386211786858")</f>
        <v>https://arizona.app.box.com/file/386211786858</v>
      </c>
    </row>
    <row r="4636" spans="1:25" x14ac:dyDescent="0.2">
      <c r="A4636" s="2">
        <v>6020</v>
      </c>
      <c r="B4636" s="2" t="s">
        <v>8747</v>
      </c>
      <c r="C4636" s="2" t="s">
        <v>13</v>
      </c>
      <c r="D4636" s="2" t="s">
        <v>8748</v>
      </c>
      <c r="E4636" s="2" t="s">
        <v>8749</v>
      </c>
      <c r="F4636" s="2" t="s">
        <v>670</v>
      </c>
      <c r="G4636" s="2" t="s">
        <v>24</v>
      </c>
      <c r="H4636" s="2"/>
      <c r="I4636" s="2"/>
      <c r="J4636" s="2"/>
      <c r="K4636" s="2"/>
      <c r="L4636" s="2"/>
      <c r="M4636" s="2"/>
      <c r="N4636" s="2"/>
      <c r="O4636" s="2"/>
      <c r="P4636" s="2"/>
      <c r="Q4636" s="2"/>
      <c r="R4636" s="2"/>
      <c r="S4636" s="2"/>
      <c r="T4636" s="2"/>
      <c r="U4636" s="2"/>
      <c r="V4636" s="2"/>
      <c r="W4636" s="2"/>
      <c r="X4636" s="2"/>
      <c r="Y4636" s="2"/>
    </row>
    <row r="4637" spans="1:25" x14ac:dyDescent="0.2">
      <c r="A4637">
        <v>6021</v>
      </c>
      <c r="B4637" t="s">
        <v>8747</v>
      </c>
      <c r="C4637" t="s">
        <v>18</v>
      </c>
      <c r="D4637" t="s">
        <v>8748</v>
      </c>
      <c r="E4637" t="s">
        <v>240</v>
      </c>
      <c r="F4637" t="s">
        <v>670</v>
      </c>
      <c r="G4637" t="s">
        <v>24</v>
      </c>
      <c r="I4637" t="b">
        <v>1</v>
      </c>
      <c r="J4637" t="b">
        <v>1</v>
      </c>
      <c r="L4637" t="b">
        <v>1</v>
      </c>
      <c r="M4637" t="str">
        <f>HYPERLINK("https://arizona.app.box.com/file/389186921095")</f>
        <v>https://arizona.app.box.com/file/389186921095</v>
      </c>
      <c r="N4637" t="str">
        <f>HYPERLINK("https://arizona.app.box.com/file/386254038817")</f>
        <v>https://arizona.app.box.com/file/386254038817</v>
      </c>
    </row>
    <row r="4638" spans="1:25" x14ac:dyDescent="0.2">
      <c r="A4638">
        <v>6022</v>
      </c>
      <c r="B4638" t="s">
        <v>8747</v>
      </c>
      <c r="C4638" t="s">
        <v>18</v>
      </c>
      <c r="D4638" t="s">
        <v>8750</v>
      </c>
      <c r="E4638" t="s">
        <v>8290</v>
      </c>
      <c r="F4638" t="s">
        <v>670</v>
      </c>
      <c r="G4638" t="s">
        <v>24</v>
      </c>
      <c r="I4638" t="b">
        <v>1</v>
      </c>
      <c r="J4638" t="b">
        <v>1</v>
      </c>
      <c r="L4638" t="b">
        <v>1</v>
      </c>
      <c r="M4638" t="str">
        <f>HYPERLINK("https://arizona.app.box.com/file/386242665910")</f>
        <v>https://arizona.app.box.com/file/386242665910</v>
      </c>
    </row>
    <row r="4639" spans="1:25" x14ac:dyDescent="0.2">
      <c r="A4639">
        <v>6023</v>
      </c>
      <c r="B4639" t="s">
        <v>8747</v>
      </c>
      <c r="C4639" t="s">
        <v>18</v>
      </c>
      <c r="D4639" t="s">
        <v>1527</v>
      </c>
      <c r="E4639" t="s">
        <v>1063</v>
      </c>
      <c r="F4639" t="s">
        <v>78</v>
      </c>
      <c r="G4639" t="s">
        <v>24</v>
      </c>
      <c r="I4639" t="b">
        <v>0</v>
      </c>
      <c r="J4639" t="b">
        <v>0</v>
      </c>
      <c r="L4639" t="b">
        <v>0</v>
      </c>
      <c r="M4639" t="str">
        <f>HYPERLINK("https://arizona.app.box.com/file/386240677216")</f>
        <v>https://arizona.app.box.com/file/386240677216</v>
      </c>
    </row>
    <row r="4640" spans="1:25" x14ac:dyDescent="0.2">
      <c r="A4640">
        <v>6024</v>
      </c>
      <c r="B4640" t="s">
        <v>8747</v>
      </c>
      <c r="C4640" t="s">
        <v>18</v>
      </c>
      <c r="D4640" t="s">
        <v>8751</v>
      </c>
      <c r="E4640" t="s">
        <v>8752</v>
      </c>
      <c r="F4640" t="s">
        <v>670</v>
      </c>
      <c r="G4640" t="s">
        <v>24</v>
      </c>
      <c r="I4640" t="b">
        <v>0</v>
      </c>
      <c r="J4640" t="b">
        <v>0</v>
      </c>
      <c r="L4640" t="b">
        <v>0</v>
      </c>
    </row>
    <row r="4641" spans="1:25" x14ac:dyDescent="0.2">
      <c r="A4641">
        <v>6025</v>
      </c>
      <c r="B4641" t="s">
        <v>8747</v>
      </c>
      <c r="C4641" t="s">
        <v>18</v>
      </c>
      <c r="D4641" t="s">
        <v>8753</v>
      </c>
      <c r="E4641" t="s">
        <v>8754</v>
      </c>
      <c r="F4641" t="s">
        <v>1077</v>
      </c>
      <c r="G4641" t="s">
        <v>17</v>
      </c>
      <c r="I4641" t="b">
        <v>0</v>
      </c>
      <c r="J4641" t="b">
        <v>0</v>
      </c>
      <c r="L4641" t="b">
        <v>0</v>
      </c>
    </row>
    <row r="4643" spans="1:25" x14ac:dyDescent="0.2">
      <c r="A4643" s="2">
        <v>1029</v>
      </c>
      <c r="B4643" s="2" t="s">
        <v>8755</v>
      </c>
      <c r="C4643" s="2" t="s">
        <v>13</v>
      </c>
      <c r="D4643" s="2" t="s">
        <v>8756</v>
      </c>
      <c r="E4643" s="2" t="s">
        <v>8757</v>
      </c>
      <c r="F4643" s="2" t="s">
        <v>2924</v>
      </c>
      <c r="G4643" s="2" t="s">
        <v>8528</v>
      </c>
      <c r="H4643" s="2"/>
      <c r="I4643" s="2"/>
      <c r="J4643" s="2"/>
      <c r="K4643" s="2"/>
      <c r="L4643" s="2"/>
      <c r="M4643" s="2"/>
      <c r="N4643" s="2"/>
      <c r="O4643" s="2"/>
      <c r="P4643" s="2"/>
      <c r="Q4643" s="2"/>
      <c r="R4643" s="2"/>
      <c r="S4643" s="2"/>
      <c r="T4643" s="2"/>
      <c r="U4643" s="2"/>
      <c r="V4643" s="2"/>
      <c r="W4643" s="2"/>
      <c r="X4643" s="2"/>
      <c r="Y4643" s="2"/>
    </row>
    <row r="4644" spans="1:25" x14ac:dyDescent="0.2">
      <c r="A4644">
        <v>1030</v>
      </c>
      <c r="B4644" t="s">
        <v>8755</v>
      </c>
      <c r="C4644" t="s">
        <v>18</v>
      </c>
      <c r="D4644" t="s">
        <v>8756</v>
      </c>
      <c r="E4644" t="s">
        <v>5850</v>
      </c>
      <c r="F4644" t="s">
        <v>2924</v>
      </c>
      <c r="G4644" t="s">
        <v>8528</v>
      </c>
      <c r="I4644" t="b">
        <v>1</v>
      </c>
      <c r="J4644" t="b">
        <v>1</v>
      </c>
      <c r="L4644" t="b">
        <v>1</v>
      </c>
      <c r="M4644" t="str">
        <f>HYPERLINK("https://arizona.app.box.com/file/389172886677")</f>
        <v>https://arizona.app.box.com/file/389172886677</v>
      </c>
      <c r="N4644" t="str">
        <f>HYPERLINK("https://arizona.app.box.com/file/386243931461")</f>
        <v>https://arizona.app.box.com/file/386243931461</v>
      </c>
    </row>
    <row r="4645" spans="1:25" x14ac:dyDescent="0.2">
      <c r="A4645">
        <v>1031</v>
      </c>
      <c r="B4645" t="s">
        <v>8755</v>
      </c>
      <c r="C4645" t="s">
        <v>18</v>
      </c>
      <c r="D4645" t="s">
        <v>8758</v>
      </c>
      <c r="E4645" t="s">
        <v>2654</v>
      </c>
      <c r="F4645" t="s">
        <v>2924</v>
      </c>
      <c r="G4645" t="s">
        <v>8528</v>
      </c>
      <c r="I4645" t="b">
        <v>1</v>
      </c>
      <c r="J4645" t="b">
        <v>1</v>
      </c>
      <c r="L4645" t="b">
        <v>1</v>
      </c>
      <c r="M4645" t="str">
        <f>HYPERLINK("https://arizona.app.box.com/file/389163038842")</f>
        <v>https://arizona.app.box.com/file/389163038842</v>
      </c>
      <c r="N4645" t="str">
        <f>HYPERLINK("https://arizona.app.box.com/file/386238744917")</f>
        <v>https://arizona.app.box.com/file/386238744917</v>
      </c>
    </row>
    <row r="4646" spans="1:25" x14ac:dyDescent="0.2">
      <c r="A4646">
        <v>1032</v>
      </c>
      <c r="B4646" t="s">
        <v>8755</v>
      </c>
      <c r="C4646" t="s">
        <v>18</v>
      </c>
      <c r="D4646" t="s">
        <v>8759</v>
      </c>
      <c r="E4646" t="s">
        <v>3062</v>
      </c>
      <c r="F4646" t="s">
        <v>316</v>
      </c>
      <c r="G4646" t="s">
        <v>3558</v>
      </c>
      <c r="I4646" t="b">
        <v>0</v>
      </c>
      <c r="J4646" t="b">
        <v>0</v>
      </c>
      <c r="L4646" t="b">
        <v>0</v>
      </c>
      <c r="M4646" t="str">
        <f>HYPERLINK("https://arizona.app.box.com/file/386241644548")</f>
        <v>https://arizona.app.box.com/file/386241644548</v>
      </c>
    </row>
    <row r="4647" spans="1:25" x14ac:dyDescent="0.2">
      <c r="A4647">
        <v>1033</v>
      </c>
      <c r="B4647" t="s">
        <v>8755</v>
      </c>
      <c r="C4647" t="s">
        <v>18</v>
      </c>
      <c r="D4647" t="s">
        <v>8760</v>
      </c>
      <c r="E4647" t="s">
        <v>8761</v>
      </c>
      <c r="F4647" t="s">
        <v>316</v>
      </c>
      <c r="G4647" t="s">
        <v>3558</v>
      </c>
      <c r="I4647" t="b">
        <v>0</v>
      </c>
      <c r="J4647" t="b">
        <v>0</v>
      </c>
      <c r="L4647" t="b">
        <v>0</v>
      </c>
      <c r="M4647" t="str">
        <f>HYPERLINK("https://arizona.app.box.com/file/386241884447")</f>
        <v>https://arizona.app.box.com/file/386241884447</v>
      </c>
    </row>
    <row r="4648" spans="1:25" x14ac:dyDescent="0.2">
      <c r="A4648">
        <v>1034</v>
      </c>
      <c r="B4648" t="s">
        <v>8755</v>
      </c>
      <c r="C4648" t="s">
        <v>18</v>
      </c>
      <c r="D4648" t="s">
        <v>5820</v>
      </c>
      <c r="E4648" t="s">
        <v>5821</v>
      </c>
      <c r="F4648" t="s">
        <v>78</v>
      </c>
      <c r="G4648" t="s">
        <v>417</v>
      </c>
      <c r="I4648" t="b">
        <v>0</v>
      </c>
      <c r="J4648" t="b">
        <v>0</v>
      </c>
      <c r="L4648" t="b">
        <v>0</v>
      </c>
    </row>
    <row r="4650" spans="1:25" x14ac:dyDescent="0.2">
      <c r="A4650" s="2">
        <v>91</v>
      </c>
      <c r="B4650" s="2" t="s">
        <v>8762</v>
      </c>
      <c r="C4650" s="2" t="s">
        <v>13</v>
      </c>
      <c r="D4650" s="2" t="s">
        <v>8763</v>
      </c>
      <c r="E4650" s="2" t="s">
        <v>4119</v>
      </c>
      <c r="F4650" s="2" t="s">
        <v>174</v>
      </c>
      <c r="G4650" s="2" t="s">
        <v>292</v>
      </c>
      <c r="H4650" s="2"/>
      <c r="I4650" s="2"/>
      <c r="J4650" s="2"/>
      <c r="K4650" s="2"/>
      <c r="L4650" s="2"/>
      <c r="M4650" s="2"/>
      <c r="N4650" s="2"/>
      <c r="O4650" s="2"/>
      <c r="P4650" s="2"/>
      <c r="Q4650" s="2"/>
      <c r="R4650" s="2"/>
      <c r="S4650" s="2"/>
      <c r="T4650" s="2"/>
      <c r="U4650" s="2"/>
      <c r="V4650" s="2"/>
      <c r="W4650" s="2"/>
      <c r="X4650" s="2"/>
      <c r="Y4650" s="2"/>
    </row>
    <row r="4651" spans="1:25" x14ac:dyDescent="0.2">
      <c r="A4651">
        <v>92</v>
      </c>
      <c r="B4651" t="s">
        <v>8762</v>
      </c>
      <c r="C4651" t="s">
        <v>18</v>
      </c>
      <c r="D4651" t="s">
        <v>4118</v>
      </c>
      <c r="E4651" t="s">
        <v>4119</v>
      </c>
      <c r="F4651" t="s">
        <v>174</v>
      </c>
      <c r="G4651" t="s">
        <v>292</v>
      </c>
      <c r="I4651" t="b">
        <v>1</v>
      </c>
      <c r="J4651" t="b">
        <v>1</v>
      </c>
      <c r="L4651" t="b">
        <v>1</v>
      </c>
      <c r="M4651" t="str">
        <f>HYPERLINK("https://arizona.app.box.com/file/386241643884")</f>
        <v>https://arizona.app.box.com/file/386241643884</v>
      </c>
      <c r="N4651" t="str">
        <f>HYPERLINK("https://arizona.app.box.com/file/386227520546")</f>
        <v>https://arizona.app.box.com/file/386227520546</v>
      </c>
    </row>
    <row r="4652" spans="1:25" x14ac:dyDescent="0.2">
      <c r="A4652">
        <v>93</v>
      </c>
      <c r="B4652" t="s">
        <v>8762</v>
      </c>
      <c r="C4652" t="s">
        <v>18</v>
      </c>
      <c r="D4652" t="s">
        <v>8764</v>
      </c>
      <c r="E4652" t="s">
        <v>8765</v>
      </c>
      <c r="F4652" t="s">
        <v>174</v>
      </c>
      <c r="G4652" t="s">
        <v>32</v>
      </c>
      <c r="I4652" t="b">
        <v>0</v>
      </c>
      <c r="J4652" t="b">
        <v>0</v>
      </c>
      <c r="L4652" t="b">
        <v>0</v>
      </c>
    </row>
    <row r="4653" spans="1:25" x14ac:dyDescent="0.2">
      <c r="A4653">
        <v>94</v>
      </c>
      <c r="B4653" t="s">
        <v>8762</v>
      </c>
      <c r="C4653" t="s">
        <v>18</v>
      </c>
      <c r="D4653" t="s">
        <v>8766</v>
      </c>
      <c r="E4653" t="s">
        <v>7590</v>
      </c>
      <c r="F4653" t="s">
        <v>1404</v>
      </c>
      <c r="G4653" t="s">
        <v>255</v>
      </c>
      <c r="I4653" t="b">
        <v>0</v>
      </c>
      <c r="J4653" t="b">
        <v>0</v>
      </c>
      <c r="L4653" t="b">
        <v>0</v>
      </c>
      <c r="M4653" t="str">
        <f>HYPERLINK("https://arizona.app.box.com/file/389267963844")</f>
        <v>https://arizona.app.box.com/file/389267963844</v>
      </c>
      <c r="N4653" t="str">
        <f>HYPERLINK("https://arizona.app.box.com/file/389167472451")</f>
        <v>https://arizona.app.box.com/file/389167472451</v>
      </c>
    </row>
    <row r="4654" spans="1:25" x14ac:dyDescent="0.2">
      <c r="A4654">
        <v>95</v>
      </c>
      <c r="B4654" t="s">
        <v>8762</v>
      </c>
      <c r="C4654" t="s">
        <v>18</v>
      </c>
      <c r="D4654" t="s">
        <v>8767</v>
      </c>
      <c r="E4654" t="s">
        <v>8768</v>
      </c>
      <c r="F4654" t="s">
        <v>31</v>
      </c>
      <c r="G4654" t="s">
        <v>292</v>
      </c>
      <c r="I4654" t="b">
        <v>0</v>
      </c>
      <c r="J4654" t="b">
        <v>0</v>
      </c>
      <c r="L4654" t="b">
        <v>0</v>
      </c>
      <c r="M4654" t="str">
        <f>HYPERLINK("https://arizona.app.box.com/file/386242238728")</f>
        <v>https://arizona.app.box.com/file/386242238728</v>
      </c>
      <c r="N4654" t="str">
        <f>HYPERLINK("https://arizona.app.box.com/file/386241113911")</f>
        <v>https://arizona.app.box.com/file/386241113911</v>
      </c>
      <c r="O4654" t="str">
        <f>HYPERLINK("https://arizona.app.box.com/file/386213155631")</f>
        <v>https://arizona.app.box.com/file/386213155631</v>
      </c>
    </row>
    <row r="4655" spans="1:25" x14ac:dyDescent="0.2">
      <c r="A4655">
        <v>96</v>
      </c>
      <c r="B4655" t="s">
        <v>8762</v>
      </c>
      <c r="C4655" t="s">
        <v>18</v>
      </c>
      <c r="D4655" t="s">
        <v>4113</v>
      </c>
      <c r="E4655" t="s">
        <v>3695</v>
      </c>
      <c r="F4655" t="s">
        <v>369</v>
      </c>
      <c r="G4655" t="s">
        <v>1047</v>
      </c>
      <c r="I4655" t="b">
        <v>0</v>
      </c>
      <c r="J4655" t="b">
        <v>0</v>
      </c>
      <c r="L4655" t="b">
        <v>0</v>
      </c>
      <c r="M4655" t="str">
        <f>HYPERLINK("https://arizona.app.box.com/file/389139144565")</f>
        <v>https://arizona.app.box.com/file/389139144565</v>
      </c>
    </row>
    <row r="4657" spans="1:25" x14ac:dyDescent="0.2">
      <c r="A4657" s="2">
        <v>7308</v>
      </c>
      <c r="B4657" s="2" t="s">
        <v>8769</v>
      </c>
      <c r="C4657" s="2" t="s">
        <v>13</v>
      </c>
      <c r="D4657" s="2" t="s">
        <v>2330</v>
      </c>
      <c r="E4657" s="2" t="s">
        <v>2331</v>
      </c>
      <c r="F4657" s="2" t="s">
        <v>78</v>
      </c>
      <c r="G4657" s="2" t="s">
        <v>17</v>
      </c>
      <c r="H4657" s="2"/>
      <c r="I4657" s="2"/>
      <c r="J4657" s="2"/>
      <c r="K4657" s="2"/>
      <c r="L4657" s="2"/>
      <c r="M4657" s="2"/>
      <c r="N4657" s="2"/>
      <c r="O4657" s="2"/>
      <c r="P4657" s="2"/>
      <c r="Q4657" s="2"/>
      <c r="R4657" s="2"/>
      <c r="S4657" s="2"/>
      <c r="T4657" s="2"/>
      <c r="U4657" s="2"/>
      <c r="V4657" s="2"/>
      <c r="W4657" s="2"/>
      <c r="X4657" s="2"/>
      <c r="Y4657" s="2"/>
    </row>
    <row r="4658" spans="1:25" x14ac:dyDescent="0.2">
      <c r="A4658">
        <v>7309</v>
      </c>
      <c r="B4658" t="s">
        <v>8769</v>
      </c>
      <c r="C4658" t="s">
        <v>18</v>
      </c>
      <c r="D4658" t="s">
        <v>2330</v>
      </c>
      <c r="E4658" t="s">
        <v>2331</v>
      </c>
      <c r="F4658" t="s">
        <v>78</v>
      </c>
      <c r="G4658" t="s">
        <v>17</v>
      </c>
      <c r="I4658" t="b">
        <v>1</v>
      </c>
      <c r="J4658" t="b">
        <v>1</v>
      </c>
      <c r="L4658" t="b">
        <v>1</v>
      </c>
      <c r="M4658" t="str">
        <f>HYPERLINK("https://arizona.app.box.com/file/389176167042")</f>
        <v>https://arizona.app.box.com/file/389176167042</v>
      </c>
      <c r="N4658" t="str">
        <f>HYPERLINK("https://arizona.app.box.com/file/386245332300")</f>
        <v>https://arizona.app.box.com/file/386245332300</v>
      </c>
      <c r="O4658" t="str">
        <f>HYPERLINK("https://arizona.app.box.com/file/389164653116")</f>
        <v>https://arizona.app.box.com/file/389164653116</v>
      </c>
    </row>
    <row r="4659" spans="1:25" x14ac:dyDescent="0.2">
      <c r="A4659">
        <v>7310</v>
      </c>
      <c r="B4659" t="s">
        <v>8769</v>
      </c>
      <c r="C4659" t="s">
        <v>18</v>
      </c>
      <c r="D4659" t="s">
        <v>8770</v>
      </c>
      <c r="E4659" t="s">
        <v>8771</v>
      </c>
      <c r="F4659" t="s">
        <v>31</v>
      </c>
      <c r="G4659" t="s">
        <v>17</v>
      </c>
      <c r="I4659" t="b">
        <v>0</v>
      </c>
      <c r="J4659" t="b">
        <v>0</v>
      </c>
      <c r="L4659" t="b">
        <v>0</v>
      </c>
      <c r="M4659" t="str">
        <f>HYPERLINK("https://arizona.app.box.com/file/389159213267")</f>
        <v>https://arizona.app.box.com/file/389159213267</v>
      </c>
      <c r="N4659" t="str">
        <f>HYPERLINK("https://arizona.app.box.com/file/389137868765")</f>
        <v>https://arizona.app.box.com/file/389137868765</v>
      </c>
    </row>
    <row r="4660" spans="1:25" x14ac:dyDescent="0.2">
      <c r="A4660">
        <v>7311</v>
      </c>
      <c r="B4660" t="s">
        <v>8769</v>
      </c>
      <c r="C4660" t="s">
        <v>18</v>
      </c>
      <c r="D4660" t="s">
        <v>8772</v>
      </c>
      <c r="E4660" t="s">
        <v>8773</v>
      </c>
      <c r="F4660" t="s">
        <v>78</v>
      </c>
      <c r="G4660" t="s">
        <v>17</v>
      </c>
      <c r="I4660" t="b">
        <v>0</v>
      </c>
      <c r="J4660" t="b">
        <v>0</v>
      </c>
      <c r="L4660" t="b">
        <v>0</v>
      </c>
    </row>
    <row r="4661" spans="1:25" x14ac:dyDescent="0.2">
      <c r="A4661">
        <v>7312</v>
      </c>
      <c r="B4661" t="s">
        <v>8769</v>
      </c>
      <c r="C4661" t="s">
        <v>18</v>
      </c>
      <c r="D4661" t="s">
        <v>8774</v>
      </c>
      <c r="E4661" t="s">
        <v>4336</v>
      </c>
      <c r="F4661" t="s">
        <v>168</v>
      </c>
      <c r="G4661" t="s">
        <v>17</v>
      </c>
      <c r="I4661" t="b">
        <v>0</v>
      </c>
      <c r="J4661" t="b">
        <v>0</v>
      </c>
      <c r="L4661" t="b">
        <v>0</v>
      </c>
      <c r="M4661" t="str">
        <f>HYPERLINK("https://arizona.app.box.com/file/389267083478")</f>
        <v>https://arizona.app.box.com/file/389267083478</v>
      </c>
      <c r="N4661" t="str">
        <f>HYPERLINK("https://arizona.app.box.com/file/389172156057")</f>
        <v>https://arizona.app.box.com/file/389172156057</v>
      </c>
    </row>
    <row r="4662" spans="1:25" x14ac:dyDescent="0.2">
      <c r="A4662">
        <v>7313</v>
      </c>
      <c r="B4662" t="s">
        <v>8769</v>
      </c>
      <c r="C4662" t="s">
        <v>18</v>
      </c>
      <c r="D4662" t="s">
        <v>4056</v>
      </c>
      <c r="E4662" t="s">
        <v>1185</v>
      </c>
      <c r="F4662" t="s">
        <v>168</v>
      </c>
      <c r="G4662" t="s">
        <v>17</v>
      </c>
      <c r="I4662" t="b">
        <v>0</v>
      </c>
      <c r="J4662" t="b">
        <v>0</v>
      </c>
      <c r="L4662" t="b">
        <v>0</v>
      </c>
      <c r="M4662" t="str">
        <f>HYPERLINK("https://arizona.app.box.com/file/389167317528")</f>
        <v>https://arizona.app.box.com/file/389167317528</v>
      </c>
      <c r="N4662" t="str">
        <f>HYPERLINK("https://arizona.app.box.com/file/386240945928")</f>
        <v>https://arizona.app.box.com/file/386240945928</v>
      </c>
    </row>
    <row r="4664" spans="1:25" x14ac:dyDescent="0.2">
      <c r="A4664" s="2">
        <v>5005</v>
      </c>
      <c r="B4664" s="2" t="s">
        <v>8775</v>
      </c>
      <c r="C4664" s="2" t="s">
        <v>13</v>
      </c>
      <c r="D4664" s="2" t="s">
        <v>8776</v>
      </c>
      <c r="E4664" s="2" t="s">
        <v>8372</v>
      </c>
      <c r="F4664" s="2" t="s">
        <v>670</v>
      </c>
      <c r="G4664" s="2" t="s">
        <v>24</v>
      </c>
      <c r="H4664" s="2"/>
      <c r="I4664" s="2"/>
      <c r="J4664" s="2"/>
      <c r="K4664" s="2"/>
      <c r="L4664" s="2"/>
      <c r="M4664" s="2"/>
      <c r="N4664" s="2"/>
      <c r="O4664" s="2"/>
      <c r="P4664" s="2"/>
      <c r="Q4664" s="2"/>
      <c r="R4664" s="2"/>
      <c r="S4664" s="2"/>
      <c r="T4664" s="2"/>
      <c r="U4664" s="2"/>
      <c r="V4664" s="2"/>
      <c r="W4664" s="2"/>
      <c r="X4664" s="2"/>
      <c r="Y4664" s="2"/>
    </row>
    <row r="4665" spans="1:25" x14ac:dyDescent="0.2">
      <c r="A4665">
        <v>5006</v>
      </c>
      <c r="B4665" t="s">
        <v>8775</v>
      </c>
      <c r="C4665" t="s">
        <v>18</v>
      </c>
      <c r="D4665" t="s">
        <v>8371</v>
      </c>
      <c r="E4665" t="s">
        <v>8372</v>
      </c>
      <c r="F4665" t="s">
        <v>670</v>
      </c>
      <c r="G4665" t="s">
        <v>24</v>
      </c>
      <c r="I4665" t="b">
        <v>1</v>
      </c>
      <c r="J4665" t="b">
        <v>1</v>
      </c>
      <c r="L4665" t="b">
        <v>1</v>
      </c>
      <c r="M4665" t="str">
        <f>HYPERLINK("https://arizona.app.box.com/file/386237820036")</f>
        <v>https://arizona.app.box.com/file/386237820036</v>
      </c>
      <c r="N4665" t="str">
        <f>HYPERLINK("https://arizona.app.box.com/file/386241113911")</f>
        <v>https://arizona.app.box.com/file/386241113911</v>
      </c>
    </row>
    <row r="4666" spans="1:25" x14ac:dyDescent="0.2">
      <c r="A4666">
        <v>5007</v>
      </c>
      <c r="B4666" t="s">
        <v>8775</v>
      </c>
      <c r="C4666" t="s">
        <v>18</v>
      </c>
      <c r="D4666" t="s">
        <v>8777</v>
      </c>
      <c r="E4666" t="s">
        <v>8778</v>
      </c>
      <c r="F4666" t="s">
        <v>670</v>
      </c>
      <c r="G4666" t="s">
        <v>24</v>
      </c>
      <c r="I4666" t="b">
        <v>0</v>
      </c>
      <c r="J4666" t="b">
        <v>0</v>
      </c>
      <c r="L4666" t="b">
        <v>0</v>
      </c>
    </row>
    <row r="4667" spans="1:25" x14ac:dyDescent="0.2">
      <c r="A4667">
        <v>5008</v>
      </c>
      <c r="B4667" t="s">
        <v>8775</v>
      </c>
      <c r="C4667" t="s">
        <v>18</v>
      </c>
      <c r="D4667" t="s">
        <v>8779</v>
      </c>
      <c r="E4667" t="s">
        <v>8780</v>
      </c>
      <c r="F4667" t="s">
        <v>670</v>
      </c>
      <c r="G4667" t="s">
        <v>252</v>
      </c>
      <c r="I4667" t="b">
        <v>0</v>
      </c>
      <c r="J4667" t="b">
        <v>0</v>
      </c>
      <c r="L4667" t="b">
        <v>0</v>
      </c>
    </row>
    <row r="4668" spans="1:25" x14ac:dyDescent="0.2">
      <c r="A4668">
        <v>5009</v>
      </c>
      <c r="B4668" t="s">
        <v>8775</v>
      </c>
      <c r="C4668" t="s">
        <v>18</v>
      </c>
      <c r="D4668" t="s">
        <v>3854</v>
      </c>
      <c r="E4668" t="s">
        <v>3855</v>
      </c>
      <c r="F4668" t="s">
        <v>670</v>
      </c>
      <c r="G4668" t="s">
        <v>17</v>
      </c>
      <c r="I4668" t="b">
        <v>0</v>
      </c>
      <c r="J4668" t="b">
        <v>0</v>
      </c>
      <c r="L4668" t="b">
        <v>0</v>
      </c>
    </row>
    <row r="4669" spans="1:25" x14ac:dyDescent="0.2">
      <c r="A4669">
        <v>5010</v>
      </c>
      <c r="B4669" t="s">
        <v>8775</v>
      </c>
      <c r="C4669" t="s">
        <v>18</v>
      </c>
      <c r="D4669" t="s">
        <v>8781</v>
      </c>
      <c r="E4669" t="s">
        <v>8782</v>
      </c>
      <c r="F4669" t="s">
        <v>670</v>
      </c>
      <c r="G4669" t="s">
        <v>24</v>
      </c>
      <c r="I4669" t="b">
        <v>0</v>
      </c>
      <c r="J4669" t="b">
        <v>0</v>
      </c>
      <c r="L4669" t="b">
        <v>0</v>
      </c>
    </row>
    <row r="4671" spans="1:25" x14ac:dyDescent="0.2">
      <c r="A4671" s="2">
        <v>4662</v>
      </c>
      <c r="B4671" s="2" t="s">
        <v>8783</v>
      </c>
      <c r="C4671" s="2" t="s">
        <v>13</v>
      </c>
      <c r="D4671" s="2" t="s">
        <v>8784</v>
      </c>
      <c r="E4671" s="2" t="s">
        <v>8785</v>
      </c>
      <c r="F4671" s="2" t="s">
        <v>248</v>
      </c>
      <c r="G4671" s="2" t="s">
        <v>24</v>
      </c>
      <c r="H4671" s="2"/>
      <c r="I4671" s="2"/>
      <c r="J4671" s="2"/>
      <c r="K4671" s="2"/>
      <c r="L4671" s="2"/>
      <c r="M4671" s="2"/>
      <c r="N4671" s="2"/>
      <c r="O4671" s="2"/>
      <c r="P4671" s="2"/>
      <c r="Q4671" s="2"/>
      <c r="R4671" s="2"/>
      <c r="S4671" s="2"/>
      <c r="T4671" s="2"/>
      <c r="U4671" s="2"/>
      <c r="V4671" s="2"/>
      <c r="W4671" s="2"/>
      <c r="X4671" s="2"/>
      <c r="Y4671" s="2"/>
    </row>
    <row r="4672" spans="1:25" x14ac:dyDescent="0.2">
      <c r="A4672">
        <v>4663</v>
      </c>
      <c r="B4672" t="s">
        <v>8783</v>
      </c>
      <c r="C4672" t="s">
        <v>18</v>
      </c>
      <c r="D4672" t="s">
        <v>8786</v>
      </c>
      <c r="E4672" t="s">
        <v>8787</v>
      </c>
      <c r="F4672" t="s">
        <v>248</v>
      </c>
      <c r="G4672" t="s">
        <v>24</v>
      </c>
      <c r="I4672" t="b">
        <v>1</v>
      </c>
      <c r="J4672" t="b">
        <v>1</v>
      </c>
      <c r="L4672" t="b">
        <v>1</v>
      </c>
      <c r="M4672" t="str">
        <f>HYPERLINK("https://arizona.app.box.com/file/389184941667")</f>
        <v>https://arizona.app.box.com/file/389184941667</v>
      </c>
      <c r="N4672" t="str">
        <f>HYPERLINK("https://arizona.app.box.com/file/386242812877")</f>
        <v>https://arizona.app.box.com/file/386242812877</v>
      </c>
    </row>
    <row r="4673" spans="1:25" x14ac:dyDescent="0.2">
      <c r="A4673">
        <v>4664</v>
      </c>
      <c r="B4673" t="s">
        <v>8783</v>
      </c>
      <c r="C4673" t="s">
        <v>18</v>
      </c>
      <c r="D4673" t="s">
        <v>8784</v>
      </c>
      <c r="E4673" t="s">
        <v>6614</v>
      </c>
      <c r="F4673" t="s">
        <v>248</v>
      </c>
      <c r="G4673" t="s">
        <v>24</v>
      </c>
      <c r="I4673" t="b">
        <v>1</v>
      </c>
      <c r="J4673" t="b">
        <v>1</v>
      </c>
      <c r="L4673" t="b">
        <v>1</v>
      </c>
    </row>
    <row r="4674" spans="1:25" x14ac:dyDescent="0.2">
      <c r="A4674">
        <v>4665</v>
      </c>
      <c r="B4674" t="s">
        <v>8783</v>
      </c>
      <c r="C4674" t="s">
        <v>18</v>
      </c>
      <c r="D4674" t="s">
        <v>8788</v>
      </c>
      <c r="E4674" t="s">
        <v>8789</v>
      </c>
      <c r="F4674" t="s">
        <v>248</v>
      </c>
      <c r="G4674" t="s">
        <v>24</v>
      </c>
      <c r="I4674" t="b">
        <v>0</v>
      </c>
      <c r="J4674" t="b">
        <v>0</v>
      </c>
      <c r="L4674" t="b">
        <v>0</v>
      </c>
      <c r="M4674" t="str">
        <f>HYPERLINK("https://arizona.app.box.com/file/386222318027")</f>
        <v>https://arizona.app.box.com/file/386222318027</v>
      </c>
      <c r="N4674" t="str">
        <f>HYPERLINK("https://arizona.app.box.com/file/386241113911")</f>
        <v>https://arizona.app.box.com/file/386241113911</v>
      </c>
    </row>
    <row r="4675" spans="1:25" x14ac:dyDescent="0.2">
      <c r="A4675">
        <v>4666</v>
      </c>
      <c r="B4675" t="s">
        <v>8783</v>
      </c>
      <c r="C4675" t="s">
        <v>18</v>
      </c>
      <c r="D4675" t="s">
        <v>8790</v>
      </c>
      <c r="E4675" t="s">
        <v>3395</v>
      </c>
      <c r="F4675" t="s">
        <v>248</v>
      </c>
      <c r="G4675" t="s">
        <v>24</v>
      </c>
      <c r="I4675" t="b">
        <v>1</v>
      </c>
      <c r="J4675" t="b">
        <v>1</v>
      </c>
      <c r="L4675" t="b">
        <v>1</v>
      </c>
      <c r="M4675" t="str">
        <f>HYPERLINK("https://arizona.app.box.com/file/386244185817")</f>
        <v>https://arizona.app.box.com/file/386244185817</v>
      </c>
    </row>
    <row r="4676" spans="1:25" x14ac:dyDescent="0.2">
      <c r="A4676">
        <v>4667</v>
      </c>
      <c r="B4676" t="s">
        <v>8783</v>
      </c>
      <c r="C4676" t="s">
        <v>18</v>
      </c>
      <c r="D4676" t="s">
        <v>8791</v>
      </c>
      <c r="E4676" t="s">
        <v>8792</v>
      </c>
      <c r="F4676" t="s">
        <v>248</v>
      </c>
      <c r="G4676" t="s">
        <v>24</v>
      </c>
      <c r="I4676" t="b">
        <v>0</v>
      </c>
      <c r="J4676" t="b">
        <v>0</v>
      </c>
      <c r="L4676" t="b">
        <v>0</v>
      </c>
      <c r="M4676" t="str">
        <f>HYPERLINK("https://arizona.app.box.com/file/386240976785")</f>
        <v>https://arizona.app.box.com/file/386240976785</v>
      </c>
      <c r="N4676" t="str">
        <f>HYPERLINK("https://arizona.app.box.com/file/386242749097")</f>
        <v>https://arizona.app.box.com/file/386242749097</v>
      </c>
    </row>
    <row r="4678" spans="1:25" x14ac:dyDescent="0.2">
      <c r="A4678" s="2">
        <v>609</v>
      </c>
      <c r="B4678" s="2" t="s">
        <v>8793</v>
      </c>
      <c r="C4678" s="2" t="s">
        <v>13</v>
      </c>
      <c r="D4678" s="2" t="s">
        <v>7269</v>
      </c>
      <c r="E4678" s="2" t="s">
        <v>8794</v>
      </c>
      <c r="F4678" s="2" t="s">
        <v>78</v>
      </c>
      <c r="G4678" s="2" t="s">
        <v>88</v>
      </c>
      <c r="H4678" s="2"/>
      <c r="I4678" s="2"/>
      <c r="J4678" s="2"/>
      <c r="K4678" s="2"/>
      <c r="L4678" s="2"/>
      <c r="M4678" s="2"/>
      <c r="N4678" s="2"/>
      <c r="O4678" s="2"/>
      <c r="P4678" s="2"/>
      <c r="Q4678" s="2"/>
      <c r="R4678" s="2"/>
      <c r="S4678" s="2"/>
      <c r="T4678" s="2"/>
      <c r="U4678" s="2"/>
      <c r="V4678" s="2"/>
      <c r="W4678" s="2"/>
      <c r="X4678" s="2"/>
      <c r="Y4678" s="2"/>
    </row>
    <row r="4679" spans="1:25" x14ac:dyDescent="0.2">
      <c r="A4679">
        <v>610</v>
      </c>
      <c r="B4679" t="s">
        <v>8793</v>
      </c>
      <c r="C4679" t="s">
        <v>18</v>
      </c>
      <c r="D4679" t="s">
        <v>7269</v>
      </c>
      <c r="E4679" t="s">
        <v>7270</v>
      </c>
      <c r="F4679" t="s">
        <v>78</v>
      </c>
      <c r="G4679" t="s">
        <v>88</v>
      </c>
      <c r="I4679" t="b">
        <v>1</v>
      </c>
      <c r="J4679" t="b">
        <v>1</v>
      </c>
      <c r="L4679" t="b">
        <v>1</v>
      </c>
      <c r="M4679" t="str">
        <f>HYPERLINK("https://arizona.app.box.com/file/389174356940")</f>
        <v>https://arizona.app.box.com/file/389174356940</v>
      </c>
      <c r="N4679" t="str">
        <f>HYPERLINK("https://arizona.app.box.com/file/386214204584")</f>
        <v>https://arizona.app.box.com/file/386214204584</v>
      </c>
    </row>
    <row r="4680" spans="1:25" x14ac:dyDescent="0.2">
      <c r="A4680">
        <v>611</v>
      </c>
      <c r="B4680" t="s">
        <v>8793</v>
      </c>
      <c r="C4680" t="s">
        <v>18</v>
      </c>
      <c r="D4680" t="s">
        <v>7273</v>
      </c>
      <c r="E4680" t="s">
        <v>4040</v>
      </c>
      <c r="F4680" t="s">
        <v>78</v>
      </c>
      <c r="G4680" t="s">
        <v>88</v>
      </c>
      <c r="I4680" t="b">
        <v>1</v>
      </c>
      <c r="J4680" t="b">
        <v>1</v>
      </c>
      <c r="L4680" t="b">
        <v>1</v>
      </c>
      <c r="M4680" t="str">
        <f>HYPERLINK("https://arizona.app.box.com/file/389177027762")</f>
        <v>https://arizona.app.box.com/file/389177027762</v>
      </c>
      <c r="N4680" t="str">
        <f>HYPERLINK("https://arizona.app.box.com/file/386243719743")</f>
        <v>https://arizona.app.box.com/file/386243719743</v>
      </c>
    </row>
    <row r="4681" spans="1:25" x14ac:dyDescent="0.2">
      <c r="A4681">
        <v>612</v>
      </c>
      <c r="B4681" t="s">
        <v>8793</v>
      </c>
      <c r="C4681" t="s">
        <v>18</v>
      </c>
      <c r="D4681" t="s">
        <v>7264</v>
      </c>
      <c r="E4681" t="s">
        <v>7265</v>
      </c>
      <c r="F4681" t="s">
        <v>78</v>
      </c>
      <c r="G4681" t="s">
        <v>88</v>
      </c>
      <c r="I4681" t="b">
        <v>0</v>
      </c>
      <c r="J4681" t="b">
        <v>0</v>
      </c>
      <c r="L4681" t="b">
        <v>0</v>
      </c>
      <c r="M4681" t="str">
        <f>HYPERLINK("https://arizona.app.box.com/file/389153261120")</f>
        <v>https://arizona.app.box.com/file/389153261120</v>
      </c>
      <c r="N4681" t="str">
        <f>HYPERLINK("https://arizona.app.box.com/file/389267817818")</f>
        <v>https://arizona.app.box.com/file/389267817818</v>
      </c>
      <c r="O4681" t="str">
        <f>HYPERLINK("https://arizona.app.box.com/file/389140789710")</f>
        <v>https://arizona.app.box.com/file/389140789710</v>
      </c>
    </row>
    <row r="4682" spans="1:25" x14ac:dyDescent="0.2">
      <c r="A4682">
        <v>613</v>
      </c>
      <c r="B4682" t="s">
        <v>8793</v>
      </c>
      <c r="C4682" t="s">
        <v>18</v>
      </c>
      <c r="D4682" t="s">
        <v>7278</v>
      </c>
      <c r="E4682" t="s">
        <v>7279</v>
      </c>
      <c r="F4682" t="s">
        <v>78</v>
      </c>
      <c r="G4682" t="s">
        <v>88</v>
      </c>
      <c r="I4682" t="b">
        <v>0</v>
      </c>
      <c r="J4682" t="b">
        <v>0</v>
      </c>
      <c r="L4682" t="b">
        <v>0</v>
      </c>
      <c r="M4682" t="str">
        <f>HYPERLINK("https://arizona.app.box.com/file/386219166385")</f>
        <v>https://arizona.app.box.com/file/386219166385</v>
      </c>
    </row>
    <row r="4683" spans="1:25" x14ac:dyDescent="0.2">
      <c r="A4683">
        <v>614</v>
      </c>
      <c r="B4683" t="s">
        <v>8793</v>
      </c>
      <c r="C4683" t="s">
        <v>18</v>
      </c>
      <c r="D4683" t="s">
        <v>7388</v>
      </c>
      <c r="E4683" t="s">
        <v>7389</v>
      </c>
      <c r="F4683" t="s">
        <v>78</v>
      </c>
      <c r="G4683" t="s">
        <v>88</v>
      </c>
      <c r="I4683" t="b">
        <v>0</v>
      </c>
      <c r="J4683" t="b">
        <v>0</v>
      </c>
      <c r="L4683" t="b">
        <v>0</v>
      </c>
      <c r="M4683" t="str">
        <f>HYPERLINK("https://arizona.app.box.com/file/386242975896")</f>
        <v>https://arizona.app.box.com/file/386242975896</v>
      </c>
      <c r="N4683" t="str">
        <f>HYPERLINK("https://arizona.app.box.com/file/386246500278")</f>
        <v>https://arizona.app.box.com/file/386246500278</v>
      </c>
    </row>
    <row r="4685" spans="1:25" x14ac:dyDescent="0.2">
      <c r="A4685" s="2">
        <v>546</v>
      </c>
      <c r="B4685" s="2" t="s">
        <v>8795</v>
      </c>
      <c r="C4685" s="2" t="s">
        <v>13</v>
      </c>
      <c r="D4685" s="2" t="s">
        <v>8796</v>
      </c>
      <c r="E4685" s="2" t="s">
        <v>8797</v>
      </c>
      <c r="F4685" s="2" t="s">
        <v>168</v>
      </c>
      <c r="G4685" s="2" t="s">
        <v>345</v>
      </c>
      <c r="H4685" s="2"/>
      <c r="I4685" s="2"/>
      <c r="J4685" s="2"/>
      <c r="K4685" s="2"/>
      <c r="L4685" s="2"/>
      <c r="M4685" s="2"/>
      <c r="N4685" s="2"/>
      <c r="O4685" s="2"/>
      <c r="P4685" s="2"/>
      <c r="Q4685" s="2"/>
      <c r="R4685" s="2"/>
      <c r="S4685" s="2"/>
      <c r="T4685" s="2"/>
      <c r="U4685" s="2"/>
      <c r="V4685" s="2"/>
      <c r="W4685" s="2"/>
      <c r="X4685" s="2"/>
      <c r="Y4685" s="2"/>
    </row>
    <row r="4686" spans="1:25" x14ac:dyDescent="0.2">
      <c r="A4686">
        <v>547</v>
      </c>
      <c r="B4686" t="s">
        <v>8795</v>
      </c>
      <c r="C4686" t="s">
        <v>18</v>
      </c>
      <c r="D4686" t="s">
        <v>8798</v>
      </c>
      <c r="E4686" t="s">
        <v>8799</v>
      </c>
      <c r="F4686" t="s">
        <v>168</v>
      </c>
      <c r="G4686" t="s">
        <v>345</v>
      </c>
      <c r="I4686" t="b">
        <v>1</v>
      </c>
      <c r="J4686" t="b">
        <v>1</v>
      </c>
      <c r="L4686" t="b">
        <v>1</v>
      </c>
      <c r="M4686" t="str">
        <f>HYPERLINK("https://arizona.app.box.com/file/389174210904")</f>
        <v>https://arizona.app.box.com/file/389174210904</v>
      </c>
      <c r="N4686" t="str">
        <f>HYPERLINK("https://arizona.app.box.com/file/386225842668")</f>
        <v>https://arizona.app.box.com/file/386225842668</v>
      </c>
    </row>
    <row r="4687" spans="1:25" x14ac:dyDescent="0.2">
      <c r="A4687">
        <v>548</v>
      </c>
      <c r="B4687" t="s">
        <v>8795</v>
      </c>
      <c r="C4687" t="s">
        <v>18</v>
      </c>
      <c r="D4687" t="s">
        <v>1969</v>
      </c>
      <c r="E4687" t="s">
        <v>1970</v>
      </c>
      <c r="F4687" t="s">
        <v>45</v>
      </c>
      <c r="G4687" t="s">
        <v>17</v>
      </c>
      <c r="I4687" t="b">
        <v>0</v>
      </c>
      <c r="J4687" t="b">
        <v>0</v>
      </c>
      <c r="L4687" t="b">
        <v>0</v>
      </c>
      <c r="M4687" t="str">
        <f>HYPERLINK("https://arizona.app.box.com/file/389172482052")</f>
        <v>https://arizona.app.box.com/file/389172482052</v>
      </c>
      <c r="N4687" t="str">
        <f>HYPERLINK("https://arizona.app.box.com/file/386248652334")</f>
        <v>https://arizona.app.box.com/file/386248652334</v>
      </c>
    </row>
    <row r="4688" spans="1:25" x14ac:dyDescent="0.2">
      <c r="A4688">
        <v>549</v>
      </c>
      <c r="B4688" t="s">
        <v>8795</v>
      </c>
      <c r="C4688" t="s">
        <v>18</v>
      </c>
      <c r="D4688" t="s">
        <v>5291</v>
      </c>
      <c r="E4688" t="s">
        <v>4483</v>
      </c>
      <c r="F4688" t="s">
        <v>248</v>
      </c>
      <c r="G4688" t="s">
        <v>345</v>
      </c>
      <c r="I4688" t="b">
        <v>0</v>
      </c>
      <c r="J4688" t="b">
        <v>0</v>
      </c>
      <c r="L4688" t="b">
        <v>0</v>
      </c>
      <c r="M4688" t="str">
        <f>HYPERLINK("https://arizona.app.box.com/file/389170033649")</f>
        <v>https://arizona.app.box.com/file/389170033649</v>
      </c>
    </row>
    <row r="4689" spans="1:25" x14ac:dyDescent="0.2">
      <c r="A4689">
        <v>550</v>
      </c>
      <c r="B4689" t="s">
        <v>8795</v>
      </c>
      <c r="C4689" t="s">
        <v>18</v>
      </c>
      <c r="D4689" t="s">
        <v>8800</v>
      </c>
      <c r="E4689" t="s">
        <v>1541</v>
      </c>
      <c r="F4689" t="s">
        <v>78</v>
      </c>
      <c r="G4689" t="s">
        <v>345</v>
      </c>
      <c r="I4689" t="b">
        <v>0</v>
      </c>
      <c r="J4689" t="b">
        <v>0</v>
      </c>
      <c r="L4689" t="b">
        <v>0</v>
      </c>
      <c r="M4689" t="str">
        <f>HYPERLINK("https://arizona.app.box.com/file/389262471050")</f>
        <v>https://arizona.app.box.com/file/389262471050</v>
      </c>
      <c r="N4689" t="str">
        <f>HYPERLINK("https://arizona.app.box.com/file/389138159639")</f>
        <v>https://arizona.app.box.com/file/389138159639</v>
      </c>
    </row>
    <row r="4690" spans="1:25" x14ac:dyDescent="0.2">
      <c r="A4690">
        <v>551</v>
      </c>
      <c r="B4690" t="s">
        <v>8795</v>
      </c>
      <c r="C4690" t="s">
        <v>18</v>
      </c>
      <c r="D4690" t="s">
        <v>3859</v>
      </c>
      <c r="E4690" t="s">
        <v>3860</v>
      </c>
      <c r="F4690" t="s">
        <v>785</v>
      </c>
      <c r="G4690" t="s">
        <v>134</v>
      </c>
      <c r="I4690" t="b">
        <v>0</v>
      </c>
      <c r="J4690" t="b">
        <v>0</v>
      </c>
      <c r="L4690" t="b">
        <v>0</v>
      </c>
      <c r="M4690" t="str">
        <f>HYPERLINK("https://arizona.app.box.com/file/389261770729")</f>
        <v>https://arizona.app.box.com/file/389261770729</v>
      </c>
      <c r="N4690" t="str">
        <f>HYPERLINK("https://arizona.app.box.com/file/389164439225")</f>
        <v>https://arizona.app.box.com/file/389164439225</v>
      </c>
    </row>
    <row r="4692" spans="1:25" x14ac:dyDescent="0.2">
      <c r="A4692" s="2">
        <v>4634</v>
      </c>
      <c r="B4692" s="2" t="s">
        <v>8801</v>
      </c>
      <c r="C4692" s="2" t="s">
        <v>13</v>
      </c>
      <c r="D4692" s="2" t="s">
        <v>8802</v>
      </c>
      <c r="E4692" s="2" t="s">
        <v>8803</v>
      </c>
      <c r="F4692" s="2" t="s">
        <v>248</v>
      </c>
      <c r="G4692" s="2" t="s">
        <v>252</v>
      </c>
      <c r="H4692" s="2"/>
      <c r="I4692" s="2"/>
      <c r="J4692" s="2"/>
      <c r="K4692" s="2"/>
      <c r="L4692" s="2"/>
      <c r="M4692" s="2"/>
      <c r="N4692" s="2"/>
      <c r="O4692" s="2"/>
      <c r="P4692" s="2"/>
      <c r="Q4692" s="2"/>
      <c r="R4692" s="2"/>
      <c r="S4692" s="2"/>
      <c r="T4692" s="2"/>
      <c r="U4692" s="2"/>
      <c r="V4692" s="2"/>
      <c r="W4692" s="2"/>
      <c r="X4692" s="2"/>
      <c r="Y4692" s="2"/>
    </row>
    <row r="4693" spans="1:25" x14ac:dyDescent="0.2">
      <c r="A4693">
        <v>4635</v>
      </c>
      <c r="B4693" t="s">
        <v>8801</v>
      </c>
      <c r="C4693" t="s">
        <v>18</v>
      </c>
      <c r="D4693" t="s">
        <v>8802</v>
      </c>
      <c r="E4693" t="s">
        <v>8803</v>
      </c>
      <c r="F4693" t="s">
        <v>248</v>
      </c>
      <c r="G4693" t="s">
        <v>252</v>
      </c>
      <c r="I4693" t="b">
        <v>1</v>
      </c>
      <c r="J4693" t="b">
        <v>1</v>
      </c>
      <c r="L4693" t="b">
        <v>1</v>
      </c>
      <c r="M4693" t="str">
        <f>HYPERLINK("https://arizona.app.box.com/file/386218650274")</f>
        <v>https://arizona.app.box.com/file/386218650274</v>
      </c>
      <c r="N4693" t="str">
        <f>HYPERLINK("https://arizona.app.box.com/file/386242495648")</f>
        <v>https://arizona.app.box.com/file/386242495648</v>
      </c>
    </row>
    <row r="4694" spans="1:25" x14ac:dyDescent="0.2">
      <c r="A4694">
        <v>4636</v>
      </c>
      <c r="B4694" t="s">
        <v>8801</v>
      </c>
      <c r="C4694" t="s">
        <v>18</v>
      </c>
      <c r="D4694" t="s">
        <v>1802</v>
      </c>
      <c r="E4694" t="s">
        <v>1803</v>
      </c>
      <c r="F4694" t="s">
        <v>248</v>
      </c>
      <c r="G4694" t="s">
        <v>252</v>
      </c>
      <c r="I4694" t="b">
        <v>0</v>
      </c>
      <c r="J4694" t="b">
        <v>0</v>
      </c>
      <c r="L4694" t="b">
        <v>0</v>
      </c>
    </row>
    <row r="4695" spans="1:25" x14ac:dyDescent="0.2">
      <c r="A4695">
        <v>4637</v>
      </c>
      <c r="B4695" t="s">
        <v>8801</v>
      </c>
      <c r="C4695" t="s">
        <v>18</v>
      </c>
      <c r="D4695" t="s">
        <v>8804</v>
      </c>
      <c r="E4695" t="s">
        <v>8805</v>
      </c>
      <c r="F4695" t="s">
        <v>248</v>
      </c>
      <c r="G4695" t="s">
        <v>252</v>
      </c>
      <c r="I4695" t="b">
        <v>0</v>
      </c>
      <c r="J4695" t="b">
        <v>0</v>
      </c>
      <c r="L4695" t="b">
        <v>0</v>
      </c>
    </row>
    <row r="4696" spans="1:25" x14ac:dyDescent="0.2">
      <c r="A4696">
        <v>4638</v>
      </c>
      <c r="B4696" t="s">
        <v>8801</v>
      </c>
      <c r="C4696" t="s">
        <v>18</v>
      </c>
      <c r="D4696" t="s">
        <v>8806</v>
      </c>
      <c r="E4696" t="s">
        <v>455</v>
      </c>
      <c r="F4696" t="s">
        <v>248</v>
      </c>
      <c r="G4696" t="s">
        <v>252</v>
      </c>
      <c r="I4696" t="b">
        <v>0</v>
      </c>
      <c r="J4696" t="b">
        <v>0</v>
      </c>
      <c r="L4696" t="b">
        <v>0</v>
      </c>
      <c r="M4696" t="str">
        <f>HYPERLINK("https://arizona.app.box.com/file/386247812345")</f>
        <v>https://arizona.app.box.com/file/386247812345</v>
      </c>
    </row>
    <row r="4697" spans="1:25" x14ac:dyDescent="0.2">
      <c r="A4697">
        <v>4639</v>
      </c>
      <c r="B4697" t="s">
        <v>8801</v>
      </c>
      <c r="C4697" t="s">
        <v>18</v>
      </c>
      <c r="D4697" t="s">
        <v>8807</v>
      </c>
      <c r="E4697" t="s">
        <v>301</v>
      </c>
      <c r="F4697" t="s">
        <v>248</v>
      </c>
      <c r="G4697" t="s">
        <v>252</v>
      </c>
      <c r="I4697" t="b">
        <v>0</v>
      </c>
      <c r="J4697" t="b">
        <v>0</v>
      </c>
      <c r="L4697" t="b">
        <v>0</v>
      </c>
      <c r="M4697" t="str">
        <f>HYPERLINK("https://arizona.app.box.com/file/386247007438")</f>
        <v>https://arizona.app.box.com/file/386247007438</v>
      </c>
    </row>
    <row r="4699" spans="1:25" x14ac:dyDescent="0.2">
      <c r="A4699" s="2">
        <v>5313</v>
      </c>
      <c r="B4699" s="2" t="s">
        <v>8808</v>
      </c>
      <c r="C4699" s="2" t="s">
        <v>13</v>
      </c>
      <c r="D4699" s="2" t="s">
        <v>8809</v>
      </c>
      <c r="E4699" s="2" t="s">
        <v>788</v>
      </c>
      <c r="F4699" s="2" t="s">
        <v>151</v>
      </c>
      <c r="G4699" s="2" t="s">
        <v>24</v>
      </c>
      <c r="H4699" s="2"/>
      <c r="I4699" s="2"/>
      <c r="J4699" s="2"/>
      <c r="K4699" s="2"/>
      <c r="L4699" s="2"/>
      <c r="M4699" s="2"/>
      <c r="N4699" s="2"/>
      <c r="O4699" s="2"/>
      <c r="P4699" s="2"/>
      <c r="Q4699" s="2"/>
      <c r="R4699" s="2"/>
      <c r="S4699" s="2"/>
      <c r="T4699" s="2"/>
      <c r="U4699" s="2"/>
      <c r="V4699" s="2"/>
      <c r="W4699" s="2"/>
      <c r="X4699" s="2"/>
      <c r="Y4699" s="2"/>
    </row>
    <row r="4700" spans="1:25" x14ac:dyDescent="0.2">
      <c r="A4700">
        <v>5314</v>
      </c>
      <c r="B4700" t="s">
        <v>8808</v>
      </c>
      <c r="C4700" t="s">
        <v>18</v>
      </c>
      <c r="D4700" t="s">
        <v>8809</v>
      </c>
      <c r="E4700" t="s">
        <v>4758</v>
      </c>
      <c r="F4700" t="s">
        <v>151</v>
      </c>
      <c r="G4700" t="s">
        <v>24</v>
      </c>
      <c r="I4700" t="b">
        <v>1</v>
      </c>
      <c r="J4700" t="b">
        <v>1</v>
      </c>
      <c r="L4700" t="b">
        <v>1</v>
      </c>
      <c r="M4700" t="str">
        <f>HYPERLINK("https://arizona.app.box.com/file/386212826616")</f>
        <v>https://arizona.app.box.com/file/386212826616</v>
      </c>
    </row>
    <row r="4701" spans="1:25" x14ac:dyDescent="0.2">
      <c r="A4701">
        <v>5315</v>
      </c>
      <c r="B4701" t="s">
        <v>8808</v>
      </c>
      <c r="C4701" t="s">
        <v>18</v>
      </c>
      <c r="D4701" t="s">
        <v>8810</v>
      </c>
      <c r="E4701" t="s">
        <v>371</v>
      </c>
      <c r="F4701" t="s">
        <v>151</v>
      </c>
      <c r="G4701" t="s">
        <v>24</v>
      </c>
      <c r="I4701" t="b">
        <v>1</v>
      </c>
      <c r="J4701" t="b">
        <v>1</v>
      </c>
      <c r="L4701" t="b">
        <v>1</v>
      </c>
      <c r="M4701" t="str">
        <f>HYPERLINK("https://arizona.app.box.com/file/386244127017")</f>
        <v>https://arizona.app.box.com/file/386244127017</v>
      </c>
    </row>
    <row r="4702" spans="1:25" x14ac:dyDescent="0.2">
      <c r="A4702">
        <v>5316</v>
      </c>
      <c r="B4702" t="s">
        <v>8808</v>
      </c>
      <c r="C4702" t="s">
        <v>18</v>
      </c>
      <c r="D4702" t="s">
        <v>7429</v>
      </c>
      <c r="E4702" t="s">
        <v>7430</v>
      </c>
      <c r="F4702" t="s">
        <v>151</v>
      </c>
      <c r="G4702" t="s">
        <v>24</v>
      </c>
      <c r="I4702" t="b">
        <v>0</v>
      </c>
      <c r="J4702" t="b">
        <v>0</v>
      </c>
      <c r="L4702" t="b">
        <v>0</v>
      </c>
      <c r="M4702" t="str">
        <f>HYPERLINK("https://arizona.app.box.com/file/386244537962")</f>
        <v>https://arizona.app.box.com/file/386244537962</v>
      </c>
    </row>
    <row r="4703" spans="1:25" x14ac:dyDescent="0.2">
      <c r="A4703">
        <v>5317</v>
      </c>
      <c r="B4703" t="s">
        <v>8808</v>
      </c>
      <c r="C4703" t="s">
        <v>18</v>
      </c>
      <c r="D4703" t="s">
        <v>8811</v>
      </c>
      <c r="E4703" t="s">
        <v>8812</v>
      </c>
      <c r="F4703" t="s">
        <v>151</v>
      </c>
      <c r="G4703" t="s">
        <v>24</v>
      </c>
      <c r="I4703" t="b">
        <v>0</v>
      </c>
      <c r="J4703" t="b">
        <v>0</v>
      </c>
      <c r="L4703" t="b">
        <v>0</v>
      </c>
      <c r="M4703" t="str">
        <f>HYPERLINK("https://arizona.app.box.com/file/386242022684")</f>
        <v>https://arizona.app.box.com/file/386242022684</v>
      </c>
    </row>
    <row r="4704" spans="1:25" x14ac:dyDescent="0.2">
      <c r="A4704">
        <v>5318</v>
      </c>
      <c r="B4704" t="s">
        <v>8808</v>
      </c>
      <c r="C4704" t="s">
        <v>18</v>
      </c>
      <c r="D4704" t="s">
        <v>8813</v>
      </c>
      <c r="E4704" t="s">
        <v>8814</v>
      </c>
      <c r="F4704" t="s">
        <v>670</v>
      </c>
      <c r="G4704" t="s">
        <v>24</v>
      </c>
      <c r="I4704" t="b">
        <v>0</v>
      </c>
      <c r="J4704" t="b">
        <v>0</v>
      </c>
      <c r="L4704" t="b">
        <v>0</v>
      </c>
      <c r="M4704" t="str">
        <f>HYPERLINK("https://arizona.app.box.com/file/386227254978")</f>
        <v>https://arizona.app.box.com/file/386227254978</v>
      </c>
    </row>
    <row r="4706" spans="1:25" x14ac:dyDescent="0.2">
      <c r="A4706" s="2">
        <v>3759</v>
      </c>
      <c r="B4706" s="2" t="s">
        <v>8815</v>
      </c>
      <c r="C4706" s="2" t="s">
        <v>13</v>
      </c>
      <c r="D4706" s="2" t="s">
        <v>8816</v>
      </c>
      <c r="E4706" s="2" t="s">
        <v>8817</v>
      </c>
      <c r="F4706" s="2" t="s">
        <v>78</v>
      </c>
      <c r="G4706" s="2" t="s">
        <v>130</v>
      </c>
      <c r="H4706" s="2"/>
      <c r="I4706" s="2"/>
      <c r="J4706" s="2"/>
      <c r="K4706" s="2"/>
      <c r="L4706" s="2"/>
      <c r="M4706" s="2"/>
      <c r="N4706" s="2"/>
      <c r="O4706" s="2"/>
      <c r="P4706" s="2"/>
      <c r="Q4706" s="2"/>
      <c r="R4706" s="2"/>
      <c r="S4706" s="2"/>
      <c r="T4706" s="2"/>
      <c r="U4706" s="2"/>
      <c r="V4706" s="2"/>
      <c r="W4706" s="2"/>
      <c r="X4706" s="2"/>
      <c r="Y4706" s="2"/>
    </row>
    <row r="4707" spans="1:25" x14ac:dyDescent="0.2">
      <c r="A4707">
        <v>3760</v>
      </c>
      <c r="B4707" t="s">
        <v>8815</v>
      </c>
      <c r="C4707" t="s">
        <v>18</v>
      </c>
      <c r="D4707" t="s">
        <v>8816</v>
      </c>
      <c r="E4707" t="s">
        <v>8817</v>
      </c>
      <c r="F4707" t="s">
        <v>78</v>
      </c>
      <c r="G4707" t="s">
        <v>130</v>
      </c>
      <c r="I4707" t="b">
        <v>1</v>
      </c>
      <c r="J4707" t="b">
        <v>1</v>
      </c>
      <c r="L4707" t="b">
        <v>1</v>
      </c>
      <c r="M4707" t="str">
        <f>HYPERLINK("https://arizona.app.box.com/file/386227867409")</f>
        <v>https://arizona.app.box.com/file/386227867409</v>
      </c>
      <c r="N4707" t="str">
        <f>HYPERLINK("https://arizona.app.box.com/file/386217876155")</f>
        <v>https://arizona.app.box.com/file/386217876155</v>
      </c>
    </row>
    <row r="4708" spans="1:25" x14ac:dyDescent="0.2">
      <c r="A4708">
        <v>3761</v>
      </c>
      <c r="B4708" t="s">
        <v>8815</v>
      </c>
      <c r="C4708" t="s">
        <v>18</v>
      </c>
      <c r="D4708" t="s">
        <v>6208</v>
      </c>
      <c r="E4708" t="s">
        <v>6209</v>
      </c>
      <c r="F4708" t="s">
        <v>78</v>
      </c>
      <c r="G4708" t="s">
        <v>17</v>
      </c>
      <c r="I4708" t="b">
        <v>0</v>
      </c>
      <c r="J4708" t="b">
        <v>0</v>
      </c>
      <c r="L4708" t="b">
        <v>0</v>
      </c>
    </row>
    <row r="4709" spans="1:25" x14ac:dyDescent="0.2">
      <c r="A4709">
        <v>3762</v>
      </c>
      <c r="B4709" t="s">
        <v>8815</v>
      </c>
      <c r="C4709" t="s">
        <v>18</v>
      </c>
      <c r="D4709" t="s">
        <v>8818</v>
      </c>
      <c r="E4709" t="s">
        <v>8819</v>
      </c>
      <c r="F4709" t="s">
        <v>78</v>
      </c>
      <c r="G4709" t="s">
        <v>252</v>
      </c>
      <c r="I4709" t="b">
        <v>0</v>
      </c>
      <c r="J4709" t="b">
        <v>0</v>
      </c>
      <c r="L4709" t="b">
        <v>0</v>
      </c>
      <c r="M4709" t="str">
        <f>HYPERLINK("https://arizona.app.box.com/file/386244999084")</f>
        <v>https://arizona.app.box.com/file/386244999084</v>
      </c>
      <c r="N4709" t="str">
        <f>HYPERLINK("https://arizona.app.box.com/file/386241113911")</f>
        <v>https://arizona.app.box.com/file/386241113911</v>
      </c>
    </row>
    <row r="4710" spans="1:25" x14ac:dyDescent="0.2">
      <c r="A4710">
        <v>3763</v>
      </c>
      <c r="B4710" t="s">
        <v>8815</v>
      </c>
      <c r="C4710" t="s">
        <v>18</v>
      </c>
      <c r="D4710" t="s">
        <v>8820</v>
      </c>
      <c r="E4710" t="s">
        <v>8821</v>
      </c>
      <c r="F4710" t="s">
        <v>78</v>
      </c>
      <c r="G4710" t="s">
        <v>17</v>
      </c>
      <c r="I4710" t="b">
        <v>0</v>
      </c>
      <c r="J4710" t="b">
        <v>0</v>
      </c>
      <c r="L4710" t="b">
        <v>0</v>
      </c>
    </row>
    <row r="4711" spans="1:25" x14ac:dyDescent="0.2">
      <c r="A4711">
        <v>3764</v>
      </c>
      <c r="B4711" t="s">
        <v>8815</v>
      </c>
      <c r="C4711" t="s">
        <v>18</v>
      </c>
      <c r="D4711" t="s">
        <v>8822</v>
      </c>
      <c r="E4711" t="s">
        <v>8823</v>
      </c>
      <c r="F4711" t="s">
        <v>78</v>
      </c>
      <c r="G4711" t="s">
        <v>130</v>
      </c>
      <c r="I4711" t="b">
        <v>0</v>
      </c>
      <c r="J4711" t="b">
        <v>0</v>
      </c>
      <c r="L4711" t="b">
        <v>0</v>
      </c>
      <c r="M4711" t="str">
        <f>HYPERLINK("https://arizona.app.box.com/file/386240960753")</f>
        <v>https://arizona.app.box.com/file/386240960753</v>
      </c>
      <c r="N4711" t="str">
        <f>HYPERLINK("https://arizona.app.box.com/file/386237965058")</f>
        <v>https://arizona.app.box.com/file/386237965058</v>
      </c>
    </row>
    <row r="4713" spans="1:25" x14ac:dyDescent="0.2">
      <c r="A4713" s="2">
        <v>6027</v>
      </c>
      <c r="B4713" s="2" t="s">
        <v>8824</v>
      </c>
      <c r="C4713" s="2" t="s">
        <v>13</v>
      </c>
      <c r="D4713" s="2" t="s">
        <v>4482</v>
      </c>
      <c r="E4713" s="2" t="s">
        <v>8825</v>
      </c>
      <c r="F4713" s="2" t="s">
        <v>78</v>
      </c>
      <c r="G4713" s="2" t="s">
        <v>252</v>
      </c>
      <c r="H4713" s="2"/>
      <c r="I4713" s="2"/>
      <c r="J4713" s="2"/>
      <c r="K4713" s="2"/>
      <c r="L4713" s="2"/>
      <c r="M4713" s="2"/>
      <c r="N4713" s="2"/>
      <c r="O4713" s="2"/>
      <c r="P4713" s="2"/>
      <c r="Q4713" s="2"/>
      <c r="R4713" s="2"/>
      <c r="S4713" s="2"/>
      <c r="T4713" s="2"/>
      <c r="U4713" s="2"/>
      <c r="V4713" s="2"/>
      <c r="W4713" s="2"/>
      <c r="X4713" s="2"/>
      <c r="Y4713" s="2"/>
    </row>
    <row r="4714" spans="1:25" x14ac:dyDescent="0.2">
      <c r="A4714">
        <v>6028</v>
      </c>
      <c r="B4714" t="s">
        <v>8824</v>
      </c>
      <c r="C4714" t="s">
        <v>18</v>
      </c>
      <c r="D4714" t="s">
        <v>4482</v>
      </c>
      <c r="E4714" t="s">
        <v>4483</v>
      </c>
      <c r="F4714" t="s">
        <v>78</v>
      </c>
      <c r="G4714" t="s">
        <v>252</v>
      </c>
      <c r="I4714" t="b">
        <v>1</v>
      </c>
      <c r="J4714" t="b">
        <v>1</v>
      </c>
      <c r="L4714" t="b">
        <v>1</v>
      </c>
      <c r="M4714" t="str">
        <f>HYPERLINK("https://arizona.app.box.com/file/389170795475")</f>
        <v>https://arizona.app.box.com/file/389170795475</v>
      </c>
    </row>
    <row r="4715" spans="1:25" x14ac:dyDescent="0.2">
      <c r="A4715">
        <v>6029</v>
      </c>
      <c r="B4715" t="s">
        <v>8824</v>
      </c>
      <c r="C4715" t="s">
        <v>18</v>
      </c>
      <c r="D4715" t="s">
        <v>8514</v>
      </c>
      <c r="E4715" t="s">
        <v>8491</v>
      </c>
      <c r="F4715" t="s">
        <v>122</v>
      </c>
      <c r="G4715" t="s">
        <v>17</v>
      </c>
      <c r="I4715" t="b">
        <v>0</v>
      </c>
      <c r="J4715" t="b">
        <v>0</v>
      </c>
      <c r="L4715" t="b">
        <v>0</v>
      </c>
      <c r="M4715" t="str">
        <f>HYPERLINK("https://arizona.app.box.com/file/389268401542")</f>
        <v>https://arizona.app.box.com/file/389268401542</v>
      </c>
      <c r="N4715" t="str">
        <f>HYPERLINK("https://arizona.app.box.com/file/389172580228")</f>
        <v>https://arizona.app.box.com/file/389172580228</v>
      </c>
      <c r="O4715" t="str">
        <f>HYPERLINK("https://arizona.app.box.com/file/389169342449")</f>
        <v>https://arizona.app.box.com/file/389169342449</v>
      </c>
    </row>
    <row r="4716" spans="1:25" x14ac:dyDescent="0.2">
      <c r="A4716">
        <v>6030</v>
      </c>
      <c r="B4716" t="s">
        <v>8824</v>
      </c>
      <c r="C4716" t="s">
        <v>18</v>
      </c>
      <c r="D4716" t="s">
        <v>4475</v>
      </c>
      <c r="E4716" t="s">
        <v>4476</v>
      </c>
      <c r="F4716" t="s">
        <v>270</v>
      </c>
      <c r="G4716" t="s">
        <v>252</v>
      </c>
      <c r="I4716" t="b">
        <v>0</v>
      </c>
      <c r="J4716" t="b">
        <v>0</v>
      </c>
      <c r="L4716" t="b">
        <v>0</v>
      </c>
      <c r="M4716" t="str">
        <f>HYPERLINK("https://arizona.app.box.com/file/386245024003")</f>
        <v>https://arizona.app.box.com/file/386245024003</v>
      </c>
      <c r="N4716" t="str">
        <f>HYPERLINK("https://arizona.app.box.com/file/386241113911")</f>
        <v>https://arizona.app.box.com/file/386241113911</v>
      </c>
    </row>
    <row r="4717" spans="1:25" x14ac:dyDescent="0.2">
      <c r="A4717">
        <v>6031</v>
      </c>
      <c r="B4717" t="s">
        <v>8824</v>
      </c>
      <c r="C4717" t="s">
        <v>18</v>
      </c>
      <c r="D4717" t="s">
        <v>8138</v>
      </c>
      <c r="E4717" t="s">
        <v>8137</v>
      </c>
      <c r="F4717" t="s">
        <v>31</v>
      </c>
      <c r="G4717" t="s">
        <v>917</v>
      </c>
      <c r="I4717" t="b">
        <v>0</v>
      </c>
      <c r="J4717" t="b">
        <v>0</v>
      </c>
      <c r="L4717" t="b">
        <v>0</v>
      </c>
      <c r="M4717" t="str">
        <f>HYPERLINK("https://arizona.app.box.com/file/389268158507")</f>
        <v>https://arizona.app.box.com/file/389268158507</v>
      </c>
      <c r="N4717" t="str">
        <f>HYPERLINK("https://arizona.app.box.com/file/389152871591")</f>
        <v>https://arizona.app.box.com/file/389152871591</v>
      </c>
      <c r="O4717" t="str">
        <f>HYPERLINK("https://arizona.app.box.com/file/389264981622")</f>
        <v>https://arizona.app.box.com/file/389264981622</v>
      </c>
      <c r="P4717" t="str">
        <f>HYPERLINK("https://arizona.app.box.com/file/389164863661")</f>
        <v>https://arizona.app.box.com/file/389164863661</v>
      </c>
    </row>
    <row r="4718" spans="1:25" x14ac:dyDescent="0.2">
      <c r="A4718">
        <v>6032</v>
      </c>
      <c r="B4718" t="s">
        <v>8824</v>
      </c>
      <c r="C4718" t="s">
        <v>18</v>
      </c>
      <c r="D4718" t="s">
        <v>8826</v>
      </c>
      <c r="E4718" t="s">
        <v>2447</v>
      </c>
      <c r="F4718" t="s">
        <v>200</v>
      </c>
      <c r="G4718" t="s">
        <v>88</v>
      </c>
      <c r="I4718" t="b">
        <v>0</v>
      </c>
      <c r="J4718" t="b">
        <v>0</v>
      </c>
      <c r="L4718" t="b">
        <v>0</v>
      </c>
      <c r="M4718" t="str">
        <f>HYPERLINK("https://arizona.app.box.com/file/386242934837")</f>
        <v>https://arizona.app.box.com/file/386242934837</v>
      </c>
    </row>
    <row r="4720" spans="1:25" x14ac:dyDescent="0.2">
      <c r="A4720" s="2">
        <v>5915</v>
      </c>
      <c r="B4720" s="2" t="s">
        <v>8827</v>
      </c>
      <c r="C4720" s="2" t="s">
        <v>13</v>
      </c>
      <c r="D4720" s="2" t="s">
        <v>8828</v>
      </c>
      <c r="E4720" s="2" t="s">
        <v>8829</v>
      </c>
      <c r="F4720" s="2" t="s">
        <v>670</v>
      </c>
      <c r="G4720" s="2" t="s">
        <v>1047</v>
      </c>
      <c r="H4720" s="2"/>
      <c r="I4720" s="2"/>
      <c r="J4720" s="2"/>
      <c r="K4720" s="2"/>
      <c r="L4720" s="2"/>
      <c r="M4720" s="2"/>
      <c r="N4720" s="2"/>
      <c r="O4720" s="2"/>
      <c r="P4720" s="2"/>
      <c r="Q4720" s="2"/>
      <c r="R4720" s="2"/>
      <c r="S4720" s="2"/>
      <c r="T4720" s="2"/>
      <c r="U4720" s="2"/>
      <c r="V4720" s="2"/>
      <c r="W4720" s="2"/>
      <c r="X4720" s="2"/>
      <c r="Y4720" s="2"/>
    </row>
    <row r="4721" spans="1:25" x14ac:dyDescent="0.2">
      <c r="A4721">
        <v>5916</v>
      </c>
      <c r="B4721" t="s">
        <v>8827</v>
      </c>
      <c r="C4721" t="s">
        <v>18</v>
      </c>
      <c r="D4721" t="s">
        <v>7882</v>
      </c>
      <c r="E4721" t="s">
        <v>2203</v>
      </c>
      <c r="F4721" t="s">
        <v>670</v>
      </c>
      <c r="G4721" t="s">
        <v>1047</v>
      </c>
      <c r="I4721" t="b">
        <v>1</v>
      </c>
      <c r="J4721" t="b">
        <v>1</v>
      </c>
      <c r="L4721" t="b">
        <v>1</v>
      </c>
      <c r="M4721" t="str">
        <f>HYPERLINK("https://arizona.app.box.com/file/389264433683")</f>
        <v>https://arizona.app.box.com/file/389264433683</v>
      </c>
      <c r="N4721" t="str">
        <f>HYPERLINK("https://arizona.app.box.com/file/389165246328")</f>
        <v>https://arizona.app.box.com/file/389165246328</v>
      </c>
    </row>
    <row r="4722" spans="1:25" x14ac:dyDescent="0.2">
      <c r="A4722">
        <v>5917</v>
      </c>
      <c r="B4722" t="s">
        <v>8827</v>
      </c>
      <c r="C4722" t="s">
        <v>18</v>
      </c>
      <c r="D4722" t="s">
        <v>8830</v>
      </c>
      <c r="E4722" t="s">
        <v>8831</v>
      </c>
      <c r="F4722" t="s">
        <v>670</v>
      </c>
      <c r="G4722" t="s">
        <v>1047</v>
      </c>
      <c r="I4722" t="b">
        <v>1</v>
      </c>
      <c r="J4722" t="b">
        <v>1</v>
      </c>
      <c r="L4722" t="b">
        <v>1</v>
      </c>
      <c r="M4722" t="str">
        <f>HYPERLINK("https://arizona.app.box.com/file/389152864159")</f>
        <v>https://arizona.app.box.com/file/389152864159</v>
      </c>
    </row>
    <row r="4723" spans="1:25" x14ac:dyDescent="0.2">
      <c r="A4723">
        <v>5918</v>
      </c>
      <c r="B4723" t="s">
        <v>8827</v>
      </c>
      <c r="C4723" t="s">
        <v>18</v>
      </c>
      <c r="D4723" t="s">
        <v>5650</v>
      </c>
      <c r="E4723" t="s">
        <v>5651</v>
      </c>
      <c r="F4723" t="s">
        <v>670</v>
      </c>
      <c r="G4723" t="s">
        <v>24</v>
      </c>
      <c r="I4723" t="b">
        <v>0</v>
      </c>
      <c r="J4723" t="b">
        <v>0</v>
      </c>
      <c r="L4723" t="b">
        <v>0</v>
      </c>
      <c r="M4723" t="str">
        <f>HYPERLINK("https://arizona.app.box.com/file/386240294802")</f>
        <v>https://arizona.app.box.com/file/386240294802</v>
      </c>
      <c r="N4723" t="str">
        <f>HYPERLINK("https://arizona.app.box.com/file/386217135130")</f>
        <v>https://arizona.app.box.com/file/386217135130</v>
      </c>
    </row>
    <row r="4724" spans="1:25" x14ac:dyDescent="0.2">
      <c r="A4724">
        <v>5919</v>
      </c>
      <c r="B4724" t="s">
        <v>8827</v>
      </c>
      <c r="C4724" t="s">
        <v>18</v>
      </c>
      <c r="D4724" t="s">
        <v>8832</v>
      </c>
      <c r="E4724" t="s">
        <v>8833</v>
      </c>
      <c r="F4724" t="s">
        <v>151</v>
      </c>
      <c r="G4724" t="s">
        <v>24</v>
      </c>
      <c r="I4724" t="b">
        <v>0</v>
      </c>
      <c r="J4724" t="b">
        <v>0</v>
      </c>
      <c r="L4724" t="b">
        <v>0</v>
      </c>
      <c r="M4724" t="str">
        <f>HYPERLINK("https://arizona.app.box.com/file/389177940970")</f>
        <v>https://arizona.app.box.com/file/389177940970</v>
      </c>
      <c r="N4724" t="str">
        <f>HYPERLINK("https://arizona.app.box.com/file/386227430791")</f>
        <v>https://arizona.app.box.com/file/386227430791</v>
      </c>
    </row>
    <row r="4725" spans="1:25" x14ac:dyDescent="0.2">
      <c r="A4725">
        <v>5920</v>
      </c>
      <c r="B4725" t="s">
        <v>8827</v>
      </c>
      <c r="C4725" t="s">
        <v>18</v>
      </c>
      <c r="D4725" t="s">
        <v>380</v>
      </c>
      <c r="E4725" t="s">
        <v>381</v>
      </c>
      <c r="F4725" t="s">
        <v>31</v>
      </c>
      <c r="G4725" t="s">
        <v>24</v>
      </c>
      <c r="I4725" t="b">
        <v>0</v>
      </c>
      <c r="J4725" t="b">
        <v>0</v>
      </c>
      <c r="L4725" t="b">
        <v>0</v>
      </c>
      <c r="M4725" t="str">
        <f>HYPERLINK("https://arizona.app.box.com/file/389172430439")</f>
        <v>https://arizona.app.box.com/file/389172430439</v>
      </c>
      <c r="N4725" t="str">
        <f>HYPERLINK("https://arizona.app.box.com/file/386238663428")</f>
        <v>https://arizona.app.box.com/file/386238663428</v>
      </c>
    </row>
    <row r="4727" spans="1:25" x14ac:dyDescent="0.2">
      <c r="A4727" s="2">
        <v>3479</v>
      </c>
      <c r="B4727" s="2" t="s">
        <v>8834</v>
      </c>
      <c r="C4727" s="2" t="s">
        <v>13</v>
      </c>
      <c r="D4727" s="2" t="s">
        <v>8835</v>
      </c>
      <c r="E4727" s="2" t="s">
        <v>8836</v>
      </c>
      <c r="F4727" s="2" t="s">
        <v>71</v>
      </c>
      <c r="G4727" s="2" t="s">
        <v>252</v>
      </c>
      <c r="H4727" s="2"/>
      <c r="I4727" s="2"/>
      <c r="J4727" s="2"/>
      <c r="K4727" s="2"/>
      <c r="L4727" s="2"/>
      <c r="M4727" s="2"/>
      <c r="N4727" s="2"/>
      <c r="O4727" s="2"/>
      <c r="P4727" s="2"/>
      <c r="Q4727" s="2"/>
      <c r="R4727" s="2"/>
      <c r="S4727" s="2"/>
      <c r="T4727" s="2"/>
      <c r="U4727" s="2"/>
      <c r="V4727" s="2"/>
      <c r="W4727" s="2"/>
      <c r="X4727" s="2"/>
      <c r="Y4727" s="2"/>
    </row>
    <row r="4728" spans="1:25" x14ac:dyDescent="0.2">
      <c r="A4728">
        <v>3480</v>
      </c>
      <c r="B4728" t="s">
        <v>8834</v>
      </c>
      <c r="C4728" t="s">
        <v>18</v>
      </c>
      <c r="D4728" t="s">
        <v>8835</v>
      </c>
      <c r="E4728" t="s">
        <v>8837</v>
      </c>
      <c r="F4728" t="s">
        <v>71</v>
      </c>
      <c r="G4728" t="s">
        <v>252</v>
      </c>
      <c r="I4728" t="b">
        <v>1</v>
      </c>
      <c r="J4728" t="b">
        <v>1</v>
      </c>
      <c r="L4728" t="b">
        <v>1</v>
      </c>
      <c r="M4728" t="str">
        <f>HYPERLINK("https://arizona.app.box.com/file/386247063008")</f>
        <v>https://arizona.app.box.com/file/386247063008</v>
      </c>
    </row>
    <row r="4729" spans="1:25" x14ac:dyDescent="0.2">
      <c r="A4729">
        <v>3481</v>
      </c>
      <c r="B4729" t="s">
        <v>8834</v>
      </c>
      <c r="C4729" t="s">
        <v>18</v>
      </c>
      <c r="D4729" t="s">
        <v>8838</v>
      </c>
      <c r="E4729" t="s">
        <v>8839</v>
      </c>
      <c r="F4729" t="s">
        <v>71</v>
      </c>
      <c r="G4729" t="s">
        <v>252</v>
      </c>
      <c r="I4729" t="b">
        <v>1</v>
      </c>
      <c r="J4729" t="b">
        <v>1</v>
      </c>
      <c r="L4729" t="b">
        <v>1</v>
      </c>
      <c r="M4729" t="str">
        <f>HYPERLINK("https://arizona.app.box.com/file/386240736348")</f>
        <v>https://arizona.app.box.com/file/386240736348</v>
      </c>
    </row>
    <row r="4730" spans="1:25" x14ac:dyDescent="0.2">
      <c r="A4730">
        <v>3482</v>
      </c>
      <c r="B4730" t="s">
        <v>8834</v>
      </c>
      <c r="C4730" t="s">
        <v>18</v>
      </c>
      <c r="D4730" t="s">
        <v>8840</v>
      </c>
      <c r="E4730" t="s">
        <v>8841</v>
      </c>
      <c r="F4730" t="s">
        <v>71</v>
      </c>
      <c r="G4730" t="s">
        <v>252</v>
      </c>
      <c r="I4730" t="b">
        <v>0</v>
      </c>
      <c r="J4730" t="b">
        <v>0</v>
      </c>
      <c r="L4730" t="b">
        <v>0</v>
      </c>
      <c r="M4730" t="str">
        <f>HYPERLINK("https://arizona.app.box.com/file/386243993618")</f>
        <v>https://arizona.app.box.com/file/386243993618</v>
      </c>
    </row>
    <row r="4731" spans="1:25" x14ac:dyDescent="0.2">
      <c r="A4731">
        <v>3483</v>
      </c>
      <c r="B4731" t="s">
        <v>8834</v>
      </c>
      <c r="C4731" t="s">
        <v>18</v>
      </c>
      <c r="D4731" t="s">
        <v>8842</v>
      </c>
      <c r="E4731" t="s">
        <v>8843</v>
      </c>
      <c r="F4731" t="s">
        <v>71</v>
      </c>
      <c r="G4731" t="s">
        <v>252</v>
      </c>
      <c r="I4731" t="b">
        <v>0</v>
      </c>
      <c r="J4731" t="b">
        <v>0</v>
      </c>
      <c r="L4731" t="b">
        <v>0</v>
      </c>
    </row>
    <row r="4732" spans="1:25" x14ac:dyDescent="0.2">
      <c r="A4732">
        <v>3484</v>
      </c>
      <c r="B4732" t="s">
        <v>8834</v>
      </c>
      <c r="C4732" t="s">
        <v>18</v>
      </c>
      <c r="D4732" t="s">
        <v>8844</v>
      </c>
      <c r="E4732" t="s">
        <v>8845</v>
      </c>
      <c r="F4732" t="s">
        <v>670</v>
      </c>
      <c r="G4732" t="s">
        <v>252</v>
      </c>
      <c r="I4732" t="b">
        <v>0</v>
      </c>
      <c r="J4732" t="b">
        <v>0</v>
      </c>
      <c r="L4732" t="b">
        <v>0</v>
      </c>
      <c r="M4732" t="str">
        <f>HYPERLINK("https://arizona.app.box.com/file/389173145665")</f>
        <v>https://arizona.app.box.com/file/389173145665</v>
      </c>
      <c r="N4732" t="str">
        <f>HYPERLINK("https://arizona.app.box.com/file/386211670261")</f>
        <v>https://arizona.app.box.com/file/386211670261</v>
      </c>
    </row>
    <row r="4734" spans="1:25" x14ac:dyDescent="0.2">
      <c r="A4734" s="2">
        <v>4998</v>
      </c>
      <c r="B4734" s="2" t="s">
        <v>8846</v>
      </c>
      <c r="C4734" s="2" t="s">
        <v>13</v>
      </c>
      <c r="D4734" s="2" t="s">
        <v>8847</v>
      </c>
      <c r="E4734" s="2" t="s">
        <v>8848</v>
      </c>
      <c r="F4734" s="2" t="s">
        <v>574</v>
      </c>
      <c r="G4734" s="2" t="s">
        <v>193</v>
      </c>
      <c r="H4734" s="2"/>
      <c r="I4734" s="2"/>
      <c r="J4734" s="2"/>
      <c r="K4734" s="2"/>
      <c r="L4734" s="2"/>
      <c r="M4734" s="2"/>
      <c r="N4734" s="2"/>
      <c r="O4734" s="2"/>
      <c r="P4734" s="2"/>
      <c r="Q4734" s="2"/>
      <c r="R4734" s="2"/>
      <c r="S4734" s="2"/>
      <c r="T4734" s="2"/>
      <c r="U4734" s="2"/>
      <c r="V4734" s="2"/>
      <c r="W4734" s="2"/>
      <c r="X4734" s="2"/>
      <c r="Y4734" s="2"/>
    </row>
    <row r="4735" spans="1:25" x14ac:dyDescent="0.2">
      <c r="A4735">
        <v>4999</v>
      </c>
      <c r="B4735" t="s">
        <v>8846</v>
      </c>
      <c r="C4735" t="s">
        <v>18</v>
      </c>
      <c r="D4735" t="s">
        <v>8847</v>
      </c>
      <c r="E4735" t="s">
        <v>8848</v>
      </c>
      <c r="F4735" t="s">
        <v>8849</v>
      </c>
      <c r="G4735" t="s">
        <v>193</v>
      </c>
      <c r="I4735" t="b">
        <v>1</v>
      </c>
      <c r="J4735" t="b">
        <v>1</v>
      </c>
      <c r="L4735" t="b">
        <v>1</v>
      </c>
      <c r="M4735" t="str">
        <f>HYPERLINK("https://arizona.app.box.com/file/386264100694")</f>
        <v>https://arizona.app.box.com/file/386264100694</v>
      </c>
      <c r="N4735" t="str">
        <f>HYPERLINK("https://arizona.app.box.com/file/386263766186")</f>
        <v>https://arizona.app.box.com/file/386263766186</v>
      </c>
    </row>
    <row r="4736" spans="1:25" x14ac:dyDescent="0.2">
      <c r="A4736">
        <v>5000</v>
      </c>
      <c r="B4736" t="s">
        <v>8846</v>
      </c>
      <c r="C4736" t="s">
        <v>18</v>
      </c>
      <c r="D4736" t="s">
        <v>8850</v>
      </c>
      <c r="E4736" t="s">
        <v>8851</v>
      </c>
      <c r="F4736" t="s">
        <v>82</v>
      </c>
      <c r="G4736" t="s">
        <v>17</v>
      </c>
      <c r="I4736" t="b">
        <v>0</v>
      </c>
      <c r="J4736" t="b">
        <v>0</v>
      </c>
      <c r="L4736" t="b">
        <v>0</v>
      </c>
    </row>
    <row r="4737" spans="1:25" x14ac:dyDescent="0.2">
      <c r="A4737">
        <v>5001</v>
      </c>
      <c r="B4737" t="s">
        <v>8846</v>
      </c>
      <c r="C4737" t="s">
        <v>18</v>
      </c>
      <c r="D4737" t="s">
        <v>8852</v>
      </c>
      <c r="E4737" t="s">
        <v>8853</v>
      </c>
      <c r="F4737" t="s">
        <v>82</v>
      </c>
      <c r="G4737" t="s">
        <v>17</v>
      </c>
      <c r="I4737" t="b">
        <v>0</v>
      </c>
      <c r="J4737" t="b">
        <v>0</v>
      </c>
      <c r="L4737" t="b">
        <v>0</v>
      </c>
    </row>
    <row r="4738" spans="1:25" x14ac:dyDescent="0.2">
      <c r="A4738">
        <v>5002</v>
      </c>
      <c r="B4738" t="s">
        <v>8846</v>
      </c>
      <c r="C4738" t="s">
        <v>18</v>
      </c>
      <c r="D4738" t="s">
        <v>8854</v>
      </c>
      <c r="E4738" t="s">
        <v>8855</v>
      </c>
      <c r="F4738" t="s">
        <v>574</v>
      </c>
      <c r="G4738" t="s">
        <v>17</v>
      </c>
      <c r="I4738" t="b">
        <v>0</v>
      </c>
      <c r="J4738" t="b">
        <v>0</v>
      </c>
      <c r="L4738" t="b">
        <v>0</v>
      </c>
      <c r="M4738" t="str">
        <f>HYPERLINK("https://arizona.app.box.com/file/389150513898")</f>
        <v>https://arizona.app.box.com/file/389150513898</v>
      </c>
      <c r="N4738" t="str">
        <f>HYPERLINK("https://arizona.app.box.com/file/386248344785")</f>
        <v>https://arizona.app.box.com/file/386248344785</v>
      </c>
    </row>
    <row r="4739" spans="1:25" x14ac:dyDescent="0.2">
      <c r="A4739">
        <v>5003</v>
      </c>
      <c r="B4739" t="s">
        <v>8846</v>
      </c>
      <c r="C4739" t="s">
        <v>18</v>
      </c>
      <c r="D4739" t="s">
        <v>6996</v>
      </c>
      <c r="E4739" t="s">
        <v>6997</v>
      </c>
      <c r="F4739" t="s">
        <v>168</v>
      </c>
      <c r="G4739" t="s">
        <v>17</v>
      </c>
      <c r="I4739" t="b">
        <v>0</v>
      </c>
      <c r="J4739" t="b">
        <v>0</v>
      </c>
      <c r="L4739" t="b">
        <v>0</v>
      </c>
      <c r="M4739" t="str">
        <f>HYPERLINK("https://arizona.app.box.com/file/389255473575")</f>
        <v>https://arizona.app.box.com/file/389255473575</v>
      </c>
      <c r="N4739" t="str">
        <f>HYPERLINK("https://arizona.app.box.com/file/389163818467")</f>
        <v>https://arizona.app.box.com/file/389163818467</v>
      </c>
    </row>
    <row r="4741" spans="1:25" x14ac:dyDescent="0.2">
      <c r="A4741" s="2">
        <v>5187</v>
      </c>
      <c r="B4741" s="2" t="s">
        <v>8856</v>
      </c>
      <c r="C4741" s="2" t="s">
        <v>13</v>
      </c>
      <c r="D4741" s="2" t="s">
        <v>8857</v>
      </c>
      <c r="E4741" s="2" t="s">
        <v>8858</v>
      </c>
      <c r="F4741" s="2" t="s">
        <v>23</v>
      </c>
      <c r="G4741" s="2" t="s">
        <v>265</v>
      </c>
      <c r="H4741" s="2"/>
      <c r="I4741" s="2"/>
      <c r="J4741" s="2"/>
      <c r="K4741" s="2"/>
      <c r="L4741" s="2"/>
      <c r="M4741" s="2"/>
      <c r="N4741" s="2"/>
      <c r="O4741" s="2"/>
      <c r="P4741" s="2"/>
      <c r="Q4741" s="2"/>
      <c r="R4741" s="2"/>
      <c r="S4741" s="2"/>
      <c r="T4741" s="2"/>
      <c r="U4741" s="2"/>
      <c r="V4741" s="2"/>
      <c r="W4741" s="2"/>
      <c r="X4741" s="2"/>
      <c r="Y4741" s="2"/>
    </row>
    <row r="4742" spans="1:25" x14ac:dyDescent="0.2">
      <c r="A4742">
        <v>5188</v>
      </c>
      <c r="B4742" t="s">
        <v>8856</v>
      </c>
      <c r="C4742" t="s">
        <v>18</v>
      </c>
      <c r="D4742" t="s">
        <v>4470</v>
      </c>
      <c r="E4742" t="s">
        <v>4471</v>
      </c>
      <c r="F4742" t="s">
        <v>23</v>
      </c>
      <c r="G4742" t="s">
        <v>265</v>
      </c>
      <c r="I4742" t="b">
        <v>1</v>
      </c>
      <c r="J4742" t="b">
        <v>1</v>
      </c>
      <c r="L4742" t="b">
        <v>1</v>
      </c>
      <c r="M4742" t="str">
        <f>HYPERLINK("https://arizona.app.box.com/file/389267705539")</f>
        <v>https://arizona.app.box.com/file/389267705539</v>
      </c>
      <c r="N4742" t="str">
        <f>HYPERLINK("https://arizona.app.box.com/file/389170448280")</f>
        <v>https://arizona.app.box.com/file/389170448280</v>
      </c>
    </row>
    <row r="4743" spans="1:25" x14ac:dyDescent="0.2">
      <c r="A4743">
        <v>5189</v>
      </c>
      <c r="B4743" t="s">
        <v>8856</v>
      </c>
      <c r="C4743" t="s">
        <v>18</v>
      </c>
      <c r="D4743" t="s">
        <v>8859</v>
      </c>
      <c r="E4743" t="s">
        <v>2155</v>
      </c>
      <c r="F4743" t="s">
        <v>23</v>
      </c>
      <c r="G4743" t="s">
        <v>265</v>
      </c>
      <c r="I4743" t="b">
        <v>1</v>
      </c>
      <c r="J4743" t="b">
        <v>1</v>
      </c>
      <c r="L4743" t="b">
        <v>1</v>
      </c>
      <c r="M4743" t="str">
        <f>HYPERLINK("https://arizona.app.box.com/file/389262402845")</f>
        <v>https://arizona.app.box.com/file/389262402845</v>
      </c>
    </row>
    <row r="4744" spans="1:25" x14ac:dyDescent="0.2">
      <c r="A4744">
        <v>5190</v>
      </c>
      <c r="B4744" t="s">
        <v>8856</v>
      </c>
      <c r="C4744" t="s">
        <v>18</v>
      </c>
      <c r="D4744" t="s">
        <v>4460</v>
      </c>
      <c r="E4744" t="s">
        <v>1319</v>
      </c>
      <c r="F4744" t="s">
        <v>159</v>
      </c>
      <c r="G4744" t="s">
        <v>265</v>
      </c>
      <c r="I4744" t="b">
        <v>0</v>
      </c>
      <c r="J4744" t="b">
        <v>0</v>
      </c>
      <c r="L4744" t="b">
        <v>0</v>
      </c>
      <c r="M4744" t="str">
        <f>HYPERLINK("https://arizona.app.box.com/file/389257237779")</f>
        <v>https://arizona.app.box.com/file/389257237779</v>
      </c>
      <c r="N4744" t="str">
        <f>HYPERLINK("https://arizona.app.box.com/file/386249679772")</f>
        <v>https://arizona.app.box.com/file/386249679772</v>
      </c>
    </row>
    <row r="4745" spans="1:25" x14ac:dyDescent="0.2">
      <c r="A4745">
        <v>5191</v>
      </c>
      <c r="B4745" t="s">
        <v>8856</v>
      </c>
      <c r="C4745" t="s">
        <v>18</v>
      </c>
      <c r="D4745" t="s">
        <v>4463</v>
      </c>
      <c r="E4745" t="s">
        <v>339</v>
      </c>
      <c r="F4745" t="s">
        <v>159</v>
      </c>
      <c r="G4745" t="s">
        <v>265</v>
      </c>
      <c r="I4745" t="b">
        <v>0</v>
      </c>
      <c r="J4745" t="b">
        <v>0</v>
      </c>
      <c r="L4745" t="b">
        <v>0</v>
      </c>
      <c r="M4745" t="str">
        <f>HYPERLINK("https://arizona.app.box.com/file/389263745615")</f>
        <v>https://arizona.app.box.com/file/389263745615</v>
      </c>
      <c r="N4745" t="str">
        <f>HYPERLINK("https://arizona.app.box.com/file/386242202843")</f>
        <v>https://arizona.app.box.com/file/386242202843</v>
      </c>
    </row>
    <row r="4746" spans="1:25" x14ac:dyDescent="0.2">
      <c r="A4746">
        <v>5192</v>
      </c>
      <c r="B4746" t="s">
        <v>8856</v>
      </c>
      <c r="C4746" t="s">
        <v>18</v>
      </c>
      <c r="D4746" t="s">
        <v>4456</v>
      </c>
      <c r="E4746" t="s">
        <v>4457</v>
      </c>
      <c r="F4746" t="s">
        <v>82</v>
      </c>
      <c r="G4746" t="s">
        <v>265</v>
      </c>
      <c r="I4746" t="b">
        <v>0</v>
      </c>
      <c r="J4746" t="b">
        <v>0</v>
      </c>
      <c r="L4746" t="b">
        <v>0</v>
      </c>
      <c r="M4746" t="str">
        <f>HYPERLINK("https://arizona.app.box.com/file/386243994082")</f>
        <v>https://arizona.app.box.com/file/386243994082</v>
      </c>
      <c r="N4746" t="str">
        <f>HYPERLINK("https://arizona.app.box.com/file/386230173814")</f>
        <v>https://arizona.app.box.com/file/386230173814</v>
      </c>
    </row>
    <row r="4748" spans="1:25" x14ac:dyDescent="0.2">
      <c r="A4748" s="2">
        <v>917</v>
      </c>
      <c r="B4748" s="2" t="s">
        <v>8860</v>
      </c>
      <c r="C4748" s="2" t="s">
        <v>13</v>
      </c>
      <c r="D4748" s="2" t="s">
        <v>8861</v>
      </c>
      <c r="E4748" s="2" t="s">
        <v>8862</v>
      </c>
      <c r="F4748" s="2" t="s">
        <v>78</v>
      </c>
      <c r="G4748" s="2" t="s">
        <v>130</v>
      </c>
      <c r="H4748" s="2"/>
      <c r="I4748" s="2"/>
      <c r="J4748" s="2"/>
      <c r="K4748" s="2"/>
      <c r="L4748" s="2"/>
      <c r="M4748" s="2"/>
      <c r="N4748" s="2"/>
      <c r="O4748" s="2"/>
      <c r="P4748" s="2"/>
      <c r="Q4748" s="2"/>
      <c r="R4748" s="2"/>
      <c r="S4748" s="2"/>
      <c r="T4748" s="2"/>
      <c r="U4748" s="2"/>
      <c r="V4748" s="2"/>
      <c r="W4748" s="2"/>
      <c r="X4748" s="2"/>
      <c r="Y4748" s="2"/>
    </row>
    <row r="4749" spans="1:25" x14ac:dyDescent="0.2">
      <c r="A4749">
        <v>918</v>
      </c>
      <c r="B4749" t="s">
        <v>8860</v>
      </c>
      <c r="C4749" t="s">
        <v>18</v>
      </c>
      <c r="D4749" t="s">
        <v>8861</v>
      </c>
      <c r="E4749" t="s">
        <v>8862</v>
      </c>
      <c r="F4749" t="s">
        <v>78</v>
      </c>
      <c r="G4749" t="s">
        <v>130</v>
      </c>
      <c r="I4749" t="b">
        <v>1</v>
      </c>
      <c r="J4749" t="b">
        <v>1</v>
      </c>
      <c r="L4749" t="b">
        <v>1</v>
      </c>
      <c r="M4749" t="str">
        <f>HYPERLINK("https://arizona.app.box.com/file/386242907084")</f>
        <v>https://arizona.app.box.com/file/386242907084</v>
      </c>
      <c r="N4749" t="str">
        <f>HYPERLINK("https://arizona.app.box.com/file/386246687077")</f>
        <v>https://arizona.app.box.com/file/386246687077</v>
      </c>
    </row>
    <row r="4750" spans="1:25" x14ac:dyDescent="0.2">
      <c r="A4750">
        <v>919</v>
      </c>
      <c r="B4750" t="s">
        <v>8860</v>
      </c>
      <c r="C4750" t="s">
        <v>18</v>
      </c>
      <c r="D4750" t="s">
        <v>8863</v>
      </c>
      <c r="E4750" t="s">
        <v>8864</v>
      </c>
      <c r="F4750" t="s">
        <v>78</v>
      </c>
      <c r="G4750" t="s">
        <v>130</v>
      </c>
      <c r="I4750" t="b">
        <v>0</v>
      </c>
      <c r="J4750" t="b">
        <v>0</v>
      </c>
      <c r="L4750" t="b">
        <v>0</v>
      </c>
    </row>
    <row r="4751" spans="1:25" x14ac:dyDescent="0.2">
      <c r="A4751">
        <v>920</v>
      </c>
      <c r="B4751" t="s">
        <v>8860</v>
      </c>
      <c r="C4751" t="s">
        <v>18</v>
      </c>
      <c r="D4751" t="s">
        <v>8865</v>
      </c>
      <c r="E4751" t="s">
        <v>8866</v>
      </c>
      <c r="F4751" t="s">
        <v>78</v>
      </c>
      <c r="G4751" t="s">
        <v>130</v>
      </c>
      <c r="I4751" t="b">
        <v>0</v>
      </c>
      <c r="J4751" t="b">
        <v>0</v>
      </c>
      <c r="L4751" t="b">
        <v>0</v>
      </c>
      <c r="M4751" t="str">
        <f>HYPERLINK("https://arizona.app.box.com/file/386217377816")</f>
        <v>https://arizona.app.box.com/file/386217377816</v>
      </c>
      <c r="N4751" t="str">
        <f>HYPERLINK("https://arizona.app.box.com/file/386243051408")</f>
        <v>https://arizona.app.box.com/file/386243051408</v>
      </c>
    </row>
    <row r="4752" spans="1:25" x14ac:dyDescent="0.2">
      <c r="A4752">
        <v>921</v>
      </c>
      <c r="B4752" t="s">
        <v>8860</v>
      </c>
      <c r="C4752" t="s">
        <v>18</v>
      </c>
      <c r="D4752" t="s">
        <v>8867</v>
      </c>
      <c r="E4752" t="s">
        <v>8868</v>
      </c>
      <c r="F4752" t="s">
        <v>78</v>
      </c>
      <c r="G4752" t="s">
        <v>265</v>
      </c>
      <c r="I4752" t="b">
        <v>0</v>
      </c>
      <c r="J4752" t="b">
        <v>0</v>
      </c>
      <c r="L4752" t="b">
        <v>0</v>
      </c>
    </row>
    <row r="4753" spans="1:25" x14ac:dyDescent="0.2">
      <c r="A4753">
        <v>922</v>
      </c>
      <c r="B4753" t="s">
        <v>8860</v>
      </c>
      <c r="C4753" t="s">
        <v>18</v>
      </c>
      <c r="D4753" t="s">
        <v>8869</v>
      </c>
      <c r="E4753" t="s">
        <v>8870</v>
      </c>
      <c r="F4753" t="s">
        <v>78</v>
      </c>
      <c r="G4753" t="s">
        <v>88</v>
      </c>
      <c r="I4753" t="b">
        <v>0</v>
      </c>
      <c r="J4753" t="b">
        <v>0</v>
      </c>
      <c r="L4753" t="b">
        <v>0</v>
      </c>
    </row>
    <row r="4755" spans="1:25" x14ac:dyDescent="0.2">
      <c r="A4755" s="2">
        <v>2618</v>
      </c>
      <c r="B4755" s="2" t="s">
        <v>8871</v>
      </c>
      <c r="C4755" s="2" t="s">
        <v>13</v>
      </c>
      <c r="D4755" s="2" t="s">
        <v>8532</v>
      </c>
      <c r="E4755" s="2" t="s">
        <v>8872</v>
      </c>
      <c r="F4755" s="2" t="s">
        <v>2924</v>
      </c>
      <c r="G4755" s="2" t="s">
        <v>8528</v>
      </c>
      <c r="H4755" s="2"/>
      <c r="I4755" s="2"/>
      <c r="J4755" s="2"/>
      <c r="K4755" s="2"/>
      <c r="L4755" s="2"/>
      <c r="M4755" s="2"/>
      <c r="N4755" s="2"/>
      <c r="O4755" s="2"/>
      <c r="P4755" s="2"/>
      <c r="Q4755" s="2"/>
      <c r="R4755" s="2"/>
      <c r="S4755" s="2"/>
      <c r="T4755" s="2"/>
      <c r="U4755" s="2"/>
      <c r="V4755" s="2"/>
      <c r="W4755" s="2"/>
      <c r="X4755" s="2"/>
      <c r="Y4755" s="2"/>
    </row>
    <row r="4756" spans="1:25" x14ac:dyDescent="0.2">
      <c r="A4756">
        <v>2619</v>
      </c>
      <c r="B4756" t="s">
        <v>8871</v>
      </c>
      <c r="C4756" t="s">
        <v>18</v>
      </c>
      <c r="D4756" t="s">
        <v>8532</v>
      </c>
      <c r="E4756" t="s">
        <v>8533</v>
      </c>
      <c r="F4756" t="s">
        <v>82</v>
      </c>
      <c r="G4756" t="s">
        <v>8528</v>
      </c>
      <c r="I4756" t="b">
        <v>1</v>
      </c>
      <c r="J4756" t="b">
        <v>1</v>
      </c>
      <c r="L4756" t="b">
        <v>1</v>
      </c>
      <c r="M4756" t="str">
        <f>HYPERLINK("https://arizona.app.box.com/file/386241839269")</f>
        <v>https://arizona.app.box.com/file/386241839269</v>
      </c>
    </row>
    <row r="4757" spans="1:25" x14ac:dyDescent="0.2">
      <c r="A4757">
        <v>2620</v>
      </c>
      <c r="B4757" t="s">
        <v>8871</v>
      </c>
      <c r="C4757" t="s">
        <v>18</v>
      </c>
      <c r="D4757" t="s">
        <v>8534</v>
      </c>
      <c r="E4757" t="s">
        <v>2780</v>
      </c>
      <c r="F4757" t="s">
        <v>82</v>
      </c>
      <c r="G4757" t="s">
        <v>8528</v>
      </c>
      <c r="I4757" t="b">
        <v>1</v>
      </c>
      <c r="J4757" t="b">
        <v>1</v>
      </c>
      <c r="L4757" t="b">
        <v>1</v>
      </c>
      <c r="M4757" t="str">
        <f>HYPERLINK("https://arizona.app.box.com/file/386213864858")</f>
        <v>https://arizona.app.box.com/file/386213864858</v>
      </c>
    </row>
    <row r="4758" spans="1:25" x14ac:dyDescent="0.2">
      <c r="A4758">
        <v>2621</v>
      </c>
      <c r="B4758" t="s">
        <v>8871</v>
      </c>
      <c r="C4758" t="s">
        <v>18</v>
      </c>
      <c r="D4758" t="s">
        <v>8873</v>
      </c>
      <c r="E4758" t="s">
        <v>8874</v>
      </c>
      <c r="F4758" t="s">
        <v>82</v>
      </c>
      <c r="G4758" t="s">
        <v>8528</v>
      </c>
      <c r="I4758" t="b">
        <v>0</v>
      </c>
      <c r="J4758" t="b">
        <v>0</v>
      </c>
      <c r="L4758" t="b">
        <v>0</v>
      </c>
      <c r="M4758" t="str">
        <f>HYPERLINK("https://arizona.app.box.com/file/386237375862")</f>
        <v>https://arizona.app.box.com/file/386237375862</v>
      </c>
      <c r="N4758" t="str">
        <f>HYPERLINK("https://arizona.app.box.com/file/386237555103")</f>
        <v>https://arizona.app.box.com/file/386237555103</v>
      </c>
    </row>
    <row r="4759" spans="1:25" x14ac:dyDescent="0.2">
      <c r="A4759">
        <v>2622</v>
      </c>
      <c r="B4759" t="s">
        <v>8871</v>
      </c>
      <c r="C4759" t="s">
        <v>18</v>
      </c>
      <c r="D4759" t="s">
        <v>8530</v>
      </c>
      <c r="E4759" t="s">
        <v>8531</v>
      </c>
      <c r="F4759" t="s">
        <v>82</v>
      </c>
      <c r="G4759" t="s">
        <v>8528</v>
      </c>
      <c r="I4759" t="b">
        <v>0</v>
      </c>
      <c r="J4759" t="b">
        <v>0</v>
      </c>
      <c r="L4759" t="b">
        <v>0</v>
      </c>
      <c r="M4759" t="str">
        <f>HYPERLINK("https://arizona.app.box.com/file/389256137017")</f>
        <v>https://arizona.app.box.com/file/389256137017</v>
      </c>
      <c r="N4759" t="str">
        <f>HYPERLINK("https://arizona.app.box.com/file/389159129676")</f>
        <v>https://arizona.app.box.com/file/389159129676</v>
      </c>
      <c r="O4759" t="str">
        <f>HYPERLINK("https://arizona.app.box.com/file/386241113911")</f>
        <v>https://arizona.app.box.com/file/386241113911</v>
      </c>
    </row>
    <row r="4760" spans="1:25" x14ac:dyDescent="0.2">
      <c r="A4760">
        <v>2623</v>
      </c>
      <c r="B4760" t="s">
        <v>8871</v>
      </c>
      <c r="C4760" t="s">
        <v>18</v>
      </c>
      <c r="D4760" t="s">
        <v>8525</v>
      </c>
      <c r="E4760" t="s">
        <v>4071</v>
      </c>
      <c r="F4760" t="s">
        <v>8527</v>
      </c>
      <c r="G4760" t="s">
        <v>8528</v>
      </c>
      <c r="I4760" t="b">
        <v>0</v>
      </c>
      <c r="J4760" t="b">
        <v>0</v>
      </c>
      <c r="L4760" t="b">
        <v>0</v>
      </c>
      <c r="M4760" t="str">
        <f>HYPERLINK("https://arizona.app.box.com/file/389164695934")</f>
        <v>https://arizona.app.box.com/file/389164695934</v>
      </c>
      <c r="N4760" t="str">
        <f>HYPERLINK("https://arizona.app.box.com/file/386244382224")</f>
        <v>https://arizona.app.box.com/file/386244382224</v>
      </c>
    </row>
    <row r="4762" spans="1:25" x14ac:dyDescent="0.2">
      <c r="A4762" s="2">
        <v>7833</v>
      </c>
      <c r="B4762" s="2" t="s">
        <v>8875</v>
      </c>
      <c r="C4762" s="2" t="s">
        <v>13</v>
      </c>
      <c r="D4762" s="2" t="s">
        <v>552</v>
      </c>
      <c r="E4762" s="2" t="s">
        <v>8876</v>
      </c>
      <c r="F4762" s="2" t="s">
        <v>174</v>
      </c>
      <c r="G4762" s="2" t="s">
        <v>17</v>
      </c>
      <c r="H4762" s="2"/>
      <c r="I4762" s="2"/>
      <c r="J4762" s="2"/>
      <c r="K4762" s="2"/>
      <c r="L4762" s="2"/>
      <c r="M4762" s="2"/>
      <c r="N4762" s="2"/>
      <c r="O4762" s="2"/>
      <c r="P4762" s="2"/>
      <c r="Q4762" s="2"/>
      <c r="R4762" s="2"/>
      <c r="S4762" s="2"/>
      <c r="T4762" s="2"/>
      <c r="U4762" s="2"/>
      <c r="V4762" s="2"/>
      <c r="W4762" s="2"/>
      <c r="X4762" s="2"/>
      <c r="Y4762" s="2"/>
    </row>
    <row r="4763" spans="1:25" x14ac:dyDescent="0.2">
      <c r="A4763">
        <v>7834</v>
      </c>
      <c r="B4763" t="s">
        <v>8875</v>
      </c>
      <c r="C4763" t="s">
        <v>18</v>
      </c>
      <c r="D4763" t="s">
        <v>552</v>
      </c>
      <c r="E4763" t="s">
        <v>553</v>
      </c>
      <c r="F4763" t="s">
        <v>174</v>
      </c>
      <c r="G4763" t="s">
        <v>17</v>
      </c>
      <c r="I4763" t="b">
        <v>1</v>
      </c>
      <c r="J4763" t="b">
        <v>1</v>
      </c>
      <c r="L4763" t="b">
        <v>1</v>
      </c>
      <c r="M4763" t="str">
        <f>HYPERLINK("https://arizona.app.box.com/file/389266797751")</f>
        <v>https://arizona.app.box.com/file/389266797751</v>
      </c>
    </row>
    <row r="4764" spans="1:25" x14ac:dyDescent="0.2">
      <c r="A4764">
        <v>7835</v>
      </c>
      <c r="B4764" t="s">
        <v>8875</v>
      </c>
      <c r="C4764" t="s">
        <v>18</v>
      </c>
      <c r="D4764" t="s">
        <v>5922</v>
      </c>
      <c r="E4764" t="s">
        <v>5923</v>
      </c>
      <c r="F4764" t="s">
        <v>174</v>
      </c>
      <c r="G4764" t="s">
        <v>17</v>
      </c>
      <c r="I4764" t="b">
        <v>1</v>
      </c>
      <c r="J4764" t="b">
        <v>1</v>
      </c>
      <c r="L4764" t="b">
        <v>1</v>
      </c>
      <c r="M4764" t="str">
        <f>HYPERLINK("https://arizona.app.box.com/file/389260397929")</f>
        <v>https://arizona.app.box.com/file/389260397929</v>
      </c>
      <c r="N4764" t="str">
        <f>HYPERLINK("https://arizona.app.box.com/file/389162616490")</f>
        <v>https://arizona.app.box.com/file/389162616490</v>
      </c>
    </row>
    <row r="4765" spans="1:25" x14ac:dyDescent="0.2">
      <c r="A4765">
        <v>7836</v>
      </c>
      <c r="B4765" t="s">
        <v>8875</v>
      </c>
      <c r="C4765" t="s">
        <v>18</v>
      </c>
      <c r="D4765" t="s">
        <v>8877</v>
      </c>
      <c r="E4765" t="s">
        <v>3391</v>
      </c>
      <c r="F4765" t="s">
        <v>174</v>
      </c>
      <c r="G4765" t="s">
        <v>62</v>
      </c>
      <c r="I4765" t="b">
        <v>0</v>
      </c>
      <c r="J4765" t="b">
        <v>0</v>
      </c>
      <c r="L4765" t="b">
        <v>0</v>
      </c>
      <c r="M4765" t="str">
        <f>HYPERLINK("https://arizona.app.box.com/file/389263049502")</f>
        <v>https://arizona.app.box.com/file/389263049502</v>
      </c>
      <c r="N4765" t="str">
        <f>HYPERLINK("https://arizona.app.box.com/file/389151800551")</f>
        <v>https://arizona.app.box.com/file/389151800551</v>
      </c>
    </row>
    <row r="4766" spans="1:25" x14ac:dyDescent="0.2">
      <c r="A4766">
        <v>7837</v>
      </c>
      <c r="B4766" t="s">
        <v>8875</v>
      </c>
      <c r="C4766" t="s">
        <v>18</v>
      </c>
      <c r="D4766" t="s">
        <v>547</v>
      </c>
      <c r="E4766" t="s">
        <v>548</v>
      </c>
      <c r="F4766" t="s">
        <v>78</v>
      </c>
      <c r="G4766" t="s">
        <v>17</v>
      </c>
      <c r="I4766" t="b">
        <v>0</v>
      </c>
      <c r="J4766" t="b">
        <v>0</v>
      </c>
      <c r="L4766" t="b">
        <v>0</v>
      </c>
      <c r="M4766" t="str">
        <f>HYPERLINK("https://arizona.app.box.com/file/389267170499")</f>
        <v>https://arizona.app.box.com/file/389267170499</v>
      </c>
      <c r="N4766" t="str">
        <f>HYPERLINK("https://arizona.app.box.com/file/389265433672")</f>
        <v>https://arizona.app.box.com/file/389265433672</v>
      </c>
      <c r="O4766" t="str">
        <f>HYPERLINK("https://arizona.app.box.com/file/389152970720")</f>
        <v>https://arizona.app.box.com/file/389152970720</v>
      </c>
    </row>
    <row r="4767" spans="1:25" x14ac:dyDescent="0.2">
      <c r="A4767">
        <v>7838</v>
      </c>
      <c r="B4767" t="s">
        <v>8875</v>
      </c>
      <c r="C4767" t="s">
        <v>18</v>
      </c>
      <c r="D4767" t="s">
        <v>555</v>
      </c>
      <c r="E4767" t="s">
        <v>556</v>
      </c>
      <c r="F4767" t="s">
        <v>78</v>
      </c>
      <c r="G4767" t="s">
        <v>17</v>
      </c>
      <c r="I4767" t="b">
        <v>0</v>
      </c>
      <c r="J4767" t="b">
        <v>0</v>
      </c>
      <c r="L4767" t="b">
        <v>0</v>
      </c>
      <c r="M4767" t="str">
        <f>HYPERLINK("https://arizona.app.box.com/file/389263138828")</f>
        <v>https://arizona.app.box.com/file/389263138828</v>
      </c>
    </row>
    <row r="4769" spans="1:25" x14ac:dyDescent="0.2">
      <c r="A4769" s="2">
        <v>70</v>
      </c>
      <c r="B4769" s="2" t="s">
        <v>8878</v>
      </c>
      <c r="C4769" s="2" t="s">
        <v>13</v>
      </c>
      <c r="D4769" s="2" t="s">
        <v>8879</v>
      </c>
      <c r="E4769" s="2" t="s">
        <v>8880</v>
      </c>
      <c r="F4769" s="2" t="s">
        <v>151</v>
      </c>
      <c r="G4769" s="2" t="s">
        <v>1752</v>
      </c>
      <c r="H4769" s="2"/>
      <c r="I4769" s="2"/>
      <c r="J4769" s="2"/>
      <c r="K4769" s="2"/>
      <c r="L4769" s="2"/>
      <c r="M4769" s="2"/>
      <c r="N4769" s="2"/>
      <c r="O4769" s="2"/>
      <c r="P4769" s="2"/>
      <c r="Q4769" s="2"/>
      <c r="R4769" s="2"/>
      <c r="S4769" s="2"/>
      <c r="T4769" s="2"/>
      <c r="U4769" s="2"/>
      <c r="V4769" s="2"/>
      <c r="W4769" s="2"/>
      <c r="X4769" s="2"/>
      <c r="Y4769" s="2"/>
    </row>
    <row r="4770" spans="1:25" x14ac:dyDescent="0.2">
      <c r="A4770">
        <v>71</v>
      </c>
      <c r="B4770" t="s">
        <v>8878</v>
      </c>
      <c r="C4770" t="s">
        <v>18</v>
      </c>
      <c r="D4770" t="s">
        <v>8879</v>
      </c>
      <c r="E4770" t="s">
        <v>4483</v>
      </c>
      <c r="F4770" t="s">
        <v>151</v>
      </c>
      <c r="G4770" t="s">
        <v>917</v>
      </c>
      <c r="I4770" t="b">
        <v>1</v>
      </c>
      <c r="J4770" t="b">
        <v>1</v>
      </c>
      <c r="L4770" t="b">
        <v>1</v>
      </c>
      <c r="M4770" t="str">
        <f>HYPERLINK("https://arizona.app.box.com/file/389167197201")</f>
        <v>https://arizona.app.box.com/file/389167197201</v>
      </c>
      <c r="N4770" t="str">
        <f>HYPERLINK("https://arizona.app.box.com/file/386216523584")</f>
        <v>https://arizona.app.box.com/file/386216523584</v>
      </c>
    </row>
    <row r="4771" spans="1:25" x14ac:dyDescent="0.2">
      <c r="A4771">
        <v>72</v>
      </c>
      <c r="B4771" t="s">
        <v>8878</v>
      </c>
      <c r="C4771" t="s">
        <v>18</v>
      </c>
      <c r="D4771" t="s">
        <v>7876</v>
      </c>
      <c r="E4771" t="s">
        <v>6196</v>
      </c>
      <c r="F4771" t="s">
        <v>78</v>
      </c>
      <c r="G4771" t="s">
        <v>24</v>
      </c>
      <c r="I4771" t="b">
        <v>0</v>
      </c>
      <c r="J4771" t="b">
        <v>0</v>
      </c>
      <c r="L4771" t="b">
        <v>0</v>
      </c>
      <c r="M4771" t="str">
        <f>HYPERLINK("https://arizona.app.box.com/file/389268137018")</f>
        <v>https://arizona.app.box.com/file/389268137018</v>
      </c>
      <c r="N4771" t="str">
        <f>HYPERLINK("https://arizona.app.box.com/file/389164439164")</f>
        <v>https://arizona.app.box.com/file/389164439164</v>
      </c>
    </row>
    <row r="4772" spans="1:25" x14ac:dyDescent="0.2">
      <c r="A4772">
        <v>73</v>
      </c>
      <c r="B4772" t="s">
        <v>8878</v>
      </c>
      <c r="C4772" t="s">
        <v>18</v>
      </c>
      <c r="D4772" t="s">
        <v>8881</v>
      </c>
      <c r="E4772" t="s">
        <v>8882</v>
      </c>
      <c r="F4772" t="s">
        <v>78</v>
      </c>
      <c r="G4772" t="s">
        <v>88</v>
      </c>
      <c r="I4772" t="b">
        <v>0</v>
      </c>
      <c r="J4772" t="b">
        <v>0</v>
      </c>
      <c r="L4772" t="b">
        <v>0</v>
      </c>
      <c r="M4772" t="str">
        <f>HYPERLINK("https://arizona.app.box.com/file/389171476593")</f>
        <v>https://arizona.app.box.com/file/389171476593</v>
      </c>
      <c r="N4772" t="str">
        <f>HYPERLINK("https://arizona.app.box.com/file/386244538045")</f>
        <v>https://arizona.app.box.com/file/386244538045</v>
      </c>
    </row>
    <row r="4773" spans="1:25" x14ac:dyDescent="0.2">
      <c r="A4773">
        <v>74</v>
      </c>
      <c r="B4773" t="s">
        <v>8878</v>
      </c>
      <c r="C4773" t="s">
        <v>18</v>
      </c>
      <c r="D4773" t="s">
        <v>5792</v>
      </c>
      <c r="E4773" t="s">
        <v>5793</v>
      </c>
      <c r="F4773" t="s">
        <v>78</v>
      </c>
      <c r="G4773" t="s">
        <v>24</v>
      </c>
      <c r="I4773" t="b">
        <v>0</v>
      </c>
      <c r="J4773" t="b">
        <v>0</v>
      </c>
      <c r="L4773" t="b">
        <v>0</v>
      </c>
      <c r="M4773" t="str">
        <f>HYPERLINK("https://arizona.app.box.com/file/389166526895")</f>
        <v>https://arizona.app.box.com/file/389166526895</v>
      </c>
      <c r="N4773" t="str">
        <f>HYPERLINK("https://arizona.app.box.com/file/386225755331")</f>
        <v>https://arizona.app.box.com/file/386225755331</v>
      </c>
    </row>
    <row r="4774" spans="1:25" x14ac:dyDescent="0.2">
      <c r="A4774">
        <v>75</v>
      </c>
      <c r="B4774" t="s">
        <v>8878</v>
      </c>
      <c r="C4774" t="s">
        <v>18</v>
      </c>
      <c r="D4774" t="s">
        <v>5083</v>
      </c>
      <c r="E4774" t="s">
        <v>5084</v>
      </c>
      <c r="F4774" t="s">
        <v>151</v>
      </c>
      <c r="G4774" t="s">
        <v>917</v>
      </c>
      <c r="I4774" t="b">
        <v>0</v>
      </c>
      <c r="J4774" t="b">
        <v>0</v>
      </c>
      <c r="L4774" t="b">
        <v>0</v>
      </c>
      <c r="M4774" t="str">
        <f>HYPERLINK("https://arizona.app.box.com/file/389256472389")</f>
        <v>https://arizona.app.box.com/file/389256472389</v>
      </c>
      <c r="N4774" t="str">
        <f>HYPERLINK("https://arizona.app.box.com/file/389139020470")</f>
        <v>https://arizona.app.box.com/file/389139020470</v>
      </c>
    </row>
    <row r="4776" spans="1:25" x14ac:dyDescent="0.2">
      <c r="A4776" s="2">
        <v>1582</v>
      </c>
      <c r="B4776" s="2" t="s">
        <v>8883</v>
      </c>
      <c r="C4776" s="2" t="s">
        <v>13</v>
      </c>
      <c r="D4776" s="2" t="s">
        <v>3045</v>
      </c>
      <c r="E4776" s="2" t="s">
        <v>8884</v>
      </c>
      <c r="F4776" s="2" t="s">
        <v>1077</v>
      </c>
      <c r="G4776" s="2" t="s">
        <v>252</v>
      </c>
      <c r="H4776" s="2"/>
      <c r="I4776" s="2"/>
      <c r="J4776" s="2"/>
      <c r="K4776" s="2"/>
      <c r="L4776" s="2"/>
      <c r="M4776" s="2"/>
      <c r="N4776" s="2"/>
      <c r="O4776" s="2"/>
      <c r="P4776" s="2"/>
      <c r="Q4776" s="2"/>
      <c r="R4776" s="2"/>
      <c r="S4776" s="2"/>
      <c r="T4776" s="2"/>
      <c r="U4776" s="2"/>
      <c r="V4776" s="2"/>
      <c r="W4776" s="2"/>
      <c r="X4776" s="2"/>
      <c r="Y4776" s="2"/>
    </row>
    <row r="4777" spans="1:25" x14ac:dyDescent="0.2">
      <c r="A4777">
        <v>1583</v>
      </c>
      <c r="B4777" t="s">
        <v>8883</v>
      </c>
      <c r="C4777" t="s">
        <v>18</v>
      </c>
      <c r="D4777" t="s">
        <v>3045</v>
      </c>
      <c r="E4777" t="s">
        <v>2267</v>
      </c>
      <c r="F4777" t="s">
        <v>1077</v>
      </c>
      <c r="G4777" t="s">
        <v>252</v>
      </c>
      <c r="I4777" t="b">
        <v>1</v>
      </c>
      <c r="J4777" t="b">
        <v>1</v>
      </c>
      <c r="L4777" t="b">
        <v>1</v>
      </c>
      <c r="M4777" t="str">
        <f>HYPERLINK("https://arizona.app.box.com/file/389264288417")</f>
        <v>https://arizona.app.box.com/file/389264288417</v>
      </c>
      <c r="N4777" t="str">
        <f>HYPERLINK("https://arizona.app.box.com/file/389152770270")</f>
        <v>https://arizona.app.box.com/file/389152770270</v>
      </c>
    </row>
    <row r="4778" spans="1:25" x14ac:dyDescent="0.2">
      <c r="A4778">
        <v>1584</v>
      </c>
      <c r="B4778" t="s">
        <v>8883</v>
      </c>
      <c r="C4778" t="s">
        <v>18</v>
      </c>
      <c r="D4778" t="s">
        <v>8885</v>
      </c>
      <c r="E4778" t="s">
        <v>1923</v>
      </c>
      <c r="F4778" t="s">
        <v>1077</v>
      </c>
      <c r="G4778" t="s">
        <v>252</v>
      </c>
      <c r="I4778" t="b">
        <v>1</v>
      </c>
      <c r="J4778" t="b">
        <v>1</v>
      </c>
      <c r="L4778" t="b">
        <v>1</v>
      </c>
      <c r="M4778" t="str">
        <f>HYPERLINK("https://arizona.app.box.com/file/386247005127")</f>
        <v>https://arizona.app.box.com/file/386247005127</v>
      </c>
    </row>
    <row r="4779" spans="1:25" x14ac:dyDescent="0.2">
      <c r="A4779">
        <v>1585</v>
      </c>
      <c r="B4779" t="s">
        <v>8883</v>
      </c>
      <c r="C4779" t="s">
        <v>18</v>
      </c>
      <c r="D4779" t="s">
        <v>1674</v>
      </c>
      <c r="E4779" t="s">
        <v>323</v>
      </c>
      <c r="F4779" t="s">
        <v>1077</v>
      </c>
      <c r="G4779" t="s">
        <v>252</v>
      </c>
      <c r="I4779" t="b">
        <v>0</v>
      </c>
      <c r="J4779" t="b">
        <v>0</v>
      </c>
      <c r="L4779" t="b">
        <v>0</v>
      </c>
      <c r="M4779" t="str">
        <f>HYPERLINK("https://arizona.app.box.com/file/389152773139")</f>
        <v>https://arizona.app.box.com/file/389152773139</v>
      </c>
    </row>
    <row r="4780" spans="1:25" x14ac:dyDescent="0.2">
      <c r="A4780">
        <v>1586</v>
      </c>
      <c r="B4780" t="s">
        <v>8883</v>
      </c>
      <c r="C4780" t="s">
        <v>18</v>
      </c>
      <c r="D4780" t="s">
        <v>8886</v>
      </c>
      <c r="E4780" t="s">
        <v>8887</v>
      </c>
      <c r="F4780" t="s">
        <v>1077</v>
      </c>
      <c r="G4780" t="s">
        <v>252</v>
      </c>
      <c r="I4780" t="b">
        <v>0</v>
      </c>
      <c r="J4780" t="b">
        <v>0</v>
      </c>
      <c r="L4780" t="b">
        <v>0</v>
      </c>
      <c r="M4780" t="str">
        <f>HYPERLINK("https://arizona.app.box.com/file/386218702011")</f>
        <v>https://arizona.app.box.com/file/386218702011</v>
      </c>
      <c r="N4780" t="str">
        <f>HYPERLINK("https://arizona.app.box.com/file/386230717934")</f>
        <v>https://arizona.app.box.com/file/386230717934</v>
      </c>
    </row>
    <row r="4781" spans="1:25" x14ac:dyDescent="0.2">
      <c r="A4781">
        <v>1587</v>
      </c>
      <c r="B4781" t="s">
        <v>8883</v>
      </c>
      <c r="C4781" t="s">
        <v>18</v>
      </c>
      <c r="D4781" t="s">
        <v>8888</v>
      </c>
      <c r="E4781" t="s">
        <v>8889</v>
      </c>
      <c r="F4781" t="s">
        <v>1077</v>
      </c>
      <c r="G4781" t="s">
        <v>88</v>
      </c>
      <c r="I4781" t="b">
        <v>0</v>
      </c>
      <c r="J4781" t="b">
        <v>0</v>
      </c>
      <c r="L4781" t="b">
        <v>0</v>
      </c>
      <c r="M4781" t="str">
        <f>HYPERLINK("https://arizona.app.box.com/file/386246892991")</f>
        <v>https://arizona.app.box.com/file/386246892991</v>
      </c>
    </row>
    <row r="4783" spans="1:25" x14ac:dyDescent="0.2">
      <c r="A4783" s="2">
        <v>3906</v>
      </c>
      <c r="B4783" s="2" t="s">
        <v>8890</v>
      </c>
      <c r="C4783" s="2" t="s">
        <v>13</v>
      </c>
      <c r="D4783" s="2" t="s">
        <v>8891</v>
      </c>
      <c r="E4783" s="2" t="s">
        <v>8892</v>
      </c>
      <c r="F4783" s="2" t="s">
        <v>168</v>
      </c>
      <c r="G4783" s="2" t="s">
        <v>17</v>
      </c>
      <c r="H4783" s="2"/>
      <c r="I4783" s="2"/>
      <c r="J4783" s="2"/>
      <c r="K4783" s="2"/>
      <c r="L4783" s="2"/>
      <c r="M4783" s="2"/>
      <c r="N4783" s="2"/>
      <c r="O4783" s="2"/>
      <c r="P4783" s="2"/>
      <c r="Q4783" s="2"/>
      <c r="R4783" s="2"/>
      <c r="S4783" s="2"/>
      <c r="T4783" s="2"/>
      <c r="U4783" s="2"/>
      <c r="V4783" s="2"/>
      <c r="W4783" s="2"/>
      <c r="X4783" s="2"/>
      <c r="Y4783" s="2"/>
    </row>
    <row r="4784" spans="1:25" x14ac:dyDescent="0.2">
      <c r="A4784">
        <v>3907</v>
      </c>
      <c r="B4784" t="s">
        <v>8890</v>
      </c>
      <c r="C4784" t="s">
        <v>18</v>
      </c>
      <c r="D4784" t="s">
        <v>8891</v>
      </c>
      <c r="E4784" t="s">
        <v>8892</v>
      </c>
      <c r="F4784" t="s">
        <v>168</v>
      </c>
      <c r="G4784" t="s">
        <v>17</v>
      </c>
      <c r="I4784" t="b">
        <v>1</v>
      </c>
      <c r="J4784" t="b">
        <v>1</v>
      </c>
      <c r="L4784" t="b">
        <v>1</v>
      </c>
      <c r="M4784" t="str">
        <f>HYPERLINK("https://arizona.app.box.com/file/389165211304")</f>
        <v>https://arizona.app.box.com/file/389165211304</v>
      </c>
      <c r="N4784" t="str">
        <f>HYPERLINK("https://arizona.app.box.com/file/389137681531")</f>
        <v>https://arizona.app.box.com/file/389137681531</v>
      </c>
    </row>
    <row r="4785" spans="1:25" x14ac:dyDescent="0.2">
      <c r="A4785">
        <v>3908</v>
      </c>
      <c r="B4785" t="s">
        <v>8890</v>
      </c>
      <c r="C4785" t="s">
        <v>18</v>
      </c>
      <c r="D4785" t="s">
        <v>8893</v>
      </c>
      <c r="E4785" t="s">
        <v>8894</v>
      </c>
      <c r="F4785" t="s">
        <v>168</v>
      </c>
      <c r="G4785" t="s">
        <v>17</v>
      </c>
      <c r="I4785" t="b">
        <v>0</v>
      </c>
      <c r="J4785" t="b">
        <v>0</v>
      </c>
      <c r="L4785" t="b">
        <v>0</v>
      </c>
      <c r="M4785" t="str">
        <f>HYPERLINK("https://arizona.app.box.com/file/386249625097")</f>
        <v>https://arizona.app.box.com/file/386249625097</v>
      </c>
      <c r="N4785" t="str">
        <f>HYPERLINK("https://arizona.app.box.com/file/389161346045")</f>
        <v>https://arizona.app.box.com/file/389161346045</v>
      </c>
    </row>
    <row r="4786" spans="1:25" x14ac:dyDescent="0.2">
      <c r="A4786">
        <v>3909</v>
      </c>
      <c r="B4786" t="s">
        <v>8890</v>
      </c>
      <c r="C4786" t="s">
        <v>18</v>
      </c>
      <c r="D4786" t="s">
        <v>8895</v>
      </c>
      <c r="E4786" t="s">
        <v>8896</v>
      </c>
      <c r="F4786" t="s">
        <v>168</v>
      </c>
      <c r="G4786" t="s">
        <v>17</v>
      </c>
      <c r="I4786" t="b">
        <v>0</v>
      </c>
      <c r="J4786" t="b">
        <v>0</v>
      </c>
      <c r="L4786" t="b">
        <v>0</v>
      </c>
      <c r="M4786" t="str">
        <f>HYPERLINK("https://arizona.app.box.com/file/386252112902")</f>
        <v>https://arizona.app.box.com/file/386252112902</v>
      </c>
      <c r="N4786" t="str">
        <f>HYPERLINK("https://arizona.app.box.com/file/389163468556")</f>
        <v>https://arizona.app.box.com/file/389163468556</v>
      </c>
    </row>
    <row r="4787" spans="1:25" x14ac:dyDescent="0.2">
      <c r="A4787">
        <v>3910</v>
      </c>
      <c r="B4787" t="s">
        <v>8890</v>
      </c>
      <c r="C4787" t="s">
        <v>18</v>
      </c>
      <c r="D4787" t="s">
        <v>5633</v>
      </c>
      <c r="E4787" t="s">
        <v>5634</v>
      </c>
      <c r="F4787" t="s">
        <v>168</v>
      </c>
      <c r="G4787" t="s">
        <v>17</v>
      </c>
      <c r="I4787" t="b">
        <v>0</v>
      </c>
      <c r="J4787" t="b">
        <v>0</v>
      </c>
      <c r="L4787" t="b">
        <v>0</v>
      </c>
      <c r="M4787" t="str">
        <f>HYPERLINK("https://arizona.app.box.com/file/389166315337")</f>
        <v>https://arizona.app.box.com/file/389166315337</v>
      </c>
      <c r="N4787" t="str">
        <f>HYPERLINK("https://arizona.app.box.com/file/389161910848")</f>
        <v>https://arizona.app.box.com/file/389161910848</v>
      </c>
    </row>
    <row r="4788" spans="1:25" x14ac:dyDescent="0.2">
      <c r="A4788">
        <v>3911</v>
      </c>
      <c r="B4788" t="s">
        <v>8890</v>
      </c>
      <c r="C4788" t="s">
        <v>18</v>
      </c>
      <c r="D4788" t="s">
        <v>8897</v>
      </c>
      <c r="E4788" t="s">
        <v>8898</v>
      </c>
      <c r="F4788" t="s">
        <v>168</v>
      </c>
      <c r="G4788" t="s">
        <v>17</v>
      </c>
      <c r="I4788" t="b">
        <v>0</v>
      </c>
      <c r="J4788" t="b">
        <v>0</v>
      </c>
      <c r="L4788" t="b">
        <v>0</v>
      </c>
    </row>
    <row r="4790" spans="1:25" x14ac:dyDescent="0.2">
      <c r="A4790" s="2">
        <v>4613</v>
      </c>
      <c r="B4790" s="2" t="s">
        <v>8899</v>
      </c>
      <c r="C4790" s="2" t="s">
        <v>13</v>
      </c>
      <c r="D4790" s="2" t="s">
        <v>8900</v>
      </c>
      <c r="E4790" s="2" t="s">
        <v>8901</v>
      </c>
      <c r="F4790" s="2" t="s">
        <v>316</v>
      </c>
      <c r="G4790" s="2" t="s">
        <v>345</v>
      </c>
      <c r="H4790" s="2"/>
      <c r="I4790" s="2"/>
      <c r="J4790" s="2"/>
      <c r="K4790" s="2"/>
      <c r="L4790" s="2"/>
      <c r="M4790" s="2"/>
      <c r="N4790" s="2"/>
      <c r="O4790" s="2"/>
      <c r="P4790" s="2"/>
      <c r="Q4790" s="2"/>
      <c r="R4790" s="2"/>
      <c r="S4790" s="2"/>
      <c r="T4790" s="2"/>
      <c r="U4790" s="2"/>
      <c r="V4790" s="2"/>
      <c r="W4790" s="2"/>
      <c r="X4790" s="2"/>
      <c r="Y4790" s="2"/>
    </row>
    <row r="4791" spans="1:25" x14ac:dyDescent="0.2">
      <c r="A4791">
        <v>4614</v>
      </c>
      <c r="B4791" t="s">
        <v>8899</v>
      </c>
      <c r="C4791" t="s">
        <v>18</v>
      </c>
      <c r="D4791" t="s">
        <v>8493</v>
      </c>
      <c r="E4791" t="s">
        <v>3049</v>
      </c>
      <c r="F4791" t="s">
        <v>616</v>
      </c>
      <c r="G4791" t="s">
        <v>345</v>
      </c>
      <c r="I4791" t="b">
        <v>1</v>
      </c>
      <c r="J4791" t="b">
        <v>1</v>
      </c>
      <c r="L4791" t="b">
        <v>1</v>
      </c>
      <c r="M4791" t="str">
        <f>HYPERLINK("https://arizona.app.box.com/file/389260945456")</f>
        <v>https://arizona.app.box.com/file/389260945456</v>
      </c>
      <c r="N4791" t="str">
        <f>HYPERLINK("https://arizona.app.box.com/file/389153346295")</f>
        <v>https://arizona.app.box.com/file/389153346295</v>
      </c>
    </row>
    <row r="4792" spans="1:25" x14ac:dyDescent="0.2">
      <c r="A4792">
        <v>4615</v>
      </c>
      <c r="B4792" t="s">
        <v>8899</v>
      </c>
      <c r="C4792" t="s">
        <v>18</v>
      </c>
      <c r="D4792" t="s">
        <v>8902</v>
      </c>
      <c r="E4792" t="s">
        <v>3618</v>
      </c>
      <c r="F4792" t="s">
        <v>78</v>
      </c>
      <c r="G4792" t="s">
        <v>345</v>
      </c>
      <c r="I4792" t="b">
        <v>0</v>
      </c>
      <c r="J4792" t="b">
        <v>0</v>
      </c>
      <c r="L4792" t="b">
        <v>0</v>
      </c>
      <c r="M4792" t="str">
        <f>HYPERLINK("https://arizona.app.box.com/file/389264914324")</f>
        <v>https://arizona.app.box.com/file/389264914324</v>
      </c>
      <c r="N4792" t="str">
        <f>HYPERLINK("https://arizona.app.box.com/file/389166883004")</f>
        <v>https://arizona.app.box.com/file/389166883004</v>
      </c>
    </row>
    <row r="4793" spans="1:25" x14ac:dyDescent="0.2">
      <c r="A4793">
        <v>4616</v>
      </c>
      <c r="B4793" t="s">
        <v>8899</v>
      </c>
      <c r="C4793" t="s">
        <v>18</v>
      </c>
      <c r="D4793" t="s">
        <v>8903</v>
      </c>
      <c r="E4793" t="s">
        <v>8904</v>
      </c>
      <c r="F4793" t="s">
        <v>168</v>
      </c>
      <c r="G4793" t="s">
        <v>345</v>
      </c>
      <c r="I4793" t="b">
        <v>0</v>
      </c>
      <c r="J4793" t="b">
        <v>0</v>
      </c>
      <c r="L4793" t="b">
        <v>0</v>
      </c>
    </row>
    <row r="4794" spans="1:25" x14ac:dyDescent="0.2">
      <c r="A4794">
        <v>4617</v>
      </c>
      <c r="B4794" t="s">
        <v>8899</v>
      </c>
      <c r="C4794" t="s">
        <v>18</v>
      </c>
      <c r="D4794" t="s">
        <v>8905</v>
      </c>
      <c r="E4794" t="s">
        <v>8906</v>
      </c>
      <c r="F4794" t="s">
        <v>23</v>
      </c>
      <c r="G4794" t="s">
        <v>345</v>
      </c>
      <c r="I4794" t="b">
        <v>0</v>
      </c>
      <c r="J4794" t="b">
        <v>0</v>
      </c>
      <c r="L4794" t="b">
        <v>0</v>
      </c>
    </row>
    <row r="4795" spans="1:25" x14ac:dyDescent="0.2">
      <c r="A4795">
        <v>4618</v>
      </c>
      <c r="B4795" t="s">
        <v>8899</v>
      </c>
      <c r="C4795" t="s">
        <v>18</v>
      </c>
      <c r="D4795" t="s">
        <v>1659</v>
      </c>
      <c r="E4795" t="s">
        <v>1660</v>
      </c>
      <c r="F4795" t="s">
        <v>82</v>
      </c>
      <c r="G4795" t="s">
        <v>345</v>
      </c>
      <c r="I4795" t="b">
        <v>0</v>
      </c>
      <c r="J4795" t="b">
        <v>0</v>
      </c>
      <c r="L4795" t="b">
        <v>0</v>
      </c>
      <c r="M4795" t="str">
        <f>HYPERLINK("https://arizona.app.box.com/file/386233347340")</f>
        <v>https://arizona.app.box.com/file/386233347340</v>
      </c>
      <c r="N4795" t="str">
        <f>HYPERLINK("https://arizona.app.box.com/file/386217721898")</f>
        <v>https://arizona.app.box.com/file/386217721898</v>
      </c>
    </row>
    <row r="4797" spans="1:25" x14ac:dyDescent="0.2">
      <c r="A4797" s="2">
        <v>2436</v>
      </c>
      <c r="B4797" s="2" t="s">
        <v>8907</v>
      </c>
      <c r="C4797" s="2" t="s">
        <v>13</v>
      </c>
      <c r="D4797" s="2" t="s">
        <v>169</v>
      </c>
      <c r="E4797" s="2" t="s">
        <v>8908</v>
      </c>
      <c r="F4797" s="2" t="s">
        <v>16</v>
      </c>
      <c r="G4797" s="2" t="s">
        <v>24</v>
      </c>
      <c r="H4797" s="2"/>
      <c r="I4797" s="2"/>
      <c r="J4797" s="2"/>
      <c r="K4797" s="2"/>
      <c r="L4797" s="2"/>
      <c r="M4797" s="2"/>
      <c r="N4797" s="2"/>
      <c r="O4797" s="2"/>
      <c r="P4797" s="2"/>
      <c r="Q4797" s="2"/>
      <c r="R4797" s="2"/>
      <c r="S4797" s="2"/>
      <c r="T4797" s="2"/>
      <c r="U4797" s="2"/>
      <c r="V4797" s="2"/>
      <c r="W4797" s="2"/>
      <c r="X4797" s="2"/>
      <c r="Y4797" s="2"/>
    </row>
    <row r="4798" spans="1:25" x14ac:dyDescent="0.2">
      <c r="A4798">
        <v>2437</v>
      </c>
      <c r="B4798" t="s">
        <v>8907</v>
      </c>
      <c r="C4798" t="s">
        <v>18</v>
      </c>
      <c r="D4798" t="s">
        <v>169</v>
      </c>
      <c r="E4798" t="s">
        <v>170</v>
      </c>
      <c r="F4798" t="s">
        <v>16</v>
      </c>
      <c r="G4798" t="s">
        <v>24</v>
      </c>
      <c r="I4798" t="b">
        <v>1</v>
      </c>
      <c r="J4798" t="b">
        <v>1</v>
      </c>
      <c r="L4798" t="b">
        <v>1</v>
      </c>
      <c r="M4798" t="str">
        <f>HYPERLINK("https://arizona.app.box.com/file/389268280980")</f>
        <v>https://arizona.app.box.com/file/389268280980</v>
      </c>
      <c r="N4798" t="str">
        <f>HYPERLINK("https://arizona.app.box.com/file/389160744467")</f>
        <v>https://arizona.app.box.com/file/389160744467</v>
      </c>
    </row>
    <row r="4799" spans="1:25" x14ac:dyDescent="0.2">
      <c r="A4799">
        <v>2438</v>
      </c>
      <c r="B4799" t="s">
        <v>8907</v>
      </c>
      <c r="C4799" t="s">
        <v>18</v>
      </c>
      <c r="D4799" t="s">
        <v>166</v>
      </c>
      <c r="E4799" t="s">
        <v>167</v>
      </c>
      <c r="F4799" t="s">
        <v>168</v>
      </c>
      <c r="G4799" t="s">
        <v>24</v>
      </c>
      <c r="I4799" t="b">
        <v>0</v>
      </c>
      <c r="J4799" t="b">
        <v>0</v>
      </c>
      <c r="L4799" t="b">
        <v>0</v>
      </c>
      <c r="M4799" t="str">
        <f>HYPERLINK("https://arizona.app.box.com/file/389170381266")</f>
        <v>https://arizona.app.box.com/file/389170381266</v>
      </c>
      <c r="N4799" t="str">
        <f>HYPERLINK("https://arizona.app.box.com/file/386216367225")</f>
        <v>https://arizona.app.box.com/file/386216367225</v>
      </c>
    </row>
    <row r="4800" spans="1:25" x14ac:dyDescent="0.2">
      <c r="A4800">
        <v>2439</v>
      </c>
      <c r="B4800" t="s">
        <v>8907</v>
      </c>
      <c r="C4800" t="s">
        <v>18</v>
      </c>
      <c r="D4800" t="s">
        <v>157</v>
      </c>
      <c r="E4800" t="s">
        <v>158</v>
      </c>
      <c r="F4800" t="s">
        <v>160</v>
      </c>
      <c r="G4800" t="s">
        <v>161</v>
      </c>
      <c r="I4800" t="b">
        <v>0</v>
      </c>
      <c r="J4800" t="b">
        <v>0</v>
      </c>
      <c r="L4800" t="b">
        <v>0</v>
      </c>
      <c r="M4800" t="str">
        <f>HYPERLINK("https://arizona.app.box.com/file/389263180916")</f>
        <v>https://arizona.app.box.com/file/389263180916</v>
      </c>
      <c r="N4800" t="str">
        <f>HYPERLINK("https://arizona.app.box.com/file/386216449454")</f>
        <v>https://arizona.app.box.com/file/386216449454</v>
      </c>
    </row>
    <row r="4801" spans="1:25" x14ac:dyDescent="0.2">
      <c r="A4801">
        <v>2440</v>
      </c>
      <c r="B4801" t="s">
        <v>8907</v>
      </c>
      <c r="C4801" t="s">
        <v>18</v>
      </c>
      <c r="D4801" t="s">
        <v>4158</v>
      </c>
      <c r="E4801" t="s">
        <v>4159</v>
      </c>
      <c r="F4801" t="s">
        <v>168</v>
      </c>
      <c r="G4801" t="s">
        <v>24</v>
      </c>
      <c r="I4801" t="b">
        <v>0</v>
      </c>
      <c r="J4801" t="b">
        <v>0</v>
      </c>
      <c r="L4801" t="b">
        <v>0</v>
      </c>
      <c r="M4801" t="str">
        <f>HYPERLINK("https://arizona.app.box.com/file/389171477193")</f>
        <v>https://arizona.app.box.com/file/389171477193</v>
      </c>
      <c r="N4801" t="str">
        <f>HYPERLINK("https://arizona.app.box.com/file/386238603596")</f>
        <v>https://arizona.app.box.com/file/386238603596</v>
      </c>
    </row>
    <row r="4802" spans="1:25" x14ac:dyDescent="0.2">
      <c r="A4802">
        <v>2441</v>
      </c>
      <c r="B4802" t="s">
        <v>8907</v>
      </c>
      <c r="C4802" t="s">
        <v>18</v>
      </c>
      <c r="D4802" t="s">
        <v>162</v>
      </c>
      <c r="E4802" t="s">
        <v>163</v>
      </c>
      <c r="F4802" t="s">
        <v>16</v>
      </c>
      <c r="G4802" t="s">
        <v>24</v>
      </c>
      <c r="I4802" t="b">
        <v>0</v>
      </c>
      <c r="J4802" t="b">
        <v>0</v>
      </c>
      <c r="L4802" t="b">
        <v>0</v>
      </c>
      <c r="M4802" t="str">
        <f>HYPERLINK("https://arizona.app.box.com/file/389255779743")</f>
        <v>https://arizona.app.box.com/file/389255779743</v>
      </c>
      <c r="N4802" t="str">
        <f>HYPERLINK("https://arizona.app.box.com/file/389152310670")</f>
        <v>https://arizona.app.box.com/file/389152310670</v>
      </c>
    </row>
    <row r="4804" spans="1:25" x14ac:dyDescent="0.2">
      <c r="A4804" s="2">
        <v>49</v>
      </c>
      <c r="B4804" s="2" t="s">
        <v>8909</v>
      </c>
      <c r="C4804" s="2" t="s">
        <v>13</v>
      </c>
      <c r="D4804" s="2" t="s">
        <v>8910</v>
      </c>
      <c r="E4804" s="2" t="s">
        <v>8911</v>
      </c>
      <c r="F4804" s="2" t="s">
        <v>2343</v>
      </c>
      <c r="G4804" s="2" t="s">
        <v>32</v>
      </c>
      <c r="H4804" s="2"/>
      <c r="I4804" s="2"/>
      <c r="J4804" s="2"/>
      <c r="K4804" s="2"/>
      <c r="L4804" s="2"/>
      <c r="M4804" s="2"/>
      <c r="N4804" s="2"/>
      <c r="O4804" s="2"/>
      <c r="P4804" s="2"/>
      <c r="Q4804" s="2"/>
      <c r="R4804" s="2"/>
      <c r="S4804" s="2"/>
      <c r="T4804" s="2"/>
      <c r="U4804" s="2"/>
      <c r="V4804" s="2"/>
      <c r="W4804" s="2"/>
      <c r="X4804" s="2"/>
      <c r="Y4804" s="2"/>
    </row>
    <row r="4805" spans="1:25" x14ac:dyDescent="0.2">
      <c r="A4805">
        <v>50</v>
      </c>
      <c r="B4805" t="s">
        <v>8909</v>
      </c>
      <c r="C4805" t="s">
        <v>18</v>
      </c>
      <c r="D4805" t="s">
        <v>8910</v>
      </c>
      <c r="E4805" t="s">
        <v>8911</v>
      </c>
      <c r="F4805" t="s">
        <v>2343</v>
      </c>
      <c r="G4805" t="s">
        <v>32</v>
      </c>
      <c r="I4805" t="b">
        <v>1</v>
      </c>
      <c r="J4805" t="b">
        <v>1</v>
      </c>
      <c r="L4805" t="b">
        <v>1</v>
      </c>
      <c r="M4805" t="str">
        <f>HYPERLINK("https://arizona.app.box.com/file/386213147607")</f>
        <v>https://arizona.app.box.com/file/386213147607</v>
      </c>
      <c r="N4805" t="str">
        <f>HYPERLINK("https://arizona.app.box.com/file/386215740112")</f>
        <v>https://arizona.app.box.com/file/386215740112</v>
      </c>
    </row>
    <row r="4806" spans="1:25" x14ac:dyDescent="0.2">
      <c r="A4806">
        <v>51</v>
      </c>
      <c r="B4806" t="s">
        <v>8909</v>
      </c>
      <c r="C4806" t="s">
        <v>18</v>
      </c>
      <c r="D4806" t="s">
        <v>8912</v>
      </c>
      <c r="E4806" t="s">
        <v>8913</v>
      </c>
      <c r="F4806" t="s">
        <v>23</v>
      </c>
      <c r="G4806" t="s">
        <v>917</v>
      </c>
      <c r="I4806" t="b">
        <v>0</v>
      </c>
      <c r="J4806" t="b">
        <v>0</v>
      </c>
      <c r="L4806" t="b">
        <v>0</v>
      </c>
      <c r="M4806" t="str">
        <f>HYPERLINK("https://arizona.app.box.com/file/386239230791")</f>
        <v>https://arizona.app.box.com/file/386239230791</v>
      </c>
    </row>
    <row r="4807" spans="1:25" x14ac:dyDescent="0.2">
      <c r="A4807">
        <v>52</v>
      </c>
      <c r="B4807" t="s">
        <v>8909</v>
      </c>
      <c r="C4807" t="s">
        <v>18</v>
      </c>
      <c r="D4807" t="s">
        <v>6069</v>
      </c>
      <c r="E4807" t="s">
        <v>3531</v>
      </c>
      <c r="F4807" t="s">
        <v>260</v>
      </c>
      <c r="G4807" t="s">
        <v>32</v>
      </c>
      <c r="I4807" t="b">
        <v>0</v>
      </c>
      <c r="J4807" t="b">
        <v>0</v>
      </c>
      <c r="L4807" t="b">
        <v>0</v>
      </c>
    </row>
    <row r="4808" spans="1:25" x14ac:dyDescent="0.2">
      <c r="A4808">
        <v>53</v>
      </c>
      <c r="B4808" t="s">
        <v>8909</v>
      </c>
      <c r="C4808" t="s">
        <v>18</v>
      </c>
      <c r="D4808" t="s">
        <v>8914</v>
      </c>
      <c r="E4808" t="s">
        <v>8915</v>
      </c>
      <c r="F4808" t="s">
        <v>23</v>
      </c>
      <c r="G4808" t="s">
        <v>917</v>
      </c>
      <c r="I4808" t="b">
        <v>0</v>
      </c>
      <c r="J4808" t="b">
        <v>0</v>
      </c>
      <c r="L4808" t="b">
        <v>0</v>
      </c>
      <c r="M4808" t="str">
        <f>HYPERLINK("https://arizona.app.box.com/file/386241885838")</f>
        <v>https://arizona.app.box.com/file/386241885838</v>
      </c>
    </row>
    <row r="4809" spans="1:25" x14ac:dyDescent="0.2">
      <c r="A4809">
        <v>54</v>
      </c>
      <c r="B4809" t="s">
        <v>8909</v>
      </c>
      <c r="C4809" t="s">
        <v>18</v>
      </c>
      <c r="D4809" t="s">
        <v>8916</v>
      </c>
      <c r="E4809" t="s">
        <v>8917</v>
      </c>
      <c r="F4809" t="s">
        <v>260</v>
      </c>
      <c r="G4809" t="s">
        <v>8918</v>
      </c>
      <c r="I4809" t="b">
        <v>0</v>
      </c>
      <c r="J4809" t="b">
        <v>0</v>
      </c>
      <c r="L4809" t="b">
        <v>0</v>
      </c>
      <c r="M4809" t="str">
        <f>HYPERLINK("https://arizona.app.box.com/file/386250443934")</f>
        <v>https://arizona.app.box.com/file/386250443934</v>
      </c>
    </row>
    <row r="4811" spans="1:25" x14ac:dyDescent="0.2">
      <c r="A4811" s="2">
        <v>4907</v>
      </c>
      <c r="B4811" s="2" t="s">
        <v>8919</v>
      </c>
      <c r="C4811" s="2" t="s">
        <v>13</v>
      </c>
      <c r="D4811" s="2" t="s">
        <v>8920</v>
      </c>
      <c r="E4811" s="2" t="s">
        <v>8921</v>
      </c>
      <c r="F4811" s="2" t="s">
        <v>78</v>
      </c>
      <c r="G4811" s="2" t="s">
        <v>130</v>
      </c>
      <c r="H4811" s="2"/>
      <c r="I4811" s="2"/>
      <c r="J4811" s="2"/>
      <c r="K4811" s="2"/>
      <c r="L4811" s="2"/>
      <c r="M4811" s="2"/>
      <c r="N4811" s="2"/>
      <c r="O4811" s="2"/>
      <c r="P4811" s="2"/>
      <c r="Q4811" s="2"/>
      <c r="R4811" s="2"/>
      <c r="S4811" s="2"/>
      <c r="T4811" s="2"/>
      <c r="U4811" s="2"/>
      <c r="V4811" s="2"/>
      <c r="W4811" s="2"/>
      <c r="X4811" s="2"/>
      <c r="Y4811" s="2"/>
    </row>
    <row r="4812" spans="1:25" x14ac:dyDescent="0.2">
      <c r="A4812">
        <v>4908</v>
      </c>
      <c r="B4812" t="s">
        <v>8919</v>
      </c>
      <c r="C4812" t="s">
        <v>18</v>
      </c>
      <c r="D4812" t="s">
        <v>8920</v>
      </c>
      <c r="E4812" t="s">
        <v>8922</v>
      </c>
      <c r="F4812" t="s">
        <v>78</v>
      </c>
      <c r="G4812" t="s">
        <v>130</v>
      </c>
      <c r="I4812" t="b">
        <v>1</v>
      </c>
      <c r="J4812" t="b">
        <v>1</v>
      </c>
      <c r="L4812" t="b">
        <v>1</v>
      </c>
    </row>
    <row r="4813" spans="1:25" x14ac:dyDescent="0.2">
      <c r="A4813">
        <v>4909</v>
      </c>
      <c r="B4813" t="s">
        <v>8919</v>
      </c>
      <c r="C4813" t="s">
        <v>18</v>
      </c>
      <c r="D4813" t="s">
        <v>8923</v>
      </c>
      <c r="E4813" t="s">
        <v>8924</v>
      </c>
      <c r="F4813" t="s">
        <v>78</v>
      </c>
      <c r="G4813" t="s">
        <v>130</v>
      </c>
      <c r="I4813" t="b">
        <v>1</v>
      </c>
      <c r="J4813" t="b">
        <v>1</v>
      </c>
      <c r="L4813" t="b">
        <v>1</v>
      </c>
      <c r="M4813" t="str">
        <f>HYPERLINK("https://arizona.app.box.com/file/386227733910")</f>
        <v>https://arizona.app.box.com/file/386227733910</v>
      </c>
    </row>
    <row r="4814" spans="1:25" x14ac:dyDescent="0.2">
      <c r="A4814">
        <v>4910</v>
      </c>
      <c r="B4814" t="s">
        <v>8919</v>
      </c>
      <c r="C4814" t="s">
        <v>18</v>
      </c>
      <c r="D4814" t="s">
        <v>8925</v>
      </c>
      <c r="E4814" t="s">
        <v>8926</v>
      </c>
      <c r="F4814" t="s">
        <v>78</v>
      </c>
      <c r="G4814" t="s">
        <v>130</v>
      </c>
      <c r="I4814" t="b">
        <v>0</v>
      </c>
      <c r="J4814" t="b">
        <v>0</v>
      </c>
      <c r="L4814" t="b">
        <v>0</v>
      </c>
      <c r="M4814" t="str">
        <f>HYPERLINK("https://arizona.app.box.com/file/389257362448")</f>
        <v>https://arizona.app.box.com/file/389257362448</v>
      </c>
      <c r="N4814" t="str">
        <f>HYPERLINK("https://arizona.app.box.com/file/389154182285")</f>
        <v>https://arizona.app.box.com/file/389154182285</v>
      </c>
      <c r="O4814" t="str">
        <f>HYPERLINK("https://arizona.app.box.com/file/389166641329")</f>
        <v>https://arizona.app.box.com/file/389166641329</v>
      </c>
      <c r="P4814" t="str">
        <f>HYPERLINK("https://arizona.app.box.com/file/386240784368")</f>
        <v>https://arizona.app.box.com/file/386240784368</v>
      </c>
    </row>
    <row r="4815" spans="1:25" x14ac:dyDescent="0.2">
      <c r="A4815">
        <v>4911</v>
      </c>
      <c r="B4815" t="s">
        <v>8919</v>
      </c>
      <c r="C4815" t="s">
        <v>18</v>
      </c>
      <c r="D4815" t="s">
        <v>8927</v>
      </c>
      <c r="E4815" t="s">
        <v>5177</v>
      </c>
      <c r="F4815" t="s">
        <v>78</v>
      </c>
      <c r="G4815" t="s">
        <v>88</v>
      </c>
      <c r="I4815" t="b">
        <v>0</v>
      </c>
      <c r="J4815" t="b">
        <v>0</v>
      </c>
      <c r="L4815" t="b">
        <v>0</v>
      </c>
      <c r="M4815" t="str">
        <f>HYPERLINK("https://arizona.app.box.com/file/386242711276")</f>
        <v>https://arizona.app.box.com/file/386242711276</v>
      </c>
    </row>
    <row r="4816" spans="1:25" x14ac:dyDescent="0.2">
      <c r="A4816">
        <v>4912</v>
      </c>
      <c r="B4816" t="s">
        <v>8919</v>
      </c>
      <c r="C4816" t="s">
        <v>18</v>
      </c>
      <c r="D4816" t="s">
        <v>8280</v>
      </c>
      <c r="E4816" t="s">
        <v>8281</v>
      </c>
      <c r="F4816" t="s">
        <v>78</v>
      </c>
      <c r="G4816" t="s">
        <v>88</v>
      </c>
      <c r="I4816" t="b">
        <v>0</v>
      </c>
      <c r="J4816" t="b">
        <v>0</v>
      </c>
      <c r="L4816" t="b">
        <v>0</v>
      </c>
      <c r="M4816" t="str">
        <f>HYPERLINK("https://arizona.app.box.com/file/386231475025")</f>
        <v>https://arizona.app.box.com/file/386231475025</v>
      </c>
    </row>
    <row r="4818" spans="1:25" x14ac:dyDescent="0.2">
      <c r="A4818" s="2">
        <v>1638</v>
      </c>
      <c r="B4818" s="2" t="s">
        <v>8928</v>
      </c>
      <c r="C4818" s="2" t="s">
        <v>13</v>
      </c>
      <c r="D4818" s="2" t="s">
        <v>8929</v>
      </c>
      <c r="E4818" s="2" t="s">
        <v>8930</v>
      </c>
      <c r="F4818" s="2" t="s">
        <v>6670</v>
      </c>
      <c r="G4818" s="2" t="s">
        <v>17</v>
      </c>
      <c r="H4818" s="2"/>
      <c r="I4818" s="2"/>
      <c r="J4818" s="2"/>
      <c r="K4818" s="2"/>
      <c r="L4818" s="2"/>
      <c r="M4818" s="2"/>
      <c r="N4818" s="2"/>
      <c r="O4818" s="2"/>
      <c r="P4818" s="2"/>
      <c r="Q4818" s="2"/>
      <c r="R4818" s="2"/>
      <c r="S4818" s="2"/>
      <c r="T4818" s="2"/>
      <c r="U4818" s="2"/>
      <c r="V4818" s="2"/>
      <c r="W4818" s="2"/>
      <c r="X4818" s="2"/>
      <c r="Y4818" s="2"/>
    </row>
    <row r="4819" spans="1:25" x14ac:dyDescent="0.2">
      <c r="A4819">
        <v>1639</v>
      </c>
      <c r="B4819" t="s">
        <v>8928</v>
      </c>
      <c r="C4819" t="s">
        <v>18</v>
      </c>
      <c r="D4819" t="s">
        <v>8929</v>
      </c>
      <c r="E4819" t="s">
        <v>8931</v>
      </c>
      <c r="F4819" t="s">
        <v>6670</v>
      </c>
      <c r="G4819" t="s">
        <v>17</v>
      </c>
      <c r="I4819" t="b">
        <v>1</v>
      </c>
      <c r="J4819" t="b">
        <v>1</v>
      </c>
      <c r="L4819" t="b">
        <v>1</v>
      </c>
      <c r="M4819" t="str">
        <f>HYPERLINK("https://arizona.app.box.com/file/389137776628")</f>
        <v>https://arizona.app.box.com/file/389137776628</v>
      </c>
    </row>
    <row r="4820" spans="1:25" x14ac:dyDescent="0.2">
      <c r="A4820">
        <v>1640</v>
      </c>
      <c r="B4820" t="s">
        <v>8928</v>
      </c>
      <c r="C4820" t="s">
        <v>18</v>
      </c>
      <c r="D4820" t="s">
        <v>8932</v>
      </c>
      <c r="E4820" t="s">
        <v>8933</v>
      </c>
      <c r="F4820" t="s">
        <v>6670</v>
      </c>
      <c r="G4820" t="s">
        <v>17</v>
      </c>
      <c r="I4820" t="b">
        <v>1</v>
      </c>
      <c r="J4820" t="b">
        <v>1</v>
      </c>
      <c r="L4820" t="b">
        <v>1</v>
      </c>
      <c r="M4820" t="str">
        <f>HYPERLINK("https://arizona.app.box.com/file/389164915125")</f>
        <v>https://arizona.app.box.com/file/389164915125</v>
      </c>
    </row>
    <row r="4821" spans="1:25" x14ac:dyDescent="0.2">
      <c r="A4821">
        <v>1641</v>
      </c>
      <c r="B4821" t="s">
        <v>8928</v>
      </c>
      <c r="C4821" t="s">
        <v>18</v>
      </c>
      <c r="D4821" t="s">
        <v>8934</v>
      </c>
      <c r="E4821" t="s">
        <v>489</v>
      </c>
      <c r="F4821" t="s">
        <v>6670</v>
      </c>
      <c r="G4821" t="s">
        <v>17</v>
      </c>
      <c r="I4821" t="b">
        <v>0</v>
      </c>
      <c r="J4821" t="b">
        <v>1</v>
      </c>
      <c r="L4821" t="b">
        <v>1</v>
      </c>
      <c r="M4821" t="str">
        <f>HYPERLINK("https://arizona.app.box.com/file/389160373400")</f>
        <v>https://arizona.app.box.com/file/389160373400</v>
      </c>
    </row>
    <row r="4822" spans="1:25" x14ac:dyDescent="0.2">
      <c r="A4822">
        <v>1642</v>
      </c>
      <c r="B4822" t="s">
        <v>8928</v>
      </c>
      <c r="C4822" t="s">
        <v>18</v>
      </c>
      <c r="D4822" t="s">
        <v>4197</v>
      </c>
      <c r="E4822" t="s">
        <v>1789</v>
      </c>
      <c r="F4822" t="s">
        <v>174</v>
      </c>
      <c r="G4822" t="s">
        <v>17</v>
      </c>
      <c r="I4822" t="b">
        <v>0</v>
      </c>
      <c r="J4822" t="b">
        <v>0</v>
      </c>
      <c r="L4822" t="b">
        <v>0</v>
      </c>
      <c r="M4822" t="str">
        <f>HYPERLINK("https://arizona.app.box.com/file/389170642136")</f>
        <v>https://arizona.app.box.com/file/389170642136</v>
      </c>
      <c r="N4822" t="str">
        <f>HYPERLINK("https://arizona.app.box.com/file/386239372641")</f>
        <v>https://arizona.app.box.com/file/386239372641</v>
      </c>
    </row>
    <row r="4823" spans="1:25" x14ac:dyDescent="0.2">
      <c r="A4823">
        <v>1643</v>
      </c>
      <c r="B4823" t="s">
        <v>8928</v>
      </c>
      <c r="C4823" t="s">
        <v>18</v>
      </c>
      <c r="D4823" t="s">
        <v>1258</v>
      </c>
      <c r="E4823" t="s">
        <v>1259</v>
      </c>
      <c r="F4823" t="s">
        <v>151</v>
      </c>
      <c r="G4823" t="s">
        <v>24</v>
      </c>
      <c r="I4823" t="b">
        <v>0</v>
      </c>
      <c r="J4823" t="b">
        <v>0</v>
      </c>
      <c r="L4823" t="b">
        <v>0</v>
      </c>
      <c r="M4823" t="str">
        <f>HYPERLINK("https://arizona.app.box.com/file/386241647264")</f>
        <v>https://arizona.app.box.com/file/386241647264</v>
      </c>
    </row>
    <row r="4825" spans="1:25" x14ac:dyDescent="0.2">
      <c r="A4825" s="2">
        <v>2842</v>
      </c>
      <c r="B4825" s="2" t="s">
        <v>8935</v>
      </c>
      <c r="C4825" s="2" t="s">
        <v>13</v>
      </c>
      <c r="D4825" s="2" t="s">
        <v>8936</v>
      </c>
      <c r="E4825" s="2" t="s">
        <v>8937</v>
      </c>
      <c r="F4825" s="2" t="s">
        <v>159</v>
      </c>
      <c r="G4825" s="2" t="s">
        <v>201</v>
      </c>
      <c r="H4825" s="2"/>
      <c r="I4825" s="2"/>
      <c r="J4825" s="2"/>
      <c r="K4825" s="2"/>
      <c r="L4825" s="2"/>
      <c r="M4825" s="2"/>
      <c r="N4825" s="2"/>
      <c r="O4825" s="2"/>
      <c r="P4825" s="2"/>
      <c r="Q4825" s="2"/>
      <c r="R4825" s="2"/>
      <c r="S4825" s="2"/>
      <c r="T4825" s="2"/>
      <c r="U4825" s="2"/>
      <c r="V4825" s="2"/>
      <c r="W4825" s="2"/>
      <c r="X4825" s="2"/>
      <c r="Y4825" s="2"/>
    </row>
    <row r="4826" spans="1:25" x14ac:dyDescent="0.2">
      <c r="A4826">
        <v>2843</v>
      </c>
      <c r="B4826" t="s">
        <v>8935</v>
      </c>
      <c r="C4826" t="s">
        <v>18</v>
      </c>
      <c r="D4826" t="s">
        <v>4369</v>
      </c>
      <c r="E4826" t="s">
        <v>4370</v>
      </c>
      <c r="F4826" t="s">
        <v>82</v>
      </c>
      <c r="G4826" t="s">
        <v>201</v>
      </c>
      <c r="I4826" t="b">
        <v>1</v>
      </c>
      <c r="J4826" t="b">
        <v>1</v>
      </c>
      <c r="L4826" t="b">
        <v>1</v>
      </c>
      <c r="M4826" t="str">
        <f>HYPERLINK("https://arizona.app.box.com/file/389167450589")</f>
        <v>https://arizona.app.box.com/file/389167450589</v>
      </c>
    </row>
    <row r="4827" spans="1:25" x14ac:dyDescent="0.2">
      <c r="A4827">
        <v>2844</v>
      </c>
      <c r="B4827" t="s">
        <v>8935</v>
      </c>
      <c r="C4827" t="s">
        <v>18</v>
      </c>
      <c r="D4827" t="s">
        <v>2857</v>
      </c>
      <c r="E4827" t="s">
        <v>2858</v>
      </c>
      <c r="F4827" t="s">
        <v>159</v>
      </c>
      <c r="G4827" t="s">
        <v>201</v>
      </c>
      <c r="I4827" t="b">
        <v>0</v>
      </c>
      <c r="J4827" t="b">
        <v>0</v>
      </c>
      <c r="L4827" t="b">
        <v>0</v>
      </c>
      <c r="M4827" t="str">
        <f>HYPERLINK("https://arizona.app.box.com/file/389174865937")</f>
        <v>https://arizona.app.box.com/file/389174865937</v>
      </c>
      <c r="N4827" t="str">
        <f>HYPERLINK("https://arizona.app.box.com/file/386225891568")</f>
        <v>https://arizona.app.box.com/file/386225891568</v>
      </c>
    </row>
    <row r="4828" spans="1:25" x14ac:dyDescent="0.2">
      <c r="A4828">
        <v>2845</v>
      </c>
      <c r="B4828" t="s">
        <v>8935</v>
      </c>
      <c r="C4828" t="s">
        <v>18</v>
      </c>
      <c r="D4828" t="s">
        <v>210</v>
      </c>
      <c r="E4828" t="s">
        <v>211</v>
      </c>
      <c r="F4828" t="s">
        <v>159</v>
      </c>
      <c r="G4828" t="s">
        <v>201</v>
      </c>
      <c r="I4828" t="b">
        <v>0</v>
      </c>
      <c r="J4828" t="b">
        <v>0</v>
      </c>
      <c r="L4828" t="b">
        <v>0</v>
      </c>
      <c r="M4828" t="str">
        <f>HYPERLINK("https://arizona.app.box.com/file/389266347022")</f>
        <v>https://arizona.app.box.com/file/389266347022</v>
      </c>
      <c r="N4828" t="str">
        <f>HYPERLINK("https://arizona.app.box.com/file/389152134689")</f>
        <v>https://arizona.app.box.com/file/389152134689</v>
      </c>
    </row>
    <row r="4829" spans="1:25" x14ac:dyDescent="0.2">
      <c r="A4829">
        <v>2846</v>
      </c>
      <c r="B4829" t="s">
        <v>8935</v>
      </c>
      <c r="C4829" t="s">
        <v>18</v>
      </c>
      <c r="D4829" t="s">
        <v>208</v>
      </c>
      <c r="E4829" t="s">
        <v>209</v>
      </c>
      <c r="F4829" t="s">
        <v>159</v>
      </c>
      <c r="G4829" t="s">
        <v>201</v>
      </c>
      <c r="I4829" t="b">
        <v>0</v>
      </c>
      <c r="J4829" t="b">
        <v>0</v>
      </c>
      <c r="L4829" t="b">
        <v>0</v>
      </c>
      <c r="M4829" t="str">
        <f>HYPERLINK("https://arizona.app.box.com/file/389264776005")</f>
        <v>https://arizona.app.box.com/file/389264776005</v>
      </c>
      <c r="N4829" t="str">
        <f>HYPERLINK("https://arizona.app.box.com/file/389138131286")</f>
        <v>https://arizona.app.box.com/file/389138131286</v>
      </c>
    </row>
    <row r="4830" spans="1:25" x14ac:dyDescent="0.2">
      <c r="A4830">
        <v>2847</v>
      </c>
      <c r="B4830" t="s">
        <v>8935</v>
      </c>
      <c r="C4830" t="s">
        <v>18</v>
      </c>
      <c r="D4830" t="s">
        <v>4375</v>
      </c>
      <c r="E4830" t="s">
        <v>4376</v>
      </c>
      <c r="F4830" t="s">
        <v>159</v>
      </c>
      <c r="G4830" t="s">
        <v>201</v>
      </c>
      <c r="I4830" t="b">
        <v>0</v>
      </c>
      <c r="J4830" t="b">
        <v>0</v>
      </c>
      <c r="L4830" t="b">
        <v>0</v>
      </c>
      <c r="M4830" t="str">
        <f>HYPERLINK("https://arizona.app.box.com/file/389263645999")</f>
        <v>https://arizona.app.box.com/file/389263645999</v>
      </c>
      <c r="N4830" t="str">
        <f>HYPERLINK("https://arizona.app.box.com/file/389163555750")</f>
        <v>https://arizona.app.box.com/file/389163555750</v>
      </c>
    </row>
    <row r="4832" spans="1:25" x14ac:dyDescent="0.2">
      <c r="A4832" s="2">
        <v>6860</v>
      </c>
      <c r="B4832" s="2" t="s">
        <v>8938</v>
      </c>
      <c r="C4832" s="2" t="s">
        <v>13</v>
      </c>
      <c r="D4832" s="2" t="s">
        <v>8939</v>
      </c>
      <c r="E4832" s="2" t="s">
        <v>8940</v>
      </c>
      <c r="F4832" s="2" t="s">
        <v>78</v>
      </c>
      <c r="G4832" s="2" t="s">
        <v>62</v>
      </c>
      <c r="H4832" s="2"/>
      <c r="I4832" s="2"/>
      <c r="J4832" s="2"/>
      <c r="K4832" s="2"/>
      <c r="L4832" s="2"/>
      <c r="M4832" s="2"/>
      <c r="N4832" s="2"/>
      <c r="O4832" s="2"/>
      <c r="P4832" s="2"/>
      <c r="Q4832" s="2"/>
      <c r="R4832" s="2"/>
      <c r="S4832" s="2"/>
      <c r="T4832" s="2"/>
      <c r="U4832" s="2"/>
      <c r="V4832" s="2"/>
      <c r="W4832" s="2"/>
      <c r="X4832" s="2"/>
      <c r="Y4832" s="2"/>
    </row>
    <row r="4833" spans="1:25" x14ac:dyDescent="0.2">
      <c r="A4833">
        <v>6861</v>
      </c>
      <c r="B4833" t="s">
        <v>8938</v>
      </c>
      <c r="C4833" t="s">
        <v>18</v>
      </c>
      <c r="D4833" t="s">
        <v>8939</v>
      </c>
      <c r="E4833" t="s">
        <v>2568</v>
      </c>
      <c r="F4833" t="s">
        <v>78</v>
      </c>
      <c r="G4833" t="s">
        <v>62</v>
      </c>
      <c r="I4833" t="b">
        <v>1</v>
      </c>
      <c r="J4833" t="b">
        <v>1</v>
      </c>
      <c r="L4833" t="b">
        <v>1</v>
      </c>
      <c r="M4833" t="str">
        <f>HYPERLINK("https://arizona.app.box.com/file/386213512718")</f>
        <v>https://arizona.app.box.com/file/386213512718</v>
      </c>
    </row>
    <row r="4834" spans="1:25" x14ac:dyDescent="0.2">
      <c r="A4834">
        <v>6862</v>
      </c>
      <c r="B4834" t="s">
        <v>8938</v>
      </c>
      <c r="C4834" t="s">
        <v>18</v>
      </c>
      <c r="D4834" t="s">
        <v>8941</v>
      </c>
      <c r="E4834" t="s">
        <v>8942</v>
      </c>
      <c r="F4834" t="s">
        <v>78</v>
      </c>
      <c r="G4834" t="s">
        <v>62</v>
      </c>
      <c r="I4834" t="b">
        <v>0</v>
      </c>
      <c r="J4834" t="b">
        <v>1</v>
      </c>
      <c r="L4834" t="b">
        <v>1</v>
      </c>
      <c r="M4834" t="str">
        <f>HYPERLINK("https://arizona.app.box.com/file/386258658163")</f>
        <v>https://arizona.app.box.com/file/386258658163</v>
      </c>
    </row>
    <row r="4835" spans="1:25" x14ac:dyDescent="0.2">
      <c r="A4835">
        <v>6863</v>
      </c>
      <c r="B4835" t="s">
        <v>8938</v>
      </c>
      <c r="C4835" t="s">
        <v>18</v>
      </c>
      <c r="D4835" t="s">
        <v>8943</v>
      </c>
      <c r="E4835" t="s">
        <v>8944</v>
      </c>
      <c r="F4835" t="s">
        <v>78</v>
      </c>
      <c r="G4835" t="s">
        <v>62</v>
      </c>
      <c r="I4835" t="b">
        <v>0</v>
      </c>
      <c r="J4835" t="b">
        <v>0</v>
      </c>
      <c r="L4835" t="b">
        <v>0</v>
      </c>
      <c r="M4835" t="str">
        <f>HYPERLINK("https://arizona.app.box.com/file/386238856593")</f>
        <v>https://arizona.app.box.com/file/386238856593</v>
      </c>
      <c r="N4835" t="str">
        <f>HYPERLINK("https://arizona.app.box.com/file/386218247312")</f>
        <v>https://arizona.app.box.com/file/386218247312</v>
      </c>
    </row>
    <row r="4836" spans="1:25" x14ac:dyDescent="0.2">
      <c r="A4836">
        <v>6864</v>
      </c>
      <c r="B4836" t="s">
        <v>8938</v>
      </c>
      <c r="C4836" t="s">
        <v>18</v>
      </c>
      <c r="D4836" t="s">
        <v>7562</v>
      </c>
      <c r="E4836" t="s">
        <v>7351</v>
      </c>
      <c r="F4836" t="s">
        <v>78</v>
      </c>
      <c r="G4836" t="s">
        <v>62</v>
      </c>
      <c r="I4836" t="b">
        <v>0</v>
      </c>
      <c r="J4836" t="b">
        <v>0</v>
      </c>
      <c r="L4836" t="b">
        <v>0</v>
      </c>
      <c r="M4836" t="str">
        <f>HYPERLINK("https://arizona.app.box.com/file/386241168370")</f>
        <v>https://arizona.app.box.com/file/386241168370</v>
      </c>
    </row>
    <row r="4837" spans="1:25" x14ac:dyDescent="0.2">
      <c r="A4837">
        <v>6865</v>
      </c>
      <c r="B4837" t="s">
        <v>8938</v>
      </c>
      <c r="C4837" t="s">
        <v>18</v>
      </c>
      <c r="D4837" t="s">
        <v>8075</v>
      </c>
      <c r="E4837" t="s">
        <v>8076</v>
      </c>
      <c r="F4837" t="s">
        <v>78</v>
      </c>
      <c r="G4837" t="s">
        <v>62</v>
      </c>
      <c r="I4837" t="b">
        <v>0</v>
      </c>
      <c r="J4837" t="b">
        <v>0</v>
      </c>
      <c r="L4837" t="b">
        <v>0</v>
      </c>
      <c r="M4837" t="str">
        <f>HYPERLINK("https://arizona.app.box.com/file/386244794728")</f>
        <v>https://arizona.app.box.com/file/386244794728</v>
      </c>
    </row>
    <row r="4839" spans="1:25" x14ac:dyDescent="0.2">
      <c r="A4839" s="2">
        <v>1778</v>
      </c>
      <c r="B4839" s="2" t="s">
        <v>8945</v>
      </c>
      <c r="C4839" s="2" t="s">
        <v>13</v>
      </c>
      <c r="D4839" s="2" t="s">
        <v>8946</v>
      </c>
      <c r="E4839" s="2" t="s">
        <v>8947</v>
      </c>
      <c r="F4839" s="2" t="s">
        <v>1617</v>
      </c>
      <c r="G4839" s="2" t="s">
        <v>345</v>
      </c>
      <c r="H4839" s="2"/>
      <c r="I4839" s="2"/>
      <c r="J4839" s="2"/>
      <c r="K4839" s="2"/>
      <c r="L4839" s="2"/>
      <c r="M4839" s="2"/>
      <c r="N4839" s="2"/>
      <c r="O4839" s="2"/>
      <c r="P4839" s="2"/>
      <c r="Q4839" s="2"/>
      <c r="R4839" s="2"/>
      <c r="S4839" s="2"/>
      <c r="T4839" s="2"/>
      <c r="U4839" s="2"/>
      <c r="V4839" s="2"/>
      <c r="W4839" s="2"/>
      <c r="X4839" s="2"/>
      <c r="Y4839" s="2"/>
    </row>
    <row r="4840" spans="1:25" x14ac:dyDescent="0.2">
      <c r="A4840">
        <v>1779</v>
      </c>
      <c r="B4840" t="s">
        <v>8945</v>
      </c>
      <c r="C4840" t="s">
        <v>18</v>
      </c>
      <c r="D4840" t="s">
        <v>8946</v>
      </c>
      <c r="E4840" t="s">
        <v>8948</v>
      </c>
      <c r="F4840" t="s">
        <v>1617</v>
      </c>
      <c r="G4840" t="s">
        <v>345</v>
      </c>
      <c r="I4840" t="b">
        <v>1</v>
      </c>
      <c r="J4840" t="b">
        <v>1</v>
      </c>
      <c r="L4840" t="b">
        <v>1</v>
      </c>
      <c r="M4840" t="str">
        <f>HYPERLINK("https://arizona.app.box.com/file/389267538808")</f>
        <v>https://arizona.app.box.com/file/389267538808</v>
      </c>
      <c r="N4840" t="str">
        <f>HYPERLINK("https://arizona.app.box.com/file/389170925139")</f>
        <v>https://arizona.app.box.com/file/389170925139</v>
      </c>
    </row>
    <row r="4841" spans="1:25" x14ac:dyDescent="0.2">
      <c r="A4841">
        <v>1780</v>
      </c>
      <c r="B4841" t="s">
        <v>8945</v>
      </c>
      <c r="C4841" t="s">
        <v>18</v>
      </c>
      <c r="D4841" t="s">
        <v>8949</v>
      </c>
      <c r="E4841" t="s">
        <v>8950</v>
      </c>
      <c r="F4841" t="s">
        <v>1617</v>
      </c>
      <c r="G4841" t="s">
        <v>345</v>
      </c>
      <c r="I4841" t="b">
        <v>1</v>
      </c>
      <c r="J4841" t="b">
        <v>1</v>
      </c>
      <c r="L4841" t="b">
        <v>1</v>
      </c>
      <c r="M4841" t="str">
        <f>HYPERLINK("https://arizona.app.box.com/file/389255825086")</f>
        <v>https://arizona.app.box.com/file/389255825086</v>
      </c>
      <c r="N4841" t="str">
        <f>HYPERLINK("https://arizona.app.box.com/file/389152000698")</f>
        <v>https://arizona.app.box.com/file/389152000698</v>
      </c>
    </row>
    <row r="4842" spans="1:25" x14ac:dyDescent="0.2">
      <c r="A4842">
        <v>1781</v>
      </c>
      <c r="B4842" t="s">
        <v>8945</v>
      </c>
      <c r="C4842" t="s">
        <v>18</v>
      </c>
      <c r="D4842" t="s">
        <v>8951</v>
      </c>
      <c r="E4842" t="s">
        <v>8952</v>
      </c>
      <c r="F4842" t="s">
        <v>1617</v>
      </c>
      <c r="G4842" t="s">
        <v>345</v>
      </c>
      <c r="I4842" t="b">
        <v>1</v>
      </c>
      <c r="J4842" t="b">
        <v>1</v>
      </c>
      <c r="L4842" t="b">
        <v>1</v>
      </c>
      <c r="M4842" t="str">
        <f>HYPERLINK("https://arizona.app.box.com/file/386215498448")</f>
        <v>https://arizona.app.box.com/file/386215498448</v>
      </c>
    </row>
    <row r="4843" spans="1:25" x14ac:dyDescent="0.2">
      <c r="A4843">
        <v>1782</v>
      </c>
      <c r="B4843" t="s">
        <v>8945</v>
      </c>
      <c r="C4843" t="s">
        <v>18</v>
      </c>
      <c r="D4843" t="s">
        <v>8953</v>
      </c>
      <c r="E4843" t="s">
        <v>1398</v>
      </c>
      <c r="F4843" t="s">
        <v>159</v>
      </c>
      <c r="G4843" t="s">
        <v>345</v>
      </c>
      <c r="I4843" t="b">
        <v>0</v>
      </c>
      <c r="J4843" t="b">
        <v>0</v>
      </c>
      <c r="L4843" t="b">
        <v>0</v>
      </c>
      <c r="M4843" t="str">
        <f>HYPERLINK("https://arizona.app.box.com/file/389163344848")</f>
        <v>https://arizona.app.box.com/file/389163344848</v>
      </c>
      <c r="N4843" t="str">
        <f>HYPERLINK("https://arizona.app.box.com/file/386216407617")</f>
        <v>https://arizona.app.box.com/file/386216407617</v>
      </c>
    </row>
    <row r="4844" spans="1:25" x14ac:dyDescent="0.2">
      <c r="A4844">
        <v>1783</v>
      </c>
      <c r="B4844" t="s">
        <v>8945</v>
      </c>
      <c r="C4844" t="s">
        <v>18</v>
      </c>
      <c r="D4844" t="s">
        <v>2951</v>
      </c>
      <c r="E4844" t="s">
        <v>935</v>
      </c>
      <c r="F4844" t="s">
        <v>205</v>
      </c>
      <c r="G4844" t="s">
        <v>32</v>
      </c>
      <c r="I4844" t="b">
        <v>0</v>
      </c>
      <c r="J4844" t="b">
        <v>0</v>
      </c>
      <c r="L4844" t="b">
        <v>0</v>
      </c>
    </row>
    <row r="4846" spans="1:25" x14ac:dyDescent="0.2">
      <c r="A4846" s="2">
        <v>2128</v>
      </c>
      <c r="B4846" s="2" t="s">
        <v>8954</v>
      </c>
      <c r="C4846" s="2" t="s">
        <v>13</v>
      </c>
      <c r="D4846" s="2" t="s">
        <v>8955</v>
      </c>
      <c r="E4846" s="2" t="s">
        <v>8956</v>
      </c>
      <c r="F4846" s="2" t="s">
        <v>369</v>
      </c>
      <c r="G4846" s="2" t="s">
        <v>17</v>
      </c>
      <c r="H4846" s="2"/>
      <c r="I4846" s="2"/>
      <c r="J4846" s="2"/>
      <c r="K4846" s="2"/>
      <c r="L4846" s="2"/>
      <c r="M4846" s="2"/>
      <c r="N4846" s="2"/>
      <c r="O4846" s="2"/>
      <c r="P4846" s="2"/>
      <c r="Q4846" s="2"/>
      <c r="R4846" s="2"/>
      <c r="S4846" s="2"/>
      <c r="T4846" s="2"/>
      <c r="U4846" s="2"/>
      <c r="V4846" s="2"/>
      <c r="W4846" s="2"/>
      <c r="X4846" s="2"/>
      <c r="Y4846" s="2"/>
    </row>
    <row r="4847" spans="1:25" x14ac:dyDescent="0.2">
      <c r="A4847">
        <v>2129</v>
      </c>
      <c r="B4847" t="s">
        <v>8954</v>
      </c>
      <c r="C4847" t="s">
        <v>18</v>
      </c>
      <c r="D4847" t="s">
        <v>8957</v>
      </c>
      <c r="E4847" t="s">
        <v>8956</v>
      </c>
      <c r="F4847" t="s">
        <v>369</v>
      </c>
      <c r="G4847" t="s">
        <v>17</v>
      </c>
      <c r="I4847" t="b">
        <v>1</v>
      </c>
      <c r="J4847" t="b">
        <v>1</v>
      </c>
      <c r="L4847" t="b">
        <v>1</v>
      </c>
      <c r="M4847" t="str">
        <f>HYPERLINK("https://arizona.app.box.com/file/389264082695")</f>
        <v>https://arizona.app.box.com/file/389264082695</v>
      </c>
      <c r="N4847" t="str">
        <f>HYPERLINK("https://arizona.app.box.com/file/389151505467")</f>
        <v>https://arizona.app.box.com/file/389151505467</v>
      </c>
      <c r="O4847" t="str">
        <f>HYPERLINK("https://arizona.app.box.com/file/389151023070")</f>
        <v>https://arizona.app.box.com/file/389151023070</v>
      </c>
      <c r="P4847" t="str">
        <f>HYPERLINK("https://arizona.app.box.com/file/386241113911")</f>
        <v>https://arizona.app.box.com/file/386241113911</v>
      </c>
    </row>
    <row r="4848" spans="1:25" x14ac:dyDescent="0.2">
      <c r="A4848">
        <v>2130</v>
      </c>
      <c r="B4848" t="s">
        <v>8954</v>
      </c>
      <c r="C4848" t="s">
        <v>18</v>
      </c>
      <c r="D4848" t="s">
        <v>8958</v>
      </c>
      <c r="E4848" t="s">
        <v>8959</v>
      </c>
      <c r="F4848" t="s">
        <v>369</v>
      </c>
      <c r="G4848" t="s">
        <v>17</v>
      </c>
      <c r="I4848" t="b">
        <v>0</v>
      </c>
      <c r="J4848" t="b">
        <v>0</v>
      </c>
      <c r="L4848" t="b">
        <v>0</v>
      </c>
      <c r="M4848" t="str">
        <f>HYPERLINK("https://arizona.app.box.com/file/386265871053")</f>
        <v>https://arizona.app.box.com/file/386265871053</v>
      </c>
      <c r="N4848" t="str">
        <f>HYPERLINK("https://arizona.app.box.com/file/386241113911")</f>
        <v>https://arizona.app.box.com/file/386241113911</v>
      </c>
    </row>
    <row r="4849" spans="1:25" x14ac:dyDescent="0.2">
      <c r="A4849">
        <v>2131</v>
      </c>
      <c r="B4849" t="s">
        <v>8954</v>
      </c>
      <c r="C4849" t="s">
        <v>18</v>
      </c>
      <c r="D4849" t="s">
        <v>8960</v>
      </c>
      <c r="E4849" t="s">
        <v>8961</v>
      </c>
      <c r="F4849" t="s">
        <v>45</v>
      </c>
      <c r="G4849" t="s">
        <v>24</v>
      </c>
      <c r="I4849" t="b">
        <v>0</v>
      </c>
      <c r="J4849" t="b">
        <v>0</v>
      </c>
      <c r="L4849" t="b">
        <v>0</v>
      </c>
    </row>
    <row r="4850" spans="1:25" x14ac:dyDescent="0.2">
      <c r="A4850">
        <v>2132</v>
      </c>
      <c r="B4850" t="s">
        <v>8954</v>
      </c>
      <c r="C4850" t="s">
        <v>18</v>
      </c>
      <c r="D4850" t="s">
        <v>8962</v>
      </c>
      <c r="E4850" t="s">
        <v>8963</v>
      </c>
      <c r="F4850" t="s">
        <v>196</v>
      </c>
      <c r="G4850" t="s">
        <v>24</v>
      </c>
      <c r="I4850" t="b">
        <v>0</v>
      </c>
      <c r="J4850" t="b">
        <v>0</v>
      </c>
      <c r="L4850" t="b">
        <v>0</v>
      </c>
      <c r="M4850" t="str">
        <f>HYPERLINK("https://arizona.app.box.com/file/386226979960")</f>
        <v>https://arizona.app.box.com/file/386226979960</v>
      </c>
      <c r="N4850" t="str">
        <f>HYPERLINK("https://arizona.app.box.com/file/386239805260")</f>
        <v>https://arizona.app.box.com/file/386239805260</v>
      </c>
    </row>
    <row r="4851" spans="1:25" x14ac:dyDescent="0.2">
      <c r="A4851">
        <v>2133</v>
      </c>
      <c r="B4851" t="s">
        <v>8954</v>
      </c>
      <c r="C4851" t="s">
        <v>18</v>
      </c>
      <c r="D4851" t="s">
        <v>8964</v>
      </c>
      <c r="E4851" t="s">
        <v>8965</v>
      </c>
      <c r="F4851" t="s">
        <v>16</v>
      </c>
      <c r="G4851" t="s">
        <v>24</v>
      </c>
      <c r="I4851" t="b">
        <v>0</v>
      </c>
      <c r="J4851" t="b">
        <v>0</v>
      </c>
      <c r="L4851" t="b">
        <v>0</v>
      </c>
      <c r="M4851" t="str">
        <f>HYPERLINK("https://arizona.app.box.com/file/386238971501")</f>
        <v>https://arizona.app.box.com/file/386238971501</v>
      </c>
      <c r="N4851" t="str">
        <f>HYPERLINK("https://arizona.app.box.com/file/386239979130")</f>
        <v>https://arizona.app.box.com/file/386239979130</v>
      </c>
    </row>
    <row r="4853" spans="1:25" x14ac:dyDescent="0.2">
      <c r="A4853" s="2">
        <v>5131</v>
      </c>
      <c r="B4853" s="2" t="s">
        <v>8966</v>
      </c>
      <c r="C4853" s="2" t="s">
        <v>13</v>
      </c>
      <c r="D4853" s="2" t="s">
        <v>8967</v>
      </c>
      <c r="E4853" s="2" t="s">
        <v>1592</v>
      </c>
      <c r="F4853" s="2" t="s">
        <v>174</v>
      </c>
      <c r="G4853" s="2" t="s">
        <v>17</v>
      </c>
      <c r="H4853" s="2"/>
      <c r="I4853" s="2"/>
      <c r="J4853" s="2"/>
      <c r="K4853" s="2"/>
      <c r="L4853" s="2"/>
      <c r="M4853" s="2"/>
      <c r="N4853" s="2"/>
      <c r="O4853" s="2"/>
      <c r="P4853" s="2"/>
      <c r="Q4853" s="2"/>
      <c r="R4853" s="2"/>
      <c r="S4853" s="2"/>
      <c r="T4853" s="2"/>
      <c r="U4853" s="2"/>
      <c r="V4853" s="2"/>
      <c r="W4853" s="2"/>
      <c r="X4853" s="2"/>
      <c r="Y4853" s="2"/>
    </row>
    <row r="4854" spans="1:25" x14ac:dyDescent="0.2">
      <c r="A4854">
        <v>5132</v>
      </c>
      <c r="B4854" t="s">
        <v>8966</v>
      </c>
      <c r="C4854" t="s">
        <v>18</v>
      </c>
      <c r="D4854" t="s">
        <v>8968</v>
      </c>
      <c r="E4854" t="s">
        <v>939</v>
      </c>
      <c r="F4854" t="s">
        <v>174</v>
      </c>
      <c r="G4854" t="s">
        <v>17</v>
      </c>
      <c r="I4854" t="b">
        <v>1</v>
      </c>
      <c r="J4854" t="b">
        <v>1</v>
      </c>
      <c r="L4854" t="b">
        <v>1</v>
      </c>
      <c r="M4854" t="str">
        <f>HYPERLINK("https://arizona.app.box.com/file/389161668917")</f>
        <v>https://arizona.app.box.com/file/389161668917</v>
      </c>
    </row>
    <row r="4855" spans="1:25" x14ac:dyDescent="0.2">
      <c r="A4855">
        <v>5133</v>
      </c>
      <c r="B4855" t="s">
        <v>8966</v>
      </c>
      <c r="C4855" t="s">
        <v>18</v>
      </c>
      <c r="D4855" t="s">
        <v>8969</v>
      </c>
      <c r="E4855" t="s">
        <v>8970</v>
      </c>
      <c r="F4855" t="s">
        <v>168</v>
      </c>
      <c r="G4855" t="s">
        <v>17</v>
      </c>
      <c r="I4855" t="b">
        <v>0</v>
      </c>
      <c r="J4855" t="b">
        <v>0</v>
      </c>
      <c r="L4855" t="b">
        <v>0</v>
      </c>
      <c r="M4855" t="str">
        <f>HYPERLINK("https://arizona.app.box.com/file/389173180931")</f>
        <v>https://arizona.app.box.com/file/389173180931</v>
      </c>
      <c r="N4855" t="str">
        <f>HYPERLINK("https://arizona.app.box.com/file/386237720851")</f>
        <v>https://arizona.app.box.com/file/386237720851</v>
      </c>
    </row>
    <row r="4856" spans="1:25" x14ac:dyDescent="0.2">
      <c r="A4856">
        <v>5134</v>
      </c>
      <c r="B4856" t="s">
        <v>8966</v>
      </c>
      <c r="C4856" t="s">
        <v>18</v>
      </c>
      <c r="D4856" t="s">
        <v>8971</v>
      </c>
      <c r="E4856" t="s">
        <v>8972</v>
      </c>
      <c r="F4856" t="s">
        <v>174</v>
      </c>
      <c r="G4856" t="s">
        <v>17</v>
      </c>
      <c r="I4856" t="b">
        <v>0</v>
      </c>
      <c r="J4856" t="b">
        <v>0</v>
      </c>
      <c r="L4856" t="b">
        <v>0</v>
      </c>
    </row>
    <row r="4857" spans="1:25" x14ac:dyDescent="0.2">
      <c r="A4857">
        <v>5135</v>
      </c>
      <c r="B4857" t="s">
        <v>8966</v>
      </c>
      <c r="C4857" t="s">
        <v>18</v>
      </c>
      <c r="D4857" t="s">
        <v>8973</v>
      </c>
      <c r="E4857" t="s">
        <v>8974</v>
      </c>
      <c r="F4857" t="s">
        <v>78</v>
      </c>
      <c r="G4857" t="s">
        <v>24</v>
      </c>
      <c r="I4857" t="b">
        <v>0</v>
      </c>
      <c r="J4857" t="b">
        <v>0</v>
      </c>
      <c r="L4857" t="b">
        <v>0</v>
      </c>
      <c r="M4857" t="str">
        <f>HYPERLINK("https://arizona.app.box.com/file/386238631144")</f>
        <v>https://arizona.app.box.com/file/386238631144</v>
      </c>
    </row>
    <row r="4858" spans="1:25" x14ac:dyDescent="0.2">
      <c r="A4858">
        <v>5136</v>
      </c>
      <c r="B4858" t="s">
        <v>8966</v>
      </c>
      <c r="C4858" t="s">
        <v>18</v>
      </c>
      <c r="D4858" t="s">
        <v>8975</v>
      </c>
      <c r="E4858" t="s">
        <v>2477</v>
      </c>
      <c r="F4858" t="s">
        <v>168</v>
      </c>
      <c r="G4858" t="s">
        <v>17</v>
      </c>
      <c r="I4858" t="b">
        <v>0</v>
      </c>
      <c r="J4858" t="b">
        <v>0</v>
      </c>
      <c r="L4858" t="b">
        <v>0</v>
      </c>
      <c r="M4858" t="str">
        <f>HYPERLINK("https://arizona.app.box.com/file/389165653345")</f>
        <v>https://arizona.app.box.com/file/389165653345</v>
      </c>
    </row>
    <row r="4860" spans="1:25" x14ac:dyDescent="0.2">
      <c r="A4860" s="2">
        <v>287</v>
      </c>
      <c r="B4860" s="2" t="s">
        <v>8976</v>
      </c>
      <c r="C4860" s="2" t="s">
        <v>13</v>
      </c>
      <c r="D4860" s="2" t="s">
        <v>8977</v>
      </c>
      <c r="E4860" s="2" t="s">
        <v>8978</v>
      </c>
      <c r="F4860" s="2" t="s">
        <v>952</v>
      </c>
      <c r="G4860" s="2" t="s">
        <v>252</v>
      </c>
      <c r="H4860" s="2"/>
      <c r="I4860" s="2"/>
      <c r="J4860" s="2"/>
      <c r="K4860" s="2"/>
      <c r="L4860" s="2"/>
      <c r="M4860" s="2"/>
      <c r="N4860" s="2"/>
      <c r="O4860" s="2"/>
      <c r="P4860" s="2"/>
      <c r="Q4860" s="2"/>
      <c r="R4860" s="2"/>
      <c r="S4860" s="2"/>
      <c r="T4860" s="2"/>
      <c r="U4860" s="2"/>
      <c r="V4860" s="2"/>
      <c r="W4860" s="2"/>
      <c r="X4860" s="2"/>
      <c r="Y4860" s="2"/>
    </row>
    <row r="4861" spans="1:25" x14ac:dyDescent="0.2">
      <c r="A4861">
        <v>288</v>
      </c>
      <c r="B4861" t="s">
        <v>8976</v>
      </c>
      <c r="C4861" t="s">
        <v>18</v>
      </c>
      <c r="D4861" t="s">
        <v>8977</v>
      </c>
      <c r="E4861" t="s">
        <v>2886</v>
      </c>
      <c r="F4861" t="s">
        <v>952</v>
      </c>
      <c r="G4861" t="s">
        <v>252</v>
      </c>
      <c r="I4861" t="b">
        <v>1</v>
      </c>
      <c r="J4861" t="b">
        <v>1</v>
      </c>
      <c r="L4861" t="b">
        <v>1</v>
      </c>
      <c r="M4861" t="str">
        <f>HYPERLINK("https://arizona.app.box.com/file/389257091726")</f>
        <v>https://arizona.app.box.com/file/389257091726</v>
      </c>
      <c r="N4861" t="str">
        <f>HYPERLINK("https://arizona.app.box.com/file/389171689337")</f>
        <v>https://arizona.app.box.com/file/389171689337</v>
      </c>
    </row>
    <row r="4862" spans="1:25" x14ac:dyDescent="0.2">
      <c r="A4862">
        <v>289</v>
      </c>
      <c r="B4862" t="s">
        <v>8976</v>
      </c>
      <c r="C4862" t="s">
        <v>18</v>
      </c>
      <c r="D4862" t="s">
        <v>8979</v>
      </c>
      <c r="E4862" t="s">
        <v>301</v>
      </c>
      <c r="F4862" t="s">
        <v>952</v>
      </c>
      <c r="G4862" t="s">
        <v>252</v>
      </c>
      <c r="I4862" t="b">
        <v>1</v>
      </c>
      <c r="J4862" t="b">
        <v>1</v>
      </c>
      <c r="L4862" t="b">
        <v>1</v>
      </c>
      <c r="M4862" t="str">
        <f>HYPERLINK("https://arizona.app.box.com/file/386232506716")</f>
        <v>https://arizona.app.box.com/file/386232506716</v>
      </c>
    </row>
    <row r="4863" spans="1:25" x14ac:dyDescent="0.2">
      <c r="A4863">
        <v>290</v>
      </c>
      <c r="B4863" t="s">
        <v>8976</v>
      </c>
      <c r="C4863" t="s">
        <v>18</v>
      </c>
      <c r="D4863" t="s">
        <v>8980</v>
      </c>
      <c r="E4863" t="s">
        <v>8981</v>
      </c>
      <c r="F4863" t="s">
        <v>82</v>
      </c>
      <c r="G4863" t="s">
        <v>134</v>
      </c>
      <c r="I4863" t="b">
        <v>0</v>
      </c>
      <c r="J4863" t="b">
        <v>0</v>
      </c>
      <c r="L4863" t="b">
        <v>0</v>
      </c>
    </row>
    <row r="4864" spans="1:25" x14ac:dyDescent="0.2">
      <c r="A4864">
        <v>291</v>
      </c>
      <c r="B4864" t="s">
        <v>8976</v>
      </c>
      <c r="C4864" t="s">
        <v>18</v>
      </c>
      <c r="D4864" t="s">
        <v>8982</v>
      </c>
      <c r="E4864" t="s">
        <v>8983</v>
      </c>
      <c r="F4864" t="s">
        <v>82</v>
      </c>
      <c r="G4864" t="s">
        <v>8528</v>
      </c>
      <c r="I4864" t="b">
        <v>0</v>
      </c>
      <c r="J4864" t="b">
        <v>0</v>
      </c>
      <c r="L4864" t="b">
        <v>0</v>
      </c>
    </row>
    <row r="4865" spans="1:25" x14ac:dyDescent="0.2">
      <c r="A4865">
        <v>292</v>
      </c>
      <c r="B4865" t="s">
        <v>8976</v>
      </c>
      <c r="C4865" t="s">
        <v>18</v>
      </c>
      <c r="D4865" t="s">
        <v>8984</v>
      </c>
      <c r="E4865" t="s">
        <v>8985</v>
      </c>
      <c r="F4865" t="s">
        <v>174</v>
      </c>
      <c r="G4865" t="s">
        <v>17</v>
      </c>
      <c r="I4865" t="b">
        <v>0</v>
      </c>
      <c r="J4865" t="b">
        <v>0</v>
      </c>
      <c r="L4865" t="b">
        <v>0</v>
      </c>
      <c r="M4865" t="str">
        <f>HYPERLINK("https://arizona.app.box.com/file/389264429795")</f>
        <v>https://arizona.app.box.com/file/389264429795</v>
      </c>
      <c r="N4865" t="str">
        <f>HYPERLINK("https://arizona.app.box.com/file/389153932105")</f>
        <v>https://arizona.app.box.com/file/389153932105</v>
      </c>
    </row>
    <row r="4867" spans="1:25" x14ac:dyDescent="0.2">
      <c r="A4867" s="2">
        <v>2856</v>
      </c>
      <c r="B4867" s="2" t="s">
        <v>8986</v>
      </c>
      <c r="C4867" s="2" t="s">
        <v>13</v>
      </c>
      <c r="D4867" s="2" t="s">
        <v>8987</v>
      </c>
      <c r="E4867" s="2" t="s">
        <v>8988</v>
      </c>
      <c r="F4867" s="2" t="s">
        <v>159</v>
      </c>
      <c r="G4867" s="2" t="s">
        <v>201</v>
      </c>
      <c r="H4867" s="2"/>
      <c r="I4867" s="2"/>
      <c r="J4867" s="2"/>
      <c r="K4867" s="2"/>
      <c r="L4867" s="2"/>
      <c r="M4867" s="2"/>
      <c r="N4867" s="2"/>
      <c r="O4867" s="2"/>
      <c r="P4867" s="2"/>
      <c r="Q4867" s="2"/>
      <c r="R4867" s="2"/>
      <c r="S4867" s="2"/>
      <c r="T4867" s="2"/>
      <c r="U4867" s="2"/>
      <c r="V4867" s="2"/>
      <c r="W4867" s="2"/>
      <c r="X4867" s="2"/>
      <c r="Y4867" s="2"/>
    </row>
    <row r="4868" spans="1:25" x14ac:dyDescent="0.2">
      <c r="A4868">
        <v>2857</v>
      </c>
      <c r="B4868" t="s">
        <v>8986</v>
      </c>
      <c r="C4868" t="s">
        <v>18</v>
      </c>
      <c r="D4868" t="s">
        <v>206</v>
      </c>
      <c r="E4868" t="s">
        <v>207</v>
      </c>
      <c r="F4868" t="s">
        <v>205</v>
      </c>
      <c r="G4868" t="s">
        <v>201</v>
      </c>
      <c r="I4868" t="b">
        <v>1</v>
      </c>
      <c r="J4868" t="b">
        <v>0</v>
      </c>
      <c r="L4868" t="b">
        <v>1</v>
      </c>
      <c r="M4868" t="str">
        <f>HYPERLINK("https://arizona.app.box.com/file/389266459890")</f>
        <v>https://arizona.app.box.com/file/389266459890</v>
      </c>
      <c r="N4868" t="str">
        <f>HYPERLINK("https://arizona.app.box.com/file/389162354854")</f>
        <v>https://arizona.app.box.com/file/389162354854</v>
      </c>
    </row>
    <row r="4869" spans="1:25" x14ac:dyDescent="0.2">
      <c r="A4869">
        <v>2858</v>
      </c>
      <c r="B4869" t="s">
        <v>8986</v>
      </c>
      <c r="C4869" t="s">
        <v>18</v>
      </c>
      <c r="D4869" t="s">
        <v>198</v>
      </c>
      <c r="E4869" t="s">
        <v>202</v>
      </c>
      <c r="F4869" t="s">
        <v>200</v>
      </c>
      <c r="G4869" t="s">
        <v>201</v>
      </c>
      <c r="I4869" t="b">
        <v>1</v>
      </c>
      <c r="J4869" t="b">
        <v>0</v>
      </c>
      <c r="L4869" t="b">
        <v>1</v>
      </c>
      <c r="M4869" t="str">
        <f>HYPERLINK("https://arizona.app.box.com/file/389264033488")</f>
        <v>https://arizona.app.box.com/file/389264033488</v>
      </c>
    </row>
    <row r="4870" spans="1:25" x14ac:dyDescent="0.2">
      <c r="A4870">
        <v>2859</v>
      </c>
      <c r="B4870" t="s">
        <v>8986</v>
      </c>
      <c r="C4870" t="s">
        <v>18</v>
      </c>
      <c r="D4870" t="s">
        <v>2857</v>
      </c>
      <c r="E4870" t="s">
        <v>2858</v>
      </c>
      <c r="F4870" t="s">
        <v>159</v>
      </c>
      <c r="G4870" t="s">
        <v>201</v>
      </c>
      <c r="I4870" t="b">
        <v>0</v>
      </c>
      <c r="J4870" t="b">
        <v>0</v>
      </c>
      <c r="L4870" t="b">
        <v>0</v>
      </c>
      <c r="M4870" t="str">
        <f>HYPERLINK("https://arizona.app.box.com/file/389174865937")</f>
        <v>https://arizona.app.box.com/file/389174865937</v>
      </c>
      <c r="N4870" t="str">
        <f>HYPERLINK("https://arizona.app.box.com/file/386225891568")</f>
        <v>https://arizona.app.box.com/file/386225891568</v>
      </c>
    </row>
    <row r="4871" spans="1:25" x14ac:dyDescent="0.2">
      <c r="A4871">
        <v>2860</v>
      </c>
      <c r="B4871" t="s">
        <v>8986</v>
      </c>
      <c r="C4871" t="s">
        <v>18</v>
      </c>
      <c r="D4871" t="s">
        <v>203</v>
      </c>
      <c r="E4871" t="s">
        <v>204</v>
      </c>
      <c r="F4871" t="s">
        <v>205</v>
      </c>
      <c r="G4871" t="s">
        <v>201</v>
      </c>
      <c r="I4871" t="b">
        <v>0</v>
      </c>
      <c r="J4871" t="b">
        <v>0</v>
      </c>
      <c r="L4871" t="b">
        <v>0</v>
      </c>
      <c r="M4871" t="str">
        <f>HYPERLINK("https://arizona.app.box.com/file/389255053362")</f>
        <v>https://arizona.app.box.com/file/389255053362</v>
      </c>
      <c r="N4871" t="str">
        <f>HYPERLINK("https://arizona.app.box.com/file/389163554550")</f>
        <v>https://arizona.app.box.com/file/389163554550</v>
      </c>
    </row>
    <row r="4872" spans="1:25" x14ac:dyDescent="0.2">
      <c r="A4872">
        <v>2861</v>
      </c>
      <c r="B4872" t="s">
        <v>8986</v>
      </c>
      <c r="C4872" t="s">
        <v>18</v>
      </c>
      <c r="D4872" t="s">
        <v>4375</v>
      </c>
      <c r="E4872" t="s">
        <v>4376</v>
      </c>
      <c r="F4872" t="s">
        <v>159</v>
      </c>
      <c r="G4872" t="s">
        <v>201</v>
      </c>
      <c r="I4872" t="b">
        <v>0</v>
      </c>
      <c r="J4872" t="b">
        <v>0</v>
      </c>
      <c r="L4872" t="b">
        <v>0</v>
      </c>
      <c r="M4872" t="str">
        <f>HYPERLINK("https://arizona.app.box.com/file/389263645999")</f>
        <v>https://arizona.app.box.com/file/389263645999</v>
      </c>
      <c r="N4872" t="str">
        <f>HYPERLINK("https://arizona.app.box.com/file/389163555750")</f>
        <v>https://arizona.app.box.com/file/389163555750</v>
      </c>
    </row>
    <row r="4874" spans="1:25" x14ac:dyDescent="0.2">
      <c r="A4874" s="2">
        <v>6671</v>
      </c>
      <c r="B4874" s="2" t="s">
        <v>8989</v>
      </c>
      <c r="C4874" s="2" t="s">
        <v>13</v>
      </c>
      <c r="D4874" s="2" t="s">
        <v>8990</v>
      </c>
      <c r="E4874" s="2" t="s">
        <v>8991</v>
      </c>
      <c r="F4874" s="2" t="s">
        <v>78</v>
      </c>
      <c r="G4874" s="2" t="s">
        <v>88</v>
      </c>
      <c r="H4874" s="2"/>
      <c r="I4874" s="2"/>
      <c r="J4874" s="2"/>
      <c r="K4874" s="2"/>
      <c r="L4874" s="2"/>
      <c r="M4874" s="2"/>
      <c r="N4874" s="2"/>
      <c r="O4874" s="2"/>
      <c r="P4874" s="2"/>
      <c r="Q4874" s="2"/>
      <c r="R4874" s="2"/>
      <c r="S4874" s="2"/>
      <c r="T4874" s="2"/>
      <c r="U4874" s="2"/>
      <c r="V4874" s="2"/>
      <c r="W4874" s="2"/>
      <c r="X4874" s="2"/>
      <c r="Y4874" s="2"/>
    </row>
    <row r="4875" spans="1:25" x14ac:dyDescent="0.2">
      <c r="A4875">
        <v>6672</v>
      </c>
      <c r="B4875" t="s">
        <v>8989</v>
      </c>
      <c r="C4875" t="s">
        <v>18</v>
      </c>
      <c r="D4875" t="s">
        <v>8990</v>
      </c>
      <c r="E4875" t="s">
        <v>1198</v>
      </c>
      <c r="F4875" t="s">
        <v>78</v>
      </c>
      <c r="G4875" t="s">
        <v>88</v>
      </c>
      <c r="I4875" t="b">
        <v>1</v>
      </c>
      <c r="J4875" t="b">
        <v>1</v>
      </c>
      <c r="L4875" t="b">
        <v>1</v>
      </c>
      <c r="M4875" t="str">
        <f>HYPERLINK("https://arizona.app.box.com/file/389264150983")</f>
        <v>https://arizona.app.box.com/file/389264150983</v>
      </c>
      <c r="N4875" t="str">
        <f>HYPERLINK("https://arizona.app.box.com/file/389164460225")</f>
        <v>https://arizona.app.box.com/file/389164460225</v>
      </c>
      <c r="O4875" t="str">
        <f>HYPERLINK("https://arizona.app.box.com/file/389172803639")</f>
        <v>https://arizona.app.box.com/file/389172803639</v>
      </c>
      <c r="P4875" t="str">
        <f>HYPERLINK("https://arizona.app.box.com/file/386225583579")</f>
        <v>https://arizona.app.box.com/file/386225583579</v>
      </c>
    </row>
    <row r="4876" spans="1:25" x14ac:dyDescent="0.2">
      <c r="A4876">
        <v>6673</v>
      </c>
      <c r="B4876" t="s">
        <v>8989</v>
      </c>
      <c r="C4876" t="s">
        <v>18</v>
      </c>
      <c r="D4876" t="s">
        <v>8992</v>
      </c>
      <c r="E4876" t="s">
        <v>8993</v>
      </c>
      <c r="F4876" t="s">
        <v>78</v>
      </c>
      <c r="G4876" t="s">
        <v>417</v>
      </c>
      <c r="I4876" t="b">
        <v>0</v>
      </c>
      <c r="J4876" t="b">
        <v>0</v>
      </c>
      <c r="L4876" t="b">
        <v>0</v>
      </c>
      <c r="M4876" t="str">
        <f>HYPERLINK("https://arizona.app.box.com/file/386245563927")</f>
        <v>https://arizona.app.box.com/file/386245563927</v>
      </c>
    </row>
    <row r="4877" spans="1:25" x14ac:dyDescent="0.2">
      <c r="A4877">
        <v>6674</v>
      </c>
      <c r="B4877" t="s">
        <v>8989</v>
      </c>
      <c r="C4877" t="s">
        <v>18</v>
      </c>
      <c r="D4877" t="s">
        <v>2796</v>
      </c>
      <c r="E4877" t="s">
        <v>2797</v>
      </c>
      <c r="F4877" t="s">
        <v>78</v>
      </c>
      <c r="G4877" t="s">
        <v>134</v>
      </c>
      <c r="I4877" t="b">
        <v>0</v>
      </c>
      <c r="J4877" t="b">
        <v>0</v>
      </c>
      <c r="L4877" t="b">
        <v>0</v>
      </c>
      <c r="M4877" t="str">
        <f>HYPERLINK("https://arizona.app.box.com/file/389164395899")</f>
        <v>https://arizona.app.box.com/file/389164395899</v>
      </c>
      <c r="N4877" t="str">
        <f>HYPERLINK("https://arizona.app.box.com/file/386239107651")</f>
        <v>https://arizona.app.box.com/file/386239107651</v>
      </c>
    </row>
    <row r="4878" spans="1:25" x14ac:dyDescent="0.2">
      <c r="A4878">
        <v>6675</v>
      </c>
      <c r="B4878" t="s">
        <v>8989</v>
      </c>
      <c r="C4878" t="s">
        <v>18</v>
      </c>
      <c r="D4878" t="s">
        <v>8994</v>
      </c>
      <c r="E4878" t="s">
        <v>8995</v>
      </c>
      <c r="F4878" t="s">
        <v>78</v>
      </c>
      <c r="G4878" t="s">
        <v>8996</v>
      </c>
      <c r="I4878" t="b">
        <v>0</v>
      </c>
      <c r="J4878" t="b">
        <v>0</v>
      </c>
      <c r="L4878" t="b">
        <v>0</v>
      </c>
      <c r="M4878" t="str">
        <f>HYPERLINK("https://arizona.app.box.com/file/386219318265")</f>
        <v>https://arizona.app.box.com/file/386219318265</v>
      </c>
      <c r="N4878" t="str">
        <f>HYPERLINK("https://arizona.app.box.com/file/386264448373")</f>
        <v>https://arizona.app.box.com/file/386264448373</v>
      </c>
    </row>
    <row r="4879" spans="1:25" x14ac:dyDescent="0.2">
      <c r="A4879">
        <v>6676</v>
      </c>
      <c r="B4879" t="s">
        <v>8989</v>
      </c>
      <c r="C4879" t="s">
        <v>18</v>
      </c>
      <c r="D4879" t="s">
        <v>2072</v>
      </c>
      <c r="E4879" t="s">
        <v>2073</v>
      </c>
      <c r="F4879" t="s">
        <v>78</v>
      </c>
      <c r="G4879" t="s">
        <v>417</v>
      </c>
      <c r="I4879" t="b">
        <v>0</v>
      </c>
      <c r="J4879" t="b">
        <v>0</v>
      </c>
      <c r="L4879" t="b">
        <v>0</v>
      </c>
      <c r="M4879" t="str">
        <f>HYPERLINK("https://arizona.app.box.com/file/389263187517")</f>
        <v>https://arizona.app.box.com/file/389263187517</v>
      </c>
      <c r="N4879" t="str">
        <f>HYPERLINK("https://arizona.app.box.com/file/389152491219")</f>
        <v>https://arizona.app.box.com/file/389152491219</v>
      </c>
      <c r="O4879" t="str">
        <f>HYPERLINK("https://arizona.app.box.com/file/389260227383")</f>
        <v>https://arizona.app.box.com/file/389260227383</v>
      </c>
    </row>
    <row r="4881" spans="1:25" x14ac:dyDescent="0.2">
      <c r="A4881" s="2">
        <v>1225</v>
      </c>
      <c r="B4881" s="2" t="s">
        <v>8997</v>
      </c>
      <c r="C4881" s="2" t="s">
        <v>13</v>
      </c>
      <c r="D4881" s="2" t="s">
        <v>8998</v>
      </c>
      <c r="E4881" s="2" t="s">
        <v>8999</v>
      </c>
      <c r="F4881" s="2" t="s">
        <v>420</v>
      </c>
      <c r="G4881" s="2" t="s">
        <v>17</v>
      </c>
      <c r="H4881" s="2"/>
      <c r="I4881" s="2"/>
      <c r="J4881" s="2"/>
      <c r="K4881" s="2"/>
      <c r="L4881" s="2"/>
      <c r="M4881" s="2"/>
      <c r="N4881" s="2"/>
      <c r="O4881" s="2"/>
      <c r="P4881" s="2"/>
      <c r="Q4881" s="2"/>
      <c r="R4881" s="2"/>
      <c r="S4881" s="2"/>
      <c r="T4881" s="2"/>
      <c r="U4881" s="2"/>
      <c r="V4881" s="2"/>
      <c r="W4881" s="2"/>
      <c r="X4881" s="2"/>
      <c r="Y4881" s="2"/>
    </row>
    <row r="4882" spans="1:25" x14ac:dyDescent="0.2">
      <c r="A4882">
        <v>1226</v>
      </c>
      <c r="B4882" t="s">
        <v>8997</v>
      </c>
      <c r="C4882" t="s">
        <v>18</v>
      </c>
      <c r="D4882" t="s">
        <v>8998</v>
      </c>
      <c r="E4882" t="s">
        <v>8999</v>
      </c>
      <c r="F4882" t="s">
        <v>420</v>
      </c>
      <c r="G4882" t="s">
        <v>17</v>
      </c>
      <c r="I4882" t="b">
        <v>1</v>
      </c>
      <c r="J4882" t="b">
        <v>1</v>
      </c>
      <c r="L4882" t="b">
        <v>1</v>
      </c>
      <c r="M4882" t="str">
        <f>HYPERLINK("https://arizona.app.box.com/file/389151051854")</f>
        <v>https://arizona.app.box.com/file/389151051854</v>
      </c>
      <c r="N4882" t="str">
        <f>HYPERLINK("https://arizona.app.box.com/file/389264060609")</f>
        <v>https://arizona.app.box.com/file/389264060609</v>
      </c>
      <c r="O4882" t="str">
        <f>HYPERLINK("https://arizona.app.box.com/file/389164638884")</f>
        <v>https://arizona.app.box.com/file/389164638884</v>
      </c>
    </row>
    <row r="4883" spans="1:25" x14ac:dyDescent="0.2">
      <c r="A4883">
        <v>1227</v>
      </c>
      <c r="B4883" t="s">
        <v>8997</v>
      </c>
      <c r="C4883" t="s">
        <v>18</v>
      </c>
      <c r="D4883" t="s">
        <v>9000</v>
      </c>
      <c r="E4883" t="s">
        <v>5447</v>
      </c>
      <c r="F4883" t="s">
        <v>31</v>
      </c>
      <c r="G4883" t="s">
        <v>32</v>
      </c>
      <c r="I4883" t="b">
        <v>0</v>
      </c>
      <c r="J4883" t="b">
        <v>0</v>
      </c>
      <c r="L4883" t="b">
        <v>0</v>
      </c>
      <c r="M4883" t="str">
        <f>HYPERLINK("https://arizona.app.box.com/file/386238476165")</f>
        <v>https://arizona.app.box.com/file/386238476165</v>
      </c>
      <c r="N4883" t="str">
        <f>HYPERLINK("https://arizona.app.box.com/file/386239765009")</f>
        <v>https://arizona.app.box.com/file/386239765009</v>
      </c>
    </row>
    <row r="4884" spans="1:25" x14ac:dyDescent="0.2">
      <c r="A4884">
        <v>1228</v>
      </c>
      <c r="B4884" t="s">
        <v>8997</v>
      </c>
      <c r="C4884" t="s">
        <v>18</v>
      </c>
      <c r="D4884" t="s">
        <v>9001</v>
      </c>
      <c r="E4884" t="s">
        <v>9002</v>
      </c>
      <c r="F4884" t="s">
        <v>5215</v>
      </c>
      <c r="G4884" t="s">
        <v>17</v>
      </c>
      <c r="I4884" t="b">
        <v>0</v>
      </c>
      <c r="J4884" t="b">
        <v>0</v>
      </c>
      <c r="L4884" t="b">
        <v>0</v>
      </c>
      <c r="M4884" t="str">
        <f>HYPERLINK("https://arizona.app.box.com/file/386272227814")</f>
        <v>https://arizona.app.box.com/file/386272227814</v>
      </c>
      <c r="N4884" t="str">
        <f>HYPERLINK("https://arizona.app.box.com/file/389166454520")</f>
        <v>https://arizona.app.box.com/file/389166454520</v>
      </c>
    </row>
    <row r="4885" spans="1:25" x14ac:dyDescent="0.2">
      <c r="A4885">
        <v>1229</v>
      </c>
      <c r="B4885" t="s">
        <v>8997</v>
      </c>
      <c r="C4885" t="s">
        <v>18</v>
      </c>
      <c r="D4885" t="s">
        <v>9003</v>
      </c>
      <c r="E4885" t="s">
        <v>8384</v>
      </c>
      <c r="F4885" t="s">
        <v>78</v>
      </c>
      <c r="G4885" t="s">
        <v>17</v>
      </c>
      <c r="I4885" t="b">
        <v>0</v>
      </c>
      <c r="J4885" t="b">
        <v>0</v>
      </c>
      <c r="L4885" t="b">
        <v>0</v>
      </c>
      <c r="M4885" t="str">
        <f>HYPERLINK("https://arizona.app.box.com/file/386239800820")</f>
        <v>https://arizona.app.box.com/file/386239800820</v>
      </c>
    </row>
    <row r="4886" spans="1:25" x14ac:dyDescent="0.2">
      <c r="A4886">
        <v>1230</v>
      </c>
      <c r="B4886" t="s">
        <v>8997</v>
      </c>
      <c r="C4886" t="s">
        <v>18</v>
      </c>
      <c r="D4886" t="s">
        <v>2249</v>
      </c>
      <c r="E4886" t="s">
        <v>2250</v>
      </c>
      <c r="F4886" t="s">
        <v>23</v>
      </c>
      <c r="G4886" t="s">
        <v>292</v>
      </c>
      <c r="I4886" t="b">
        <v>0</v>
      </c>
      <c r="J4886" t="b">
        <v>0</v>
      </c>
      <c r="L4886" t="b">
        <v>0</v>
      </c>
      <c r="M4886" t="str">
        <f>HYPERLINK("https://arizona.app.box.com/file/386227240895")</f>
        <v>https://arizona.app.box.com/file/386227240895</v>
      </c>
    </row>
    <row r="4888" spans="1:25" x14ac:dyDescent="0.2">
      <c r="A4888" s="2">
        <v>77</v>
      </c>
      <c r="B4888" s="2" t="s">
        <v>9004</v>
      </c>
      <c r="C4888" s="2" t="s">
        <v>13</v>
      </c>
      <c r="D4888" s="2" t="s">
        <v>9005</v>
      </c>
      <c r="E4888" s="2" t="s">
        <v>9006</v>
      </c>
      <c r="F4888" s="2" t="s">
        <v>78</v>
      </c>
      <c r="G4888" s="2" t="s">
        <v>417</v>
      </c>
      <c r="H4888" s="2"/>
      <c r="I4888" s="2"/>
      <c r="J4888" s="2"/>
      <c r="K4888" s="2"/>
      <c r="L4888" s="2"/>
      <c r="M4888" s="2"/>
      <c r="N4888" s="2"/>
      <c r="O4888" s="2"/>
      <c r="P4888" s="2"/>
      <c r="Q4888" s="2"/>
      <c r="R4888" s="2"/>
      <c r="S4888" s="2"/>
      <c r="T4888" s="2"/>
      <c r="U4888" s="2"/>
      <c r="V4888" s="2"/>
      <c r="W4888" s="2"/>
      <c r="X4888" s="2"/>
      <c r="Y4888" s="2"/>
    </row>
    <row r="4889" spans="1:25" x14ac:dyDescent="0.2">
      <c r="A4889">
        <v>78</v>
      </c>
      <c r="B4889" t="s">
        <v>9004</v>
      </c>
      <c r="C4889" t="s">
        <v>18</v>
      </c>
      <c r="D4889" t="s">
        <v>9005</v>
      </c>
      <c r="E4889" t="s">
        <v>1231</v>
      </c>
      <c r="F4889" t="s">
        <v>78</v>
      </c>
      <c r="G4889" t="s">
        <v>417</v>
      </c>
      <c r="I4889" t="b">
        <v>1</v>
      </c>
      <c r="J4889" t="b">
        <v>1</v>
      </c>
      <c r="L4889" t="b">
        <v>1</v>
      </c>
      <c r="M4889" t="str">
        <f>HYPERLINK("https://arizona.app.box.com/file/386245903153")</f>
        <v>https://arizona.app.box.com/file/386245903153</v>
      </c>
    </row>
    <row r="4890" spans="1:25" x14ac:dyDescent="0.2">
      <c r="A4890">
        <v>79</v>
      </c>
      <c r="B4890" t="s">
        <v>9004</v>
      </c>
      <c r="C4890" t="s">
        <v>18</v>
      </c>
      <c r="D4890" t="s">
        <v>9007</v>
      </c>
      <c r="E4890" t="s">
        <v>9008</v>
      </c>
      <c r="F4890" t="s">
        <v>78</v>
      </c>
      <c r="G4890" t="s">
        <v>417</v>
      </c>
      <c r="I4890" t="b">
        <v>1</v>
      </c>
      <c r="J4890" t="b">
        <v>1</v>
      </c>
      <c r="L4890" t="b">
        <v>1</v>
      </c>
      <c r="M4890" t="str">
        <f>HYPERLINK("https://arizona.app.box.com/file/386242949186")</f>
        <v>https://arizona.app.box.com/file/386242949186</v>
      </c>
    </row>
    <row r="4891" spans="1:25" x14ac:dyDescent="0.2">
      <c r="A4891">
        <v>80</v>
      </c>
      <c r="B4891" t="s">
        <v>9004</v>
      </c>
      <c r="C4891" t="s">
        <v>18</v>
      </c>
      <c r="D4891" t="s">
        <v>9009</v>
      </c>
      <c r="E4891" t="s">
        <v>9010</v>
      </c>
      <c r="F4891" t="s">
        <v>78</v>
      </c>
      <c r="G4891" t="s">
        <v>417</v>
      </c>
      <c r="I4891" t="b">
        <v>0</v>
      </c>
      <c r="J4891" t="b">
        <v>0</v>
      </c>
      <c r="L4891" t="b">
        <v>0</v>
      </c>
    </row>
    <row r="4892" spans="1:25" x14ac:dyDescent="0.2">
      <c r="A4892">
        <v>81</v>
      </c>
      <c r="B4892" t="s">
        <v>9004</v>
      </c>
      <c r="C4892" t="s">
        <v>18</v>
      </c>
      <c r="D4892" t="s">
        <v>9011</v>
      </c>
      <c r="E4892" t="s">
        <v>9012</v>
      </c>
      <c r="F4892" t="s">
        <v>78</v>
      </c>
      <c r="G4892" t="s">
        <v>417</v>
      </c>
      <c r="I4892" t="b">
        <v>0</v>
      </c>
      <c r="J4892" t="b">
        <v>0</v>
      </c>
      <c r="L4892" t="b">
        <v>0</v>
      </c>
      <c r="M4892" t="str">
        <f>HYPERLINK("https://arizona.app.box.com/file/386241704977")</f>
        <v>https://arizona.app.box.com/file/386241704977</v>
      </c>
      <c r="N4892" t="str">
        <f>HYPERLINK("https://arizona.app.box.com/file/386246197798")</f>
        <v>https://arizona.app.box.com/file/386246197798</v>
      </c>
    </row>
    <row r="4893" spans="1:25" x14ac:dyDescent="0.2">
      <c r="A4893">
        <v>82</v>
      </c>
      <c r="B4893" t="s">
        <v>9004</v>
      </c>
      <c r="C4893" t="s">
        <v>18</v>
      </c>
      <c r="D4893" t="s">
        <v>9013</v>
      </c>
      <c r="E4893" t="s">
        <v>2450</v>
      </c>
      <c r="F4893" t="s">
        <v>78</v>
      </c>
      <c r="G4893" t="s">
        <v>417</v>
      </c>
      <c r="I4893" t="b">
        <v>0</v>
      </c>
      <c r="J4893" t="b">
        <v>0</v>
      </c>
      <c r="L4893" t="b">
        <v>0</v>
      </c>
      <c r="M4893" t="str">
        <f>HYPERLINK("https://arizona.app.box.com/file/386239238337")</f>
        <v>https://arizona.app.box.com/file/386239238337</v>
      </c>
    </row>
    <row r="4895" spans="1:25" x14ac:dyDescent="0.2">
      <c r="A4895" s="2">
        <v>7917</v>
      </c>
      <c r="B4895" s="2" t="s">
        <v>9014</v>
      </c>
      <c r="C4895" s="2" t="s">
        <v>13</v>
      </c>
      <c r="D4895" s="2" t="s">
        <v>9015</v>
      </c>
      <c r="E4895" s="2" t="s">
        <v>9016</v>
      </c>
      <c r="F4895" s="2" t="s">
        <v>174</v>
      </c>
      <c r="G4895" s="2" t="s">
        <v>24</v>
      </c>
      <c r="H4895" s="2"/>
      <c r="I4895" s="2"/>
      <c r="J4895" s="2"/>
      <c r="K4895" s="2"/>
      <c r="L4895" s="2"/>
      <c r="M4895" s="2"/>
      <c r="N4895" s="2"/>
      <c r="O4895" s="2"/>
      <c r="P4895" s="2"/>
      <c r="Q4895" s="2"/>
      <c r="R4895" s="2"/>
      <c r="S4895" s="2"/>
      <c r="T4895" s="2"/>
      <c r="U4895" s="2"/>
      <c r="V4895" s="2"/>
      <c r="W4895" s="2"/>
      <c r="X4895" s="2"/>
      <c r="Y4895" s="2"/>
    </row>
    <row r="4896" spans="1:25" x14ac:dyDescent="0.2">
      <c r="A4896">
        <v>7918</v>
      </c>
      <c r="B4896" t="s">
        <v>9014</v>
      </c>
      <c r="C4896" t="s">
        <v>18</v>
      </c>
      <c r="D4896" t="s">
        <v>9015</v>
      </c>
      <c r="E4896" t="s">
        <v>2814</v>
      </c>
      <c r="F4896" t="s">
        <v>174</v>
      </c>
      <c r="G4896" t="s">
        <v>24</v>
      </c>
      <c r="I4896" t="b">
        <v>1</v>
      </c>
      <c r="J4896" t="b">
        <v>1</v>
      </c>
      <c r="L4896" t="b">
        <v>1</v>
      </c>
      <c r="M4896" t="str">
        <f>HYPERLINK("https://arizona.app.box.com/file/389164206127")</f>
        <v>https://arizona.app.box.com/file/389164206127</v>
      </c>
      <c r="N4896" t="str">
        <f>HYPERLINK("https://arizona.app.box.com/file/386243844895")</f>
        <v>https://arizona.app.box.com/file/386243844895</v>
      </c>
    </row>
    <row r="4897" spans="1:25" x14ac:dyDescent="0.2">
      <c r="A4897">
        <v>7919</v>
      </c>
      <c r="B4897" t="s">
        <v>9014</v>
      </c>
      <c r="C4897" t="s">
        <v>18</v>
      </c>
      <c r="D4897" t="s">
        <v>9017</v>
      </c>
      <c r="E4897" t="s">
        <v>7070</v>
      </c>
      <c r="F4897" t="s">
        <v>174</v>
      </c>
      <c r="G4897" t="s">
        <v>24</v>
      </c>
      <c r="I4897" t="b">
        <v>1</v>
      </c>
      <c r="J4897" t="b">
        <v>1</v>
      </c>
      <c r="L4897" t="b">
        <v>1</v>
      </c>
      <c r="M4897" t="str">
        <f>HYPERLINK("https://arizona.app.box.com/file/389269657499")</f>
        <v>https://arizona.app.box.com/file/389269657499</v>
      </c>
      <c r="N4897" t="str">
        <f>HYPERLINK("https://arizona.app.box.com/file/389168319651")</f>
        <v>https://arizona.app.box.com/file/389168319651</v>
      </c>
    </row>
    <row r="4898" spans="1:25" x14ac:dyDescent="0.2">
      <c r="A4898">
        <v>7920</v>
      </c>
      <c r="B4898" t="s">
        <v>9014</v>
      </c>
      <c r="C4898" t="s">
        <v>18</v>
      </c>
      <c r="D4898" t="s">
        <v>9018</v>
      </c>
      <c r="E4898" t="s">
        <v>8380</v>
      </c>
      <c r="F4898" t="s">
        <v>174</v>
      </c>
      <c r="G4898" t="s">
        <v>24</v>
      </c>
      <c r="I4898" t="b">
        <v>0</v>
      </c>
      <c r="J4898" t="b">
        <v>0</v>
      </c>
      <c r="L4898" t="b">
        <v>0</v>
      </c>
      <c r="M4898" t="str">
        <f>HYPERLINK("https://arizona.app.box.com/file/389169945964")</f>
        <v>https://arizona.app.box.com/file/389169945964</v>
      </c>
      <c r="N4898" t="str">
        <f>HYPERLINK("https://arizona.app.box.com/file/386226067560")</f>
        <v>https://arizona.app.box.com/file/386226067560</v>
      </c>
    </row>
    <row r="4899" spans="1:25" x14ac:dyDescent="0.2">
      <c r="A4899">
        <v>7921</v>
      </c>
      <c r="B4899" t="s">
        <v>9014</v>
      </c>
      <c r="C4899" t="s">
        <v>18</v>
      </c>
      <c r="D4899" t="s">
        <v>9019</v>
      </c>
      <c r="E4899" t="s">
        <v>643</v>
      </c>
      <c r="F4899" t="s">
        <v>174</v>
      </c>
      <c r="G4899" t="s">
        <v>24</v>
      </c>
      <c r="I4899" t="b">
        <v>0</v>
      </c>
      <c r="J4899" t="b">
        <v>0</v>
      </c>
      <c r="L4899" t="b">
        <v>0</v>
      </c>
      <c r="M4899" t="str">
        <f>HYPERLINK("https://arizona.app.box.com/file/389257357534")</f>
        <v>https://arizona.app.box.com/file/389257357534</v>
      </c>
      <c r="N4899" t="str">
        <f>HYPERLINK("https://arizona.app.box.com/file/389164437964")</f>
        <v>https://arizona.app.box.com/file/389164437964</v>
      </c>
    </row>
    <row r="4900" spans="1:25" x14ac:dyDescent="0.2">
      <c r="A4900">
        <v>7922</v>
      </c>
      <c r="B4900" t="s">
        <v>9014</v>
      </c>
      <c r="C4900" t="s">
        <v>18</v>
      </c>
      <c r="D4900" t="s">
        <v>9020</v>
      </c>
      <c r="E4900" t="s">
        <v>9021</v>
      </c>
      <c r="F4900" t="s">
        <v>174</v>
      </c>
      <c r="G4900" t="s">
        <v>24</v>
      </c>
      <c r="I4900" t="b">
        <v>0</v>
      </c>
      <c r="J4900" t="b">
        <v>0</v>
      </c>
      <c r="L4900" t="b">
        <v>0</v>
      </c>
      <c r="M4900" t="str">
        <f>HYPERLINK("https://arizona.app.box.com/file/389184629438")</f>
        <v>https://arizona.app.box.com/file/389184629438</v>
      </c>
    </row>
    <row r="4902" spans="1:25" x14ac:dyDescent="0.2">
      <c r="A4902" s="2">
        <v>2359</v>
      </c>
      <c r="B4902" s="2" t="s">
        <v>9022</v>
      </c>
      <c r="C4902" s="2" t="s">
        <v>13</v>
      </c>
      <c r="D4902" s="2" t="s">
        <v>9023</v>
      </c>
      <c r="E4902" s="2" t="s">
        <v>9024</v>
      </c>
      <c r="F4902" s="2" t="s">
        <v>159</v>
      </c>
      <c r="G4902" s="2" t="s">
        <v>17</v>
      </c>
      <c r="H4902" s="2"/>
      <c r="I4902" s="2"/>
      <c r="J4902" s="2"/>
      <c r="K4902" s="2"/>
      <c r="L4902" s="2"/>
      <c r="M4902" s="2"/>
      <c r="N4902" s="2"/>
      <c r="O4902" s="2"/>
      <c r="P4902" s="2"/>
      <c r="Q4902" s="2"/>
      <c r="R4902" s="2"/>
      <c r="S4902" s="2"/>
      <c r="T4902" s="2"/>
      <c r="U4902" s="2"/>
      <c r="V4902" s="2"/>
      <c r="W4902" s="2"/>
      <c r="X4902" s="2"/>
      <c r="Y4902" s="2"/>
    </row>
    <row r="4903" spans="1:25" x14ac:dyDescent="0.2">
      <c r="A4903">
        <v>2360</v>
      </c>
      <c r="B4903" t="s">
        <v>9022</v>
      </c>
      <c r="C4903" t="s">
        <v>18</v>
      </c>
      <c r="D4903" t="s">
        <v>9023</v>
      </c>
      <c r="E4903" t="s">
        <v>9025</v>
      </c>
      <c r="F4903" t="s">
        <v>9026</v>
      </c>
      <c r="G4903" t="s">
        <v>17</v>
      </c>
      <c r="I4903" t="b">
        <v>1</v>
      </c>
      <c r="J4903" t="b">
        <v>1</v>
      </c>
      <c r="L4903" t="b">
        <v>1</v>
      </c>
      <c r="M4903" t="str">
        <f>HYPERLINK("https://arizona.app.box.com/file/389165629777")</f>
        <v>https://arizona.app.box.com/file/389165629777</v>
      </c>
      <c r="N4903" t="str">
        <f>HYPERLINK("https://arizona.app.box.com/file/386237423113")</f>
        <v>https://arizona.app.box.com/file/386237423113</v>
      </c>
      <c r="O4903" t="str">
        <f>HYPERLINK("https://arizona.app.box.com/file/389176532695")</f>
        <v>https://arizona.app.box.com/file/389176532695</v>
      </c>
      <c r="P4903" t="str">
        <f>HYPERLINK("https://arizona.app.box.com/file/386225986247")</f>
        <v>https://arizona.app.box.com/file/386225986247</v>
      </c>
    </row>
    <row r="4904" spans="1:25" x14ac:dyDescent="0.2">
      <c r="A4904">
        <v>2361</v>
      </c>
      <c r="B4904" t="s">
        <v>9022</v>
      </c>
      <c r="C4904" t="s">
        <v>18</v>
      </c>
      <c r="D4904" t="s">
        <v>3851</v>
      </c>
      <c r="E4904" t="s">
        <v>3852</v>
      </c>
      <c r="F4904" t="s">
        <v>670</v>
      </c>
      <c r="G4904" t="s">
        <v>17</v>
      </c>
      <c r="I4904" t="b">
        <v>0</v>
      </c>
      <c r="J4904" t="b">
        <v>0</v>
      </c>
      <c r="L4904" t="b">
        <v>0</v>
      </c>
      <c r="M4904" t="str">
        <f>HYPERLINK("https://arizona.app.box.com/file/389262733196")</f>
        <v>https://arizona.app.box.com/file/389262733196</v>
      </c>
    </row>
    <row r="4905" spans="1:25" x14ac:dyDescent="0.2">
      <c r="A4905">
        <v>2362</v>
      </c>
      <c r="B4905" t="s">
        <v>9022</v>
      </c>
      <c r="C4905" t="s">
        <v>18</v>
      </c>
      <c r="D4905" t="s">
        <v>5232</v>
      </c>
      <c r="E4905" t="s">
        <v>3860</v>
      </c>
      <c r="F4905" t="s">
        <v>16</v>
      </c>
      <c r="G4905" t="s">
        <v>17</v>
      </c>
      <c r="I4905" t="b">
        <v>0</v>
      </c>
      <c r="J4905" t="b">
        <v>0</v>
      </c>
      <c r="L4905" t="b">
        <v>0</v>
      </c>
      <c r="M4905" t="str">
        <f>HYPERLINK("https://arizona.app.box.com/file/389264138015")</f>
        <v>https://arizona.app.box.com/file/389264138015</v>
      </c>
      <c r="N4905" t="str">
        <f>HYPERLINK("https://arizona.app.box.com/file/389152063640")</f>
        <v>https://arizona.app.box.com/file/389152063640</v>
      </c>
    </row>
    <row r="4906" spans="1:25" x14ac:dyDescent="0.2">
      <c r="A4906">
        <v>2363</v>
      </c>
      <c r="B4906" t="s">
        <v>9022</v>
      </c>
      <c r="C4906" t="s">
        <v>18</v>
      </c>
      <c r="D4906" t="s">
        <v>6516</v>
      </c>
      <c r="E4906" t="s">
        <v>6517</v>
      </c>
      <c r="F4906" t="s">
        <v>1153</v>
      </c>
      <c r="G4906" t="s">
        <v>17</v>
      </c>
      <c r="I4906" t="b">
        <v>0</v>
      </c>
      <c r="J4906" t="b">
        <v>0</v>
      </c>
      <c r="L4906" t="b">
        <v>0</v>
      </c>
    </row>
    <row r="4907" spans="1:25" x14ac:dyDescent="0.2">
      <c r="A4907">
        <v>2364</v>
      </c>
      <c r="B4907" t="s">
        <v>9022</v>
      </c>
      <c r="C4907" t="s">
        <v>18</v>
      </c>
      <c r="D4907" t="s">
        <v>893</v>
      </c>
      <c r="E4907" t="s">
        <v>894</v>
      </c>
      <c r="F4907" t="s">
        <v>159</v>
      </c>
      <c r="G4907" t="s">
        <v>17</v>
      </c>
      <c r="I4907" t="b">
        <v>0</v>
      </c>
      <c r="J4907" t="b">
        <v>0</v>
      </c>
      <c r="L4907" t="b">
        <v>0</v>
      </c>
      <c r="M4907" t="str">
        <f>HYPERLINK("https://arizona.app.box.com/file/389169004177")</f>
        <v>https://arizona.app.box.com/file/389169004177</v>
      </c>
      <c r="N4907" t="str">
        <f>HYPERLINK("https://arizona.app.box.com/file/386237773651")</f>
        <v>https://arizona.app.box.com/file/386237773651</v>
      </c>
    </row>
    <row r="4909" spans="1:25" x14ac:dyDescent="0.2">
      <c r="A4909" s="2">
        <v>7007</v>
      </c>
      <c r="B4909" s="2" t="s">
        <v>9027</v>
      </c>
      <c r="C4909" s="2" t="s">
        <v>13</v>
      </c>
      <c r="D4909" s="2" t="s">
        <v>5291</v>
      </c>
      <c r="E4909" s="2" t="s">
        <v>9028</v>
      </c>
      <c r="F4909" s="2" t="s">
        <v>248</v>
      </c>
      <c r="G4909" s="2" t="s">
        <v>345</v>
      </c>
      <c r="H4909" s="2"/>
      <c r="I4909" s="2"/>
      <c r="J4909" s="2"/>
      <c r="K4909" s="2"/>
      <c r="L4909" s="2"/>
      <c r="M4909" s="2"/>
      <c r="N4909" s="2"/>
      <c r="O4909" s="2"/>
      <c r="P4909" s="2"/>
      <c r="Q4909" s="2"/>
      <c r="R4909" s="2"/>
      <c r="S4909" s="2"/>
      <c r="T4909" s="2"/>
      <c r="U4909" s="2"/>
      <c r="V4909" s="2"/>
      <c r="W4909" s="2"/>
      <c r="X4909" s="2"/>
      <c r="Y4909" s="2"/>
    </row>
    <row r="4910" spans="1:25" x14ac:dyDescent="0.2">
      <c r="A4910">
        <v>7008</v>
      </c>
      <c r="B4910" t="s">
        <v>9027</v>
      </c>
      <c r="C4910" t="s">
        <v>18</v>
      </c>
      <c r="D4910" t="s">
        <v>5291</v>
      </c>
      <c r="E4910" t="s">
        <v>4483</v>
      </c>
      <c r="F4910" t="s">
        <v>248</v>
      </c>
      <c r="G4910" t="s">
        <v>345</v>
      </c>
      <c r="I4910" t="b">
        <v>1</v>
      </c>
      <c r="J4910" t="b">
        <v>1</v>
      </c>
      <c r="L4910" t="b">
        <v>1</v>
      </c>
      <c r="M4910" t="str">
        <f>HYPERLINK("https://arizona.app.box.com/file/389170033649")</f>
        <v>https://arizona.app.box.com/file/389170033649</v>
      </c>
    </row>
    <row r="4911" spans="1:25" x14ac:dyDescent="0.2">
      <c r="A4911">
        <v>7009</v>
      </c>
      <c r="B4911" t="s">
        <v>9027</v>
      </c>
      <c r="C4911" t="s">
        <v>18</v>
      </c>
      <c r="D4911" t="s">
        <v>5293</v>
      </c>
      <c r="E4911" t="s">
        <v>381</v>
      </c>
      <c r="F4911" t="s">
        <v>31</v>
      </c>
      <c r="G4911" t="s">
        <v>24</v>
      </c>
      <c r="I4911" t="b">
        <v>0</v>
      </c>
      <c r="J4911" t="b">
        <v>0</v>
      </c>
      <c r="L4911" t="b">
        <v>0</v>
      </c>
      <c r="M4911" t="str">
        <f>HYPERLINK("https://arizona.app.box.com/file/386237161102")</f>
        <v>https://arizona.app.box.com/file/386237161102</v>
      </c>
    </row>
    <row r="4912" spans="1:25" x14ac:dyDescent="0.2">
      <c r="A4912">
        <v>7010</v>
      </c>
      <c r="B4912" t="s">
        <v>9027</v>
      </c>
      <c r="C4912" t="s">
        <v>18</v>
      </c>
      <c r="D4912" t="s">
        <v>367</v>
      </c>
      <c r="E4912" t="s">
        <v>368</v>
      </c>
      <c r="F4912" t="s">
        <v>369</v>
      </c>
      <c r="G4912" t="s">
        <v>17</v>
      </c>
      <c r="I4912" t="b">
        <v>0</v>
      </c>
      <c r="J4912" t="b">
        <v>0</v>
      </c>
      <c r="L4912" t="b">
        <v>0</v>
      </c>
      <c r="M4912" t="str">
        <f>HYPERLINK("https://arizona.app.box.com/file/389170159606")</f>
        <v>https://arizona.app.box.com/file/389170159606</v>
      </c>
    </row>
    <row r="4913" spans="1:25" x14ac:dyDescent="0.2">
      <c r="A4913">
        <v>7011</v>
      </c>
      <c r="B4913" t="s">
        <v>9027</v>
      </c>
      <c r="C4913" t="s">
        <v>18</v>
      </c>
      <c r="D4913" t="s">
        <v>372</v>
      </c>
      <c r="E4913" t="s">
        <v>373</v>
      </c>
      <c r="F4913" t="s">
        <v>78</v>
      </c>
      <c r="G4913" t="s">
        <v>134</v>
      </c>
      <c r="I4913" t="b">
        <v>0</v>
      </c>
      <c r="J4913" t="b">
        <v>0</v>
      </c>
      <c r="L4913" t="b">
        <v>0</v>
      </c>
      <c r="M4913" t="str">
        <f>HYPERLINK("https://arizona.app.box.com/file/389166891779")</f>
        <v>https://arizona.app.box.com/file/389166891779</v>
      </c>
      <c r="N4913" t="str">
        <f>HYPERLINK("https://arizona.app.box.com/file/386241451510")</f>
        <v>https://arizona.app.box.com/file/386241451510</v>
      </c>
    </row>
    <row r="4914" spans="1:25" x14ac:dyDescent="0.2">
      <c r="A4914">
        <v>7012</v>
      </c>
      <c r="B4914" t="s">
        <v>9027</v>
      </c>
      <c r="C4914" t="s">
        <v>18</v>
      </c>
      <c r="D4914" t="s">
        <v>9029</v>
      </c>
      <c r="E4914" t="s">
        <v>368</v>
      </c>
      <c r="F4914" t="s">
        <v>45</v>
      </c>
      <c r="G4914" t="s">
        <v>17</v>
      </c>
      <c r="I4914" t="b">
        <v>0</v>
      </c>
      <c r="J4914" t="b">
        <v>0</v>
      </c>
      <c r="L4914" t="b">
        <v>0</v>
      </c>
      <c r="M4914" t="str">
        <f>HYPERLINK("https://arizona.app.box.com/file/389167298781")</f>
        <v>https://arizona.app.box.com/file/389167298781</v>
      </c>
      <c r="N4914" t="str">
        <f>HYPERLINK("https://arizona.app.box.com/file/386244570142")</f>
        <v>https://arizona.app.box.com/file/386244570142</v>
      </c>
    </row>
    <row r="4916" spans="1:25" x14ac:dyDescent="0.2">
      <c r="A4916" s="2">
        <v>1995</v>
      </c>
      <c r="B4916" s="2" t="s">
        <v>9030</v>
      </c>
      <c r="C4916" s="2" t="s">
        <v>13</v>
      </c>
      <c r="D4916" s="2" t="s">
        <v>164</v>
      </c>
      <c r="E4916" s="2" t="s">
        <v>9031</v>
      </c>
      <c r="F4916" s="2" t="s">
        <v>122</v>
      </c>
      <c r="G4916" s="2" t="s">
        <v>17</v>
      </c>
      <c r="H4916" s="2"/>
      <c r="I4916" s="2"/>
      <c r="J4916" s="2"/>
      <c r="K4916" s="2"/>
      <c r="L4916" s="2"/>
      <c r="M4916" s="2"/>
      <c r="N4916" s="2"/>
      <c r="O4916" s="2"/>
      <c r="P4916" s="2"/>
      <c r="Q4916" s="2"/>
      <c r="R4916" s="2"/>
      <c r="S4916" s="2"/>
      <c r="T4916" s="2"/>
      <c r="U4916" s="2"/>
      <c r="V4916" s="2"/>
      <c r="W4916" s="2"/>
      <c r="X4916" s="2"/>
      <c r="Y4916" s="2"/>
    </row>
    <row r="4917" spans="1:25" x14ac:dyDescent="0.2">
      <c r="A4917">
        <v>1996</v>
      </c>
      <c r="B4917" t="s">
        <v>9030</v>
      </c>
      <c r="C4917" t="s">
        <v>18</v>
      </c>
      <c r="D4917" t="s">
        <v>164</v>
      </c>
      <c r="E4917" t="s">
        <v>165</v>
      </c>
      <c r="F4917" t="s">
        <v>122</v>
      </c>
      <c r="G4917" t="s">
        <v>17</v>
      </c>
      <c r="I4917" t="b">
        <v>1</v>
      </c>
      <c r="J4917" t="b">
        <v>1</v>
      </c>
      <c r="L4917" t="b">
        <v>1</v>
      </c>
      <c r="M4917" t="str">
        <f>HYPERLINK("https://arizona.app.box.com/file/389174125441")</f>
        <v>https://arizona.app.box.com/file/389174125441</v>
      </c>
    </row>
    <row r="4918" spans="1:25" x14ac:dyDescent="0.2">
      <c r="A4918">
        <v>1997</v>
      </c>
      <c r="B4918" t="s">
        <v>9030</v>
      </c>
      <c r="C4918" t="s">
        <v>18</v>
      </c>
      <c r="D4918" t="s">
        <v>157</v>
      </c>
      <c r="E4918" t="s">
        <v>158</v>
      </c>
      <c r="F4918" t="s">
        <v>160</v>
      </c>
      <c r="G4918" t="s">
        <v>161</v>
      </c>
      <c r="I4918" t="b">
        <v>1</v>
      </c>
      <c r="J4918" t="b">
        <v>1</v>
      </c>
      <c r="L4918" t="b">
        <v>1</v>
      </c>
      <c r="M4918" t="str">
        <f>HYPERLINK("https://arizona.app.box.com/file/389263180916")</f>
        <v>https://arizona.app.box.com/file/389263180916</v>
      </c>
      <c r="N4918" t="str">
        <f>HYPERLINK("https://arizona.app.box.com/file/386216449454")</f>
        <v>https://arizona.app.box.com/file/386216449454</v>
      </c>
    </row>
    <row r="4919" spans="1:25" x14ac:dyDescent="0.2">
      <c r="A4919">
        <v>1998</v>
      </c>
      <c r="B4919" t="s">
        <v>9030</v>
      </c>
      <c r="C4919" t="s">
        <v>18</v>
      </c>
      <c r="D4919" t="s">
        <v>162</v>
      </c>
      <c r="E4919" t="s">
        <v>163</v>
      </c>
      <c r="F4919" t="s">
        <v>16</v>
      </c>
      <c r="G4919" t="s">
        <v>24</v>
      </c>
      <c r="I4919" t="b">
        <v>0</v>
      </c>
      <c r="J4919" t="b">
        <v>1</v>
      </c>
      <c r="L4919" t="b">
        <v>1</v>
      </c>
      <c r="M4919" t="str">
        <f>HYPERLINK("https://arizona.app.box.com/file/389255779743")</f>
        <v>https://arizona.app.box.com/file/389255779743</v>
      </c>
      <c r="N4919" t="str">
        <f>HYPERLINK("https://arizona.app.box.com/file/389152310670")</f>
        <v>https://arizona.app.box.com/file/389152310670</v>
      </c>
    </row>
    <row r="4920" spans="1:25" x14ac:dyDescent="0.2">
      <c r="A4920">
        <v>1999</v>
      </c>
      <c r="B4920" t="s">
        <v>9030</v>
      </c>
      <c r="C4920" t="s">
        <v>18</v>
      </c>
      <c r="D4920" t="s">
        <v>806</v>
      </c>
      <c r="E4920" t="s">
        <v>165</v>
      </c>
      <c r="F4920" t="s">
        <v>122</v>
      </c>
      <c r="G4920" t="s">
        <v>17</v>
      </c>
      <c r="I4920" t="b">
        <v>0</v>
      </c>
      <c r="J4920" t="b">
        <v>0</v>
      </c>
      <c r="L4920" t="b">
        <v>0</v>
      </c>
    </row>
    <row r="4921" spans="1:25" x14ac:dyDescent="0.2">
      <c r="A4921">
        <v>2000</v>
      </c>
      <c r="B4921" t="s">
        <v>9030</v>
      </c>
      <c r="C4921" t="s">
        <v>18</v>
      </c>
      <c r="D4921" t="s">
        <v>3703</v>
      </c>
      <c r="E4921" t="s">
        <v>3704</v>
      </c>
      <c r="F4921" t="s">
        <v>148</v>
      </c>
      <c r="G4921" t="s">
        <v>252</v>
      </c>
      <c r="I4921" t="b">
        <v>0</v>
      </c>
      <c r="J4921" t="b">
        <v>0</v>
      </c>
      <c r="L4921" t="b">
        <v>0</v>
      </c>
      <c r="M4921" t="str">
        <f>HYPERLINK("https://arizona.app.box.com/file/389261766473")</f>
        <v>https://arizona.app.box.com/file/389261766473</v>
      </c>
      <c r="N4921" t="str">
        <f>HYPERLINK("https://arizona.app.box.com/file/389153400320")</f>
        <v>https://arizona.app.box.com/file/389153400320</v>
      </c>
    </row>
    <row r="4923" spans="1:25" x14ac:dyDescent="0.2">
      <c r="A4923" s="2">
        <v>1512</v>
      </c>
      <c r="B4923" s="2" t="s">
        <v>9032</v>
      </c>
      <c r="C4923" s="2" t="s">
        <v>13</v>
      </c>
      <c r="D4923" s="2" t="s">
        <v>9033</v>
      </c>
      <c r="E4923" s="2" t="s">
        <v>9034</v>
      </c>
      <c r="F4923" s="2" t="s">
        <v>151</v>
      </c>
      <c r="G4923" s="2" t="s">
        <v>252</v>
      </c>
      <c r="H4923" s="2"/>
      <c r="I4923" s="2"/>
      <c r="J4923" s="2"/>
      <c r="K4923" s="2"/>
      <c r="L4923" s="2"/>
      <c r="M4923" s="2"/>
      <c r="N4923" s="2"/>
      <c r="O4923" s="2"/>
      <c r="P4923" s="2"/>
      <c r="Q4923" s="2"/>
      <c r="R4923" s="2"/>
      <c r="S4923" s="2"/>
      <c r="T4923" s="2"/>
      <c r="U4923" s="2"/>
      <c r="V4923" s="2"/>
      <c r="W4923" s="2"/>
      <c r="X4923" s="2"/>
      <c r="Y4923" s="2"/>
    </row>
    <row r="4924" spans="1:25" x14ac:dyDescent="0.2">
      <c r="A4924">
        <v>1513</v>
      </c>
      <c r="B4924" t="s">
        <v>9032</v>
      </c>
      <c r="C4924" t="s">
        <v>18</v>
      </c>
      <c r="D4924" t="s">
        <v>9033</v>
      </c>
      <c r="E4924" t="s">
        <v>117</v>
      </c>
      <c r="F4924" t="s">
        <v>151</v>
      </c>
      <c r="G4924" t="s">
        <v>252</v>
      </c>
      <c r="I4924" t="b">
        <v>1</v>
      </c>
      <c r="J4924" t="b">
        <v>1</v>
      </c>
      <c r="L4924" t="b">
        <v>1</v>
      </c>
      <c r="M4924" t="str">
        <f>HYPERLINK("https://arizona.app.box.com/file/389270000805")</f>
        <v>https://arizona.app.box.com/file/389270000805</v>
      </c>
      <c r="N4924" t="str">
        <f>HYPERLINK("https://arizona.app.box.com/file/389163886445")</f>
        <v>https://arizona.app.box.com/file/389163886445</v>
      </c>
    </row>
    <row r="4925" spans="1:25" x14ac:dyDescent="0.2">
      <c r="A4925">
        <v>1514</v>
      </c>
      <c r="B4925" t="s">
        <v>9032</v>
      </c>
      <c r="C4925" t="s">
        <v>18</v>
      </c>
      <c r="D4925" t="s">
        <v>9035</v>
      </c>
      <c r="E4925" t="s">
        <v>9036</v>
      </c>
      <c r="F4925" t="s">
        <v>151</v>
      </c>
      <c r="G4925" t="s">
        <v>252</v>
      </c>
      <c r="I4925" t="b">
        <v>1</v>
      </c>
      <c r="J4925" t="b">
        <v>1</v>
      </c>
      <c r="L4925" t="b">
        <v>1</v>
      </c>
      <c r="M4925" t="str">
        <f>HYPERLINK("https://arizona.app.box.com/file/389268065542")</f>
        <v>https://arizona.app.box.com/file/389268065542</v>
      </c>
      <c r="N4925" t="str">
        <f>HYPERLINK("https://arizona.app.box.com/file/389139130947")</f>
        <v>https://arizona.app.box.com/file/389139130947</v>
      </c>
    </row>
    <row r="4926" spans="1:25" x14ac:dyDescent="0.2">
      <c r="A4926">
        <v>1515</v>
      </c>
      <c r="B4926" t="s">
        <v>9032</v>
      </c>
      <c r="C4926" t="s">
        <v>18</v>
      </c>
      <c r="D4926" t="s">
        <v>9037</v>
      </c>
      <c r="E4926" t="s">
        <v>9038</v>
      </c>
      <c r="F4926" t="s">
        <v>151</v>
      </c>
      <c r="G4926" t="s">
        <v>252</v>
      </c>
      <c r="I4926" t="b">
        <v>0</v>
      </c>
      <c r="J4926" t="b">
        <v>0</v>
      </c>
      <c r="L4926" t="b">
        <v>0</v>
      </c>
    </row>
    <row r="4927" spans="1:25" x14ac:dyDescent="0.2">
      <c r="A4927">
        <v>1516</v>
      </c>
      <c r="B4927" t="s">
        <v>9032</v>
      </c>
      <c r="C4927" t="s">
        <v>18</v>
      </c>
      <c r="D4927" t="s">
        <v>3806</v>
      </c>
      <c r="E4927" t="s">
        <v>3807</v>
      </c>
      <c r="F4927" t="s">
        <v>23</v>
      </c>
      <c r="G4927" t="s">
        <v>252</v>
      </c>
      <c r="I4927" t="b">
        <v>0</v>
      </c>
      <c r="J4927" t="b">
        <v>0</v>
      </c>
      <c r="L4927" t="b">
        <v>0</v>
      </c>
      <c r="M4927" t="str">
        <f>HYPERLINK("https://arizona.app.box.com/file/386240659751")</f>
        <v>https://arizona.app.box.com/file/386240659751</v>
      </c>
      <c r="N4927" t="str">
        <f>HYPERLINK("https://arizona.app.box.com/file/386241113911")</f>
        <v>https://arizona.app.box.com/file/386241113911</v>
      </c>
    </row>
    <row r="4928" spans="1:25" x14ac:dyDescent="0.2">
      <c r="A4928">
        <v>1517</v>
      </c>
      <c r="B4928" t="s">
        <v>9032</v>
      </c>
      <c r="C4928" t="s">
        <v>18</v>
      </c>
      <c r="D4928" t="s">
        <v>9039</v>
      </c>
      <c r="E4928" t="s">
        <v>9040</v>
      </c>
      <c r="F4928" t="s">
        <v>174</v>
      </c>
      <c r="G4928" t="s">
        <v>252</v>
      </c>
      <c r="I4928" t="b">
        <v>0</v>
      </c>
      <c r="J4928" t="b">
        <v>0</v>
      </c>
      <c r="L4928" t="b">
        <v>0</v>
      </c>
    </row>
    <row r="4930" spans="1:25" x14ac:dyDescent="0.2">
      <c r="A4930" s="2">
        <v>2450</v>
      </c>
      <c r="B4930" s="2" t="s">
        <v>9041</v>
      </c>
      <c r="C4930" s="2" t="s">
        <v>13</v>
      </c>
      <c r="D4930" s="2" t="s">
        <v>9042</v>
      </c>
      <c r="E4930" s="2" t="s">
        <v>7225</v>
      </c>
      <c r="F4930" s="2" t="s">
        <v>82</v>
      </c>
      <c r="G4930" s="2" t="s">
        <v>265</v>
      </c>
      <c r="H4930" s="2"/>
      <c r="I4930" s="2"/>
      <c r="J4930" s="2"/>
      <c r="K4930" s="2"/>
      <c r="L4930" s="2"/>
      <c r="M4930" s="2"/>
      <c r="N4930" s="2"/>
      <c r="O4930" s="2"/>
      <c r="P4930" s="2"/>
      <c r="Q4930" s="2"/>
      <c r="R4930" s="2"/>
      <c r="S4930" s="2"/>
      <c r="T4930" s="2"/>
      <c r="U4930" s="2"/>
      <c r="V4930" s="2"/>
      <c r="W4930" s="2"/>
      <c r="X4930" s="2"/>
      <c r="Y4930" s="2"/>
    </row>
    <row r="4931" spans="1:25" x14ac:dyDescent="0.2">
      <c r="A4931">
        <v>2451</v>
      </c>
      <c r="B4931" t="s">
        <v>9041</v>
      </c>
      <c r="C4931" t="s">
        <v>18</v>
      </c>
      <c r="D4931" t="s">
        <v>7224</v>
      </c>
      <c r="E4931" t="s">
        <v>7225</v>
      </c>
      <c r="F4931" t="s">
        <v>82</v>
      </c>
      <c r="G4931" t="s">
        <v>265</v>
      </c>
      <c r="I4931" t="b">
        <v>1</v>
      </c>
      <c r="J4931" t="b">
        <v>1</v>
      </c>
      <c r="L4931" t="b">
        <v>1</v>
      </c>
      <c r="M4931" t="str">
        <f>HYPERLINK("https://arizona.app.box.com/file/386224761617")</f>
        <v>https://arizona.app.box.com/file/386224761617</v>
      </c>
      <c r="N4931" t="str">
        <f>HYPERLINK("https://arizona.app.box.com/file/386243454591")</f>
        <v>https://arizona.app.box.com/file/386243454591</v>
      </c>
    </row>
    <row r="4932" spans="1:25" x14ac:dyDescent="0.2">
      <c r="A4932">
        <v>2452</v>
      </c>
      <c r="B4932" t="s">
        <v>9041</v>
      </c>
      <c r="C4932" t="s">
        <v>18</v>
      </c>
      <c r="D4932" t="s">
        <v>3415</v>
      </c>
      <c r="E4932" t="s">
        <v>3416</v>
      </c>
      <c r="F4932" t="s">
        <v>82</v>
      </c>
      <c r="G4932" t="s">
        <v>265</v>
      </c>
      <c r="I4932" t="b">
        <v>0</v>
      </c>
      <c r="J4932" t="b">
        <v>0</v>
      </c>
      <c r="L4932" t="b">
        <v>0</v>
      </c>
      <c r="M4932" t="str">
        <f>HYPERLINK("https://arizona.app.box.com/file/386241944545")</f>
        <v>https://arizona.app.box.com/file/386241944545</v>
      </c>
      <c r="N4932" t="str">
        <f>HYPERLINK("https://arizona.app.box.com/file/386241926241")</f>
        <v>https://arizona.app.box.com/file/386241926241</v>
      </c>
    </row>
    <row r="4933" spans="1:25" x14ac:dyDescent="0.2">
      <c r="A4933">
        <v>2453</v>
      </c>
      <c r="B4933" t="s">
        <v>9041</v>
      </c>
      <c r="C4933" t="s">
        <v>18</v>
      </c>
      <c r="D4933" t="s">
        <v>7220</v>
      </c>
      <c r="E4933" t="s">
        <v>7221</v>
      </c>
      <c r="F4933" t="s">
        <v>82</v>
      </c>
      <c r="G4933" t="s">
        <v>265</v>
      </c>
      <c r="I4933" t="b">
        <v>0</v>
      </c>
      <c r="J4933" t="b">
        <v>0</v>
      </c>
      <c r="L4933" t="b">
        <v>0</v>
      </c>
      <c r="M4933" t="str">
        <f>HYPERLINK("https://arizona.app.box.com/file/386250758869")</f>
        <v>https://arizona.app.box.com/file/386250758869</v>
      </c>
      <c r="N4933" t="str">
        <f>HYPERLINK("https://arizona.app.box.com/file/386263467156")</f>
        <v>https://arizona.app.box.com/file/386263467156</v>
      </c>
    </row>
    <row r="4934" spans="1:25" x14ac:dyDescent="0.2">
      <c r="A4934">
        <v>2454</v>
      </c>
      <c r="B4934" t="s">
        <v>9041</v>
      </c>
      <c r="C4934" t="s">
        <v>18</v>
      </c>
      <c r="D4934" t="s">
        <v>5994</v>
      </c>
      <c r="E4934" t="s">
        <v>5996</v>
      </c>
      <c r="F4934" t="s">
        <v>82</v>
      </c>
      <c r="G4934" t="s">
        <v>265</v>
      </c>
      <c r="I4934" t="b">
        <v>0</v>
      </c>
      <c r="J4934" t="b">
        <v>0</v>
      </c>
      <c r="L4934" t="b">
        <v>0</v>
      </c>
      <c r="M4934" t="str">
        <f>HYPERLINK("https://arizona.app.box.com/file/386214269712")</f>
        <v>https://arizona.app.box.com/file/386214269712</v>
      </c>
    </row>
    <row r="4935" spans="1:25" x14ac:dyDescent="0.2">
      <c r="A4935">
        <v>2455</v>
      </c>
      <c r="B4935" t="s">
        <v>9041</v>
      </c>
      <c r="C4935" t="s">
        <v>18</v>
      </c>
      <c r="D4935" t="s">
        <v>5998</v>
      </c>
      <c r="E4935" t="s">
        <v>5999</v>
      </c>
      <c r="F4935" t="s">
        <v>82</v>
      </c>
      <c r="G4935" t="s">
        <v>265</v>
      </c>
      <c r="I4935" t="b">
        <v>0</v>
      </c>
      <c r="J4935" t="b">
        <v>0</v>
      </c>
      <c r="L4935" t="b">
        <v>0</v>
      </c>
      <c r="M4935" t="str">
        <f>HYPERLINK("https://arizona.app.box.com/file/386263418257")</f>
        <v>https://arizona.app.box.com/file/386263418257</v>
      </c>
    </row>
    <row r="4937" spans="1:25" x14ac:dyDescent="0.2">
      <c r="A4937" s="2">
        <v>5691</v>
      </c>
      <c r="B4937" s="2" t="s">
        <v>9043</v>
      </c>
      <c r="C4937" s="2" t="s">
        <v>13</v>
      </c>
      <c r="D4937" s="2" t="s">
        <v>9044</v>
      </c>
      <c r="E4937" s="2" t="s">
        <v>9045</v>
      </c>
      <c r="F4937" s="2" t="s">
        <v>196</v>
      </c>
      <c r="G4937" s="2" t="s">
        <v>88</v>
      </c>
      <c r="H4937" s="2"/>
      <c r="I4937" s="2"/>
      <c r="J4937" s="2"/>
      <c r="K4937" s="2"/>
      <c r="L4937" s="2"/>
      <c r="M4937" s="2"/>
      <c r="N4937" s="2"/>
      <c r="O4937" s="2"/>
      <c r="P4937" s="2"/>
      <c r="Q4937" s="2"/>
      <c r="R4937" s="2"/>
      <c r="S4937" s="2"/>
      <c r="T4937" s="2"/>
      <c r="U4937" s="2"/>
      <c r="V4937" s="2"/>
      <c r="W4937" s="2"/>
      <c r="X4937" s="2"/>
      <c r="Y4937" s="2"/>
    </row>
    <row r="4938" spans="1:25" x14ac:dyDescent="0.2">
      <c r="A4938">
        <v>5692</v>
      </c>
      <c r="B4938" t="s">
        <v>9043</v>
      </c>
      <c r="C4938" t="s">
        <v>18</v>
      </c>
      <c r="D4938" t="s">
        <v>9046</v>
      </c>
      <c r="E4938" t="s">
        <v>1330</v>
      </c>
      <c r="F4938" t="s">
        <v>196</v>
      </c>
      <c r="G4938" t="s">
        <v>88</v>
      </c>
      <c r="I4938" t="b">
        <v>1</v>
      </c>
      <c r="J4938" t="b">
        <v>1</v>
      </c>
      <c r="L4938" t="b">
        <v>1</v>
      </c>
      <c r="M4938" t="str">
        <f>HYPERLINK("https://arizona.app.box.com/file/389175868644")</f>
        <v>https://arizona.app.box.com/file/389175868644</v>
      </c>
      <c r="N4938" t="str">
        <f>HYPERLINK("https://arizona.app.box.com/file/386216601982")</f>
        <v>https://arizona.app.box.com/file/386216601982</v>
      </c>
    </row>
    <row r="4939" spans="1:25" x14ac:dyDescent="0.2">
      <c r="A4939">
        <v>5693</v>
      </c>
      <c r="B4939" t="s">
        <v>9043</v>
      </c>
      <c r="C4939" t="s">
        <v>18</v>
      </c>
      <c r="D4939" t="s">
        <v>9047</v>
      </c>
      <c r="E4939" t="s">
        <v>9048</v>
      </c>
      <c r="F4939" t="s">
        <v>78</v>
      </c>
      <c r="G4939" t="s">
        <v>88</v>
      </c>
      <c r="I4939" t="b">
        <v>0</v>
      </c>
      <c r="J4939" t="b">
        <v>0</v>
      </c>
      <c r="L4939" t="b">
        <v>0</v>
      </c>
    </row>
    <row r="4940" spans="1:25" x14ac:dyDescent="0.2">
      <c r="A4940">
        <v>5694</v>
      </c>
      <c r="B4940" t="s">
        <v>9043</v>
      </c>
      <c r="C4940" t="s">
        <v>18</v>
      </c>
      <c r="D4940" t="s">
        <v>6539</v>
      </c>
      <c r="E4940" t="s">
        <v>6540</v>
      </c>
      <c r="F4940" t="s">
        <v>78</v>
      </c>
      <c r="G4940" t="s">
        <v>134</v>
      </c>
      <c r="I4940" t="b">
        <v>0</v>
      </c>
      <c r="J4940" t="b">
        <v>0</v>
      </c>
      <c r="L4940" t="b">
        <v>0</v>
      </c>
      <c r="M4940" t="str">
        <f>HYPERLINK("https://arizona.app.box.com/file/389164261868")</f>
        <v>https://arizona.app.box.com/file/389164261868</v>
      </c>
    </row>
    <row r="4941" spans="1:25" x14ac:dyDescent="0.2">
      <c r="A4941">
        <v>5695</v>
      </c>
      <c r="B4941" t="s">
        <v>9043</v>
      </c>
      <c r="C4941" t="s">
        <v>18</v>
      </c>
      <c r="D4941" t="s">
        <v>9049</v>
      </c>
      <c r="E4941" t="s">
        <v>9050</v>
      </c>
      <c r="F4941" t="s">
        <v>1077</v>
      </c>
      <c r="G4941" t="s">
        <v>88</v>
      </c>
      <c r="I4941" t="b">
        <v>0</v>
      </c>
      <c r="J4941" t="b">
        <v>0</v>
      </c>
      <c r="L4941" t="b">
        <v>0</v>
      </c>
    </row>
    <row r="4942" spans="1:25" x14ac:dyDescent="0.2">
      <c r="A4942">
        <v>5696</v>
      </c>
      <c r="B4942" t="s">
        <v>9043</v>
      </c>
      <c r="C4942" t="s">
        <v>18</v>
      </c>
      <c r="D4942" t="s">
        <v>9051</v>
      </c>
      <c r="E4942" t="s">
        <v>4064</v>
      </c>
      <c r="F4942" t="s">
        <v>1010</v>
      </c>
      <c r="G4942" t="s">
        <v>134</v>
      </c>
      <c r="I4942" t="b">
        <v>0</v>
      </c>
      <c r="J4942" t="b">
        <v>0</v>
      </c>
      <c r="L4942" t="b">
        <v>0</v>
      </c>
      <c r="M4942" t="str">
        <f>HYPERLINK("https://arizona.app.box.com/file/386230183960")</f>
        <v>https://arizona.app.box.com/file/386230183960</v>
      </c>
    </row>
    <row r="4944" spans="1:25" x14ac:dyDescent="0.2">
      <c r="A4944" s="2">
        <v>4648</v>
      </c>
      <c r="B4944" s="2" t="s">
        <v>9052</v>
      </c>
      <c r="C4944" s="2" t="s">
        <v>13</v>
      </c>
      <c r="D4944" s="2" t="s">
        <v>6228</v>
      </c>
      <c r="E4944" s="2" t="s">
        <v>6229</v>
      </c>
      <c r="F4944" s="2" t="s">
        <v>316</v>
      </c>
      <c r="G4944" s="2" t="s">
        <v>3555</v>
      </c>
      <c r="H4944" s="2"/>
      <c r="I4944" s="2"/>
      <c r="J4944" s="2"/>
      <c r="K4944" s="2"/>
      <c r="L4944" s="2"/>
      <c r="M4944" s="2"/>
      <c r="N4944" s="2"/>
      <c r="O4944" s="2"/>
      <c r="P4944" s="2"/>
      <c r="Q4944" s="2"/>
      <c r="R4944" s="2"/>
      <c r="S4944" s="2"/>
      <c r="T4944" s="2"/>
      <c r="U4944" s="2"/>
      <c r="V4944" s="2"/>
      <c r="W4944" s="2"/>
      <c r="X4944" s="2"/>
      <c r="Y4944" s="2"/>
    </row>
    <row r="4945" spans="1:25" x14ac:dyDescent="0.2">
      <c r="A4945">
        <v>4649</v>
      </c>
      <c r="B4945" t="s">
        <v>9052</v>
      </c>
      <c r="C4945" t="s">
        <v>18</v>
      </c>
      <c r="D4945" t="s">
        <v>6228</v>
      </c>
      <c r="E4945" t="s">
        <v>6229</v>
      </c>
      <c r="F4945" t="s">
        <v>316</v>
      </c>
      <c r="G4945" t="s">
        <v>3558</v>
      </c>
      <c r="I4945" t="b">
        <v>1</v>
      </c>
      <c r="J4945" t="b">
        <v>1</v>
      </c>
      <c r="L4945" t="b">
        <v>1</v>
      </c>
      <c r="M4945" t="str">
        <f>HYPERLINK("https://arizona.app.box.com/file/386214344612")</f>
        <v>https://arizona.app.box.com/file/386214344612</v>
      </c>
      <c r="N4945" t="str">
        <f>HYPERLINK("https://arizona.app.box.com/file/386215281070")</f>
        <v>https://arizona.app.box.com/file/386215281070</v>
      </c>
    </row>
    <row r="4946" spans="1:25" x14ac:dyDescent="0.2">
      <c r="A4946">
        <v>4650</v>
      </c>
      <c r="B4946" t="s">
        <v>9052</v>
      </c>
      <c r="C4946" t="s">
        <v>18</v>
      </c>
      <c r="D4946" t="s">
        <v>3561</v>
      </c>
      <c r="E4946" t="s">
        <v>3562</v>
      </c>
      <c r="F4946" t="s">
        <v>316</v>
      </c>
      <c r="G4946" t="s">
        <v>3558</v>
      </c>
      <c r="I4946" t="b">
        <v>0</v>
      </c>
      <c r="J4946" t="b">
        <v>0</v>
      </c>
      <c r="L4946" t="b">
        <v>0</v>
      </c>
      <c r="M4946" t="str">
        <f>HYPERLINK("https://arizona.app.box.com/file/386230175409")</f>
        <v>https://arizona.app.box.com/file/386230175409</v>
      </c>
    </row>
    <row r="4947" spans="1:25" x14ac:dyDescent="0.2">
      <c r="A4947">
        <v>4651</v>
      </c>
      <c r="B4947" t="s">
        <v>9052</v>
      </c>
      <c r="C4947" t="s">
        <v>18</v>
      </c>
      <c r="D4947" t="s">
        <v>3564</v>
      </c>
      <c r="E4947" t="s">
        <v>3565</v>
      </c>
      <c r="F4947" t="s">
        <v>316</v>
      </c>
      <c r="G4947" t="s">
        <v>3558</v>
      </c>
      <c r="I4947" t="b">
        <v>0</v>
      </c>
      <c r="J4947" t="b">
        <v>0</v>
      </c>
      <c r="L4947" t="b">
        <v>0</v>
      </c>
      <c r="M4947" t="str">
        <f>HYPERLINK("https://arizona.app.box.com/file/386241650812")</f>
        <v>https://arizona.app.box.com/file/386241650812</v>
      </c>
    </row>
    <row r="4948" spans="1:25" x14ac:dyDescent="0.2">
      <c r="A4948">
        <v>4652</v>
      </c>
      <c r="B4948" t="s">
        <v>9052</v>
      </c>
      <c r="C4948" t="s">
        <v>18</v>
      </c>
      <c r="D4948" t="s">
        <v>9053</v>
      </c>
      <c r="E4948" t="s">
        <v>9054</v>
      </c>
      <c r="F4948" t="s">
        <v>316</v>
      </c>
      <c r="G4948" t="s">
        <v>9055</v>
      </c>
      <c r="I4948" t="b">
        <v>0</v>
      </c>
      <c r="J4948" t="b">
        <v>0</v>
      </c>
      <c r="L4948" t="b">
        <v>0</v>
      </c>
      <c r="M4948" t="str">
        <f>HYPERLINK("https://arizona.app.box.com/file/386241629466")</f>
        <v>https://arizona.app.box.com/file/386241629466</v>
      </c>
      <c r="N4948" t="str">
        <f>HYPERLINK("https://arizona.app.box.com/file/386243536303")</f>
        <v>https://arizona.app.box.com/file/386243536303</v>
      </c>
    </row>
    <row r="4949" spans="1:25" x14ac:dyDescent="0.2">
      <c r="A4949">
        <v>4653</v>
      </c>
      <c r="B4949" t="s">
        <v>9052</v>
      </c>
      <c r="C4949" t="s">
        <v>18</v>
      </c>
      <c r="D4949" t="s">
        <v>9056</v>
      </c>
      <c r="E4949" t="s">
        <v>9057</v>
      </c>
      <c r="F4949" t="s">
        <v>316</v>
      </c>
      <c r="G4949" t="s">
        <v>638</v>
      </c>
      <c r="I4949" t="b">
        <v>0</v>
      </c>
      <c r="J4949" t="b">
        <v>0</v>
      </c>
      <c r="L4949" t="b">
        <v>0</v>
      </c>
      <c r="M4949" t="str">
        <f>HYPERLINK("https://arizona.app.box.com/file/386246913528")</f>
        <v>https://arizona.app.box.com/file/386246913528</v>
      </c>
      <c r="N4949" t="str">
        <f>HYPERLINK("https://arizona.app.box.com/file/386242029651")</f>
        <v>https://arizona.app.box.com/file/386242029651</v>
      </c>
    </row>
    <row r="4951" spans="1:25" x14ac:dyDescent="0.2">
      <c r="A4951" s="2">
        <v>7798</v>
      </c>
      <c r="B4951" s="2" t="s">
        <v>9058</v>
      </c>
      <c r="C4951" s="2" t="s">
        <v>13</v>
      </c>
      <c r="D4951" s="2" t="s">
        <v>9059</v>
      </c>
      <c r="E4951" s="2" t="s">
        <v>9060</v>
      </c>
      <c r="F4951" s="2" t="s">
        <v>87</v>
      </c>
      <c r="G4951" s="2" t="s">
        <v>2208</v>
      </c>
      <c r="H4951" s="2"/>
      <c r="I4951" s="2"/>
      <c r="J4951" s="2"/>
      <c r="K4951" s="2"/>
      <c r="L4951" s="2"/>
      <c r="M4951" s="2"/>
      <c r="N4951" s="2"/>
      <c r="O4951" s="2"/>
      <c r="P4951" s="2"/>
      <c r="Q4951" s="2"/>
      <c r="R4951" s="2"/>
      <c r="S4951" s="2"/>
      <c r="T4951" s="2"/>
      <c r="U4951" s="2"/>
      <c r="V4951" s="2"/>
      <c r="W4951" s="2"/>
      <c r="X4951" s="2"/>
      <c r="Y4951" s="2"/>
    </row>
    <row r="4952" spans="1:25" x14ac:dyDescent="0.2">
      <c r="A4952">
        <v>7799</v>
      </c>
      <c r="B4952" t="s">
        <v>9058</v>
      </c>
      <c r="C4952" t="s">
        <v>18</v>
      </c>
      <c r="D4952" t="s">
        <v>9059</v>
      </c>
      <c r="E4952" t="s">
        <v>9060</v>
      </c>
      <c r="F4952" t="s">
        <v>87</v>
      </c>
      <c r="G4952" t="s">
        <v>2208</v>
      </c>
      <c r="I4952" t="b">
        <v>1</v>
      </c>
      <c r="J4952" t="b">
        <v>1</v>
      </c>
      <c r="L4952" t="b">
        <v>1</v>
      </c>
      <c r="M4952" t="str">
        <f>HYPERLINK("https://arizona.app.box.com/file/386230563214")</f>
        <v>https://arizona.app.box.com/file/386230563214</v>
      </c>
      <c r="N4952" t="str">
        <f>HYPERLINK("https://arizona.app.box.com/file/386218846526")</f>
        <v>https://arizona.app.box.com/file/386218846526</v>
      </c>
    </row>
    <row r="4953" spans="1:25" x14ac:dyDescent="0.2">
      <c r="A4953">
        <v>7800</v>
      </c>
      <c r="B4953" t="s">
        <v>9058</v>
      </c>
      <c r="C4953" t="s">
        <v>18</v>
      </c>
      <c r="D4953" t="s">
        <v>9061</v>
      </c>
      <c r="E4953" t="s">
        <v>1926</v>
      </c>
      <c r="F4953" t="s">
        <v>82</v>
      </c>
      <c r="G4953" t="s">
        <v>2208</v>
      </c>
      <c r="I4953" t="b">
        <v>0</v>
      </c>
      <c r="J4953" t="b">
        <v>0</v>
      </c>
      <c r="L4953" t="b">
        <v>0</v>
      </c>
    </row>
    <row r="4954" spans="1:25" x14ac:dyDescent="0.2">
      <c r="A4954">
        <v>7801</v>
      </c>
      <c r="B4954" t="s">
        <v>9058</v>
      </c>
      <c r="C4954" t="s">
        <v>18</v>
      </c>
      <c r="D4954" t="s">
        <v>1387</v>
      </c>
      <c r="E4954" t="s">
        <v>1388</v>
      </c>
      <c r="F4954" t="s">
        <v>654</v>
      </c>
      <c r="G4954" t="s">
        <v>88</v>
      </c>
      <c r="I4954" t="b">
        <v>0</v>
      </c>
      <c r="J4954" t="b">
        <v>0</v>
      </c>
      <c r="L4954" t="b">
        <v>0</v>
      </c>
      <c r="M4954" t="str">
        <f>HYPERLINK("https://arizona.app.box.com/file/389256781591")</f>
        <v>https://arizona.app.box.com/file/389256781591</v>
      </c>
      <c r="N4954" t="str">
        <f>HYPERLINK("https://arizona.app.box.com/file/389162765290")</f>
        <v>https://arizona.app.box.com/file/389162765290</v>
      </c>
    </row>
    <row r="4955" spans="1:25" x14ac:dyDescent="0.2">
      <c r="A4955">
        <v>7802</v>
      </c>
      <c r="B4955" t="s">
        <v>9058</v>
      </c>
      <c r="C4955" t="s">
        <v>18</v>
      </c>
      <c r="D4955" t="s">
        <v>9062</v>
      </c>
      <c r="E4955" t="s">
        <v>9063</v>
      </c>
      <c r="F4955" t="s">
        <v>82</v>
      </c>
      <c r="G4955" t="s">
        <v>2208</v>
      </c>
      <c r="I4955" t="b">
        <v>0</v>
      </c>
      <c r="J4955" t="b">
        <v>0</v>
      </c>
      <c r="L4955" t="b">
        <v>0</v>
      </c>
    </row>
    <row r="4956" spans="1:25" x14ac:dyDescent="0.2">
      <c r="A4956">
        <v>7803</v>
      </c>
      <c r="B4956" t="s">
        <v>9058</v>
      </c>
      <c r="C4956" t="s">
        <v>18</v>
      </c>
      <c r="D4956" t="s">
        <v>2428</v>
      </c>
      <c r="E4956" t="s">
        <v>2285</v>
      </c>
      <c r="F4956" t="s">
        <v>159</v>
      </c>
      <c r="G4956" t="s">
        <v>134</v>
      </c>
      <c r="I4956" t="b">
        <v>0</v>
      </c>
      <c r="J4956" t="b">
        <v>0</v>
      </c>
      <c r="L4956" t="b">
        <v>0</v>
      </c>
      <c r="M4956" t="str">
        <f>HYPERLINK("https://arizona.app.box.com/file/389162988971")</f>
        <v>https://arizona.app.box.com/file/389162988971</v>
      </c>
      <c r="N4956" t="str">
        <f>HYPERLINK("https://arizona.app.box.com/file/386230395887")</f>
        <v>https://arizona.app.box.com/file/386230395887</v>
      </c>
    </row>
    <row r="4958" spans="1:25" x14ac:dyDescent="0.2">
      <c r="A4958" s="2">
        <v>168</v>
      </c>
      <c r="B4958" s="2" t="s">
        <v>9064</v>
      </c>
      <c r="C4958" s="2" t="s">
        <v>13</v>
      </c>
      <c r="D4958" s="2" t="s">
        <v>9065</v>
      </c>
      <c r="E4958" s="2" t="s">
        <v>9066</v>
      </c>
      <c r="F4958" s="2" t="s">
        <v>159</v>
      </c>
      <c r="G4958" s="2" t="s">
        <v>265</v>
      </c>
      <c r="H4958" s="2"/>
      <c r="I4958" s="2"/>
      <c r="J4958" s="2"/>
      <c r="K4958" s="2"/>
      <c r="L4958" s="2"/>
      <c r="M4958" s="2"/>
      <c r="N4958" s="2"/>
      <c r="O4958" s="2"/>
      <c r="P4958" s="2"/>
      <c r="Q4958" s="2"/>
      <c r="R4958" s="2"/>
      <c r="S4958" s="2"/>
      <c r="T4958" s="2"/>
      <c r="U4958" s="2"/>
      <c r="V4958" s="2"/>
      <c r="W4958" s="2"/>
      <c r="X4958" s="2"/>
      <c r="Y4958" s="2"/>
    </row>
    <row r="4959" spans="1:25" x14ac:dyDescent="0.2">
      <c r="A4959">
        <v>169</v>
      </c>
      <c r="B4959" t="s">
        <v>9064</v>
      </c>
      <c r="C4959" t="s">
        <v>18</v>
      </c>
      <c r="D4959" t="s">
        <v>9065</v>
      </c>
      <c r="E4959" t="s">
        <v>9067</v>
      </c>
      <c r="F4959" t="s">
        <v>159</v>
      </c>
      <c r="G4959" t="s">
        <v>265</v>
      </c>
      <c r="I4959" t="b">
        <v>1</v>
      </c>
      <c r="J4959" t="b">
        <v>1</v>
      </c>
      <c r="L4959" t="b">
        <v>1</v>
      </c>
      <c r="M4959" t="str">
        <f>HYPERLINK("https://arizona.app.box.com/file/389261689564")</f>
        <v>https://arizona.app.box.com/file/389261689564</v>
      </c>
      <c r="N4959" t="str">
        <f>HYPERLINK("https://arizona.app.box.com/file/389138267524")</f>
        <v>https://arizona.app.box.com/file/389138267524</v>
      </c>
      <c r="O4959" t="str">
        <f>HYPERLINK("https://arizona.app.box.com/file/389262667128")</f>
        <v>https://arizona.app.box.com/file/389262667128</v>
      </c>
      <c r="P4959" t="str">
        <f>HYPERLINK("https://arizona.app.box.com/file/389171692209")</f>
        <v>https://arizona.app.box.com/file/389171692209</v>
      </c>
    </row>
    <row r="4960" spans="1:25" x14ac:dyDescent="0.2">
      <c r="A4960">
        <v>170</v>
      </c>
      <c r="B4960" t="s">
        <v>9064</v>
      </c>
      <c r="C4960" t="s">
        <v>18</v>
      </c>
      <c r="D4960" t="s">
        <v>9068</v>
      </c>
      <c r="E4960" t="s">
        <v>9069</v>
      </c>
      <c r="F4960" t="s">
        <v>1837</v>
      </c>
      <c r="G4960" t="s">
        <v>265</v>
      </c>
      <c r="I4960" t="b">
        <v>0</v>
      </c>
      <c r="J4960" t="b">
        <v>0</v>
      </c>
      <c r="L4960" t="b">
        <v>0</v>
      </c>
      <c r="M4960" t="str">
        <f>HYPERLINK("https://arizona.app.box.com/file/386230814513")</f>
        <v>https://arizona.app.box.com/file/386230814513</v>
      </c>
    </row>
    <row r="4961" spans="1:25" x14ac:dyDescent="0.2">
      <c r="A4961">
        <v>171</v>
      </c>
      <c r="B4961" t="s">
        <v>9064</v>
      </c>
      <c r="C4961" t="s">
        <v>18</v>
      </c>
      <c r="D4961" t="s">
        <v>9070</v>
      </c>
      <c r="E4961" t="s">
        <v>9071</v>
      </c>
      <c r="F4961" t="s">
        <v>82</v>
      </c>
      <c r="G4961" t="s">
        <v>265</v>
      </c>
      <c r="I4961" t="b">
        <v>0</v>
      </c>
      <c r="J4961" t="b">
        <v>0</v>
      </c>
      <c r="L4961" t="b">
        <v>0</v>
      </c>
      <c r="M4961" t="str">
        <f>HYPERLINK("https://arizona.app.box.com/file/386245817505")</f>
        <v>https://arizona.app.box.com/file/386245817505</v>
      </c>
    </row>
    <row r="4962" spans="1:25" x14ac:dyDescent="0.2">
      <c r="A4962">
        <v>172</v>
      </c>
      <c r="B4962" t="s">
        <v>9064</v>
      </c>
      <c r="C4962" t="s">
        <v>18</v>
      </c>
      <c r="D4962" t="s">
        <v>9072</v>
      </c>
      <c r="E4962" t="s">
        <v>9073</v>
      </c>
      <c r="F4962" t="s">
        <v>82</v>
      </c>
      <c r="G4962" t="s">
        <v>265</v>
      </c>
      <c r="I4962" t="b">
        <v>0</v>
      </c>
      <c r="J4962" t="b">
        <v>0</v>
      </c>
      <c r="L4962" t="b">
        <v>0</v>
      </c>
    </row>
    <row r="4963" spans="1:25" x14ac:dyDescent="0.2">
      <c r="A4963">
        <v>173</v>
      </c>
      <c r="B4963" t="s">
        <v>9064</v>
      </c>
      <c r="C4963" t="s">
        <v>18</v>
      </c>
      <c r="D4963" t="s">
        <v>6911</v>
      </c>
      <c r="E4963" t="s">
        <v>2424</v>
      </c>
      <c r="F4963" t="s">
        <v>45</v>
      </c>
      <c r="G4963" t="s">
        <v>17</v>
      </c>
      <c r="I4963" t="b">
        <v>0</v>
      </c>
      <c r="J4963" t="b">
        <v>0</v>
      </c>
      <c r="L4963" t="b">
        <v>0</v>
      </c>
      <c r="M4963" t="str">
        <f>HYPERLINK("https://arizona.app.box.com/file/389262826761")</f>
        <v>https://arizona.app.box.com/file/389262826761</v>
      </c>
    </row>
    <row r="4965" spans="1:25" x14ac:dyDescent="0.2">
      <c r="A4965" s="2">
        <v>3017</v>
      </c>
      <c r="B4965" s="2" t="s">
        <v>9074</v>
      </c>
      <c r="C4965" s="2" t="s">
        <v>13</v>
      </c>
      <c r="D4965" s="2" t="s">
        <v>4463</v>
      </c>
      <c r="E4965" s="2" t="s">
        <v>9075</v>
      </c>
      <c r="F4965" s="2" t="s">
        <v>159</v>
      </c>
      <c r="G4965" s="2" t="s">
        <v>265</v>
      </c>
      <c r="H4965" s="2"/>
      <c r="I4965" s="2"/>
      <c r="J4965" s="2"/>
      <c r="K4965" s="2"/>
      <c r="L4965" s="2"/>
      <c r="M4965" s="2"/>
      <c r="N4965" s="2"/>
      <c r="O4965" s="2"/>
      <c r="P4965" s="2"/>
      <c r="Q4965" s="2"/>
      <c r="R4965" s="2"/>
      <c r="S4965" s="2"/>
      <c r="T4965" s="2"/>
      <c r="U4965" s="2"/>
      <c r="V4965" s="2"/>
      <c r="W4965" s="2"/>
      <c r="X4965" s="2"/>
      <c r="Y4965" s="2"/>
    </row>
    <row r="4966" spans="1:25" x14ac:dyDescent="0.2">
      <c r="A4966">
        <v>3018</v>
      </c>
      <c r="B4966" t="s">
        <v>9074</v>
      </c>
      <c r="C4966" t="s">
        <v>18</v>
      </c>
      <c r="D4966" t="s">
        <v>4463</v>
      </c>
      <c r="E4966" t="s">
        <v>339</v>
      </c>
      <c r="F4966" t="s">
        <v>159</v>
      </c>
      <c r="G4966" t="s">
        <v>265</v>
      </c>
      <c r="I4966" t="b">
        <v>1</v>
      </c>
      <c r="J4966" t="b">
        <v>1</v>
      </c>
      <c r="L4966" t="b">
        <v>1</v>
      </c>
      <c r="M4966" t="str">
        <f>HYPERLINK("https://arizona.app.box.com/file/389263745615")</f>
        <v>https://arizona.app.box.com/file/389263745615</v>
      </c>
      <c r="N4966" t="str">
        <f>HYPERLINK("https://arizona.app.box.com/file/386242202843")</f>
        <v>https://arizona.app.box.com/file/386242202843</v>
      </c>
    </row>
    <row r="4967" spans="1:25" x14ac:dyDescent="0.2">
      <c r="A4967">
        <v>3019</v>
      </c>
      <c r="B4967" t="s">
        <v>9074</v>
      </c>
      <c r="C4967" t="s">
        <v>18</v>
      </c>
      <c r="D4967" t="s">
        <v>4460</v>
      </c>
      <c r="E4967" t="s">
        <v>1319</v>
      </c>
      <c r="F4967" t="s">
        <v>159</v>
      </c>
      <c r="G4967" t="s">
        <v>265</v>
      </c>
      <c r="I4967" t="b">
        <v>1</v>
      </c>
      <c r="J4967" t="b">
        <v>1</v>
      </c>
      <c r="L4967" t="b">
        <v>1</v>
      </c>
      <c r="M4967" t="str">
        <f>HYPERLINK("https://arizona.app.box.com/file/389257237779")</f>
        <v>https://arizona.app.box.com/file/389257237779</v>
      </c>
      <c r="N4967" t="str">
        <f>HYPERLINK("https://arizona.app.box.com/file/386249679772")</f>
        <v>https://arizona.app.box.com/file/386249679772</v>
      </c>
    </row>
    <row r="4968" spans="1:25" x14ac:dyDescent="0.2">
      <c r="A4968">
        <v>3020</v>
      </c>
      <c r="B4968" t="s">
        <v>9074</v>
      </c>
      <c r="C4968" t="s">
        <v>18</v>
      </c>
      <c r="D4968" t="s">
        <v>9076</v>
      </c>
      <c r="E4968" t="s">
        <v>9077</v>
      </c>
      <c r="F4968" t="s">
        <v>1837</v>
      </c>
      <c r="G4968" t="s">
        <v>265</v>
      </c>
      <c r="I4968" t="b">
        <v>0</v>
      </c>
      <c r="J4968" t="b">
        <v>0</v>
      </c>
      <c r="L4968" t="b">
        <v>0</v>
      </c>
      <c r="M4968" t="str">
        <f>HYPERLINK("https://arizona.app.box.com/file/386228485174")</f>
        <v>https://arizona.app.box.com/file/386228485174</v>
      </c>
      <c r="N4968" t="str">
        <f>HYPERLINK("https://arizona.app.box.com/file/386241113911")</f>
        <v>https://arizona.app.box.com/file/386241113911</v>
      </c>
    </row>
    <row r="4969" spans="1:25" x14ac:dyDescent="0.2">
      <c r="A4969">
        <v>3021</v>
      </c>
      <c r="B4969" t="s">
        <v>9074</v>
      </c>
      <c r="C4969" t="s">
        <v>18</v>
      </c>
      <c r="D4969" t="s">
        <v>4470</v>
      </c>
      <c r="E4969" t="s">
        <v>4471</v>
      </c>
      <c r="F4969" t="s">
        <v>23</v>
      </c>
      <c r="G4969" t="s">
        <v>265</v>
      </c>
      <c r="I4969" t="b">
        <v>0</v>
      </c>
      <c r="J4969" t="b">
        <v>0</v>
      </c>
      <c r="L4969" t="b">
        <v>0</v>
      </c>
      <c r="M4969" t="str">
        <f>HYPERLINK("https://arizona.app.box.com/file/389267705539")</f>
        <v>https://arizona.app.box.com/file/389267705539</v>
      </c>
      <c r="N4969" t="str">
        <f>HYPERLINK("https://arizona.app.box.com/file/389170448280")</f>
        <v>https://arizona.app.box.com/file/389170448280</v>
      </c>
    </row>
    <row r="4970" spans="1:25" x14ac:dyDescent="0.2">
      <c r="A4970">
        <v>3022</v>
      </c>
      <c r="B4970" t="s">
        <v>9074</v>
      </c>
      <c r="C4970" t="s">
        <v>18</v>
      </c>
      <c r="D4970" t="s">
        <v>4456</v>
      </c>
      <c r="E4970" t="s">
        <v>4457</v>
      </c>
      <c r="F4970" t="s">
        <v>82</v>
      </c>
      <c r="G4970" t="s">
        <v>265</v>
      </c>
      <c r="I4970" t="b">
        <v>0</v>
      </c>
      <c r="J4970" t="b">
        <v>0</v>
      </c>
      <c r="L4970" t="b">
        <v>0</v>
      </c>
      <c r="M4970" t="str">
        <f>HYPERLINK("https://arizona.app.box.com/file/386243994082")</f>
        <v>https://arizona.app.box.com/file/386243994082</v>
      </c>
      <c r="N4970" t="str">
        <f>HYPERLINK("https://arizona.app.box.com/file/386230173814")</f>
        <v>https://arizona.app.box.com/file/386230173814</v>
      </c>
    </row>
    <row r="4972" spans="1:25" x14ac:dyDescent="0.2">
      <c r="A4972" s="2">
        <v>5558</v>
      </c>
      <c r="B4972" s="2" t="s">
        <v>9078</v>
      </c>
      <c r="C4972" s="2" t="s">
        <v>13</v>
      </c>
      <c r="D4972" s="2" t="s">
        <v>9079</v>
      </c>
      <c r="E4972" s="2" t="s">
        <v>9080</v>
      </c>
      <c r="F4972" s="2" t="s">
        <v>82</v>
      </c>
      <c r="G4972" s="2" t="s">
        <v>9081</v>
      </c>
      <c r="H4972" s="2"/>
      <c r="I4972" s="2"/>
      <c r="J4972" s="2"/>
      <c r="K4972" s="2"/>
      <c r="L4972" s="2"/>
      <c r="M4972" s="2"/>
      <c r="N4972" s="2"/>
      <c r="O4972" s="2"/>
      <c r="P4972" s="2"/>
      <c r="Q4972" s="2"/>
      <c r="R4972" s="2"/>
      <c r="S4972" s="2"/>
      <c r="T4972" s="2"/>
      <c r="U4972" s="2"/>
      <c r="V4972" s="2"/>
      <c r="W4972" s="2"/>
      <c r="X4972" s="2"/>
      <c r="Y4972" s="2"/>
    </row>
    <row r="4973" spans="1:25" x14ac:dyDescent="0.2">
      <c r="A4973">
        <v>5559</v>
      </c>
      <c r="B4973" t="s">
        <v>9078</v>
      </c>
      <c r="C4973" t="s">
        <v>18</v>
      </c>
      <c r="D4973" t="s">
        <v>9079</v>
      </c>
      <c r="E4973" t="s">
        <v>2038</v>
      </c>
      <c r="F4973" t="s">
        <v>82</v>
      </c>
      <c r="G4973" t="s">
        <v>828</v>
      </c>
      <c r="I4973" t="b">
        <v>1</v>
      </c>
      <c r="J4973" t="b">
        <v>1</v>
      </c>
      <c r="L4973" t="b">
        <v>1</v>
      </c>
    </row>
    <row r="4974" spans="1:25" x14ac:dyDescent="0.2">
      <c r="A4974">
        <v>5560</v>
      </c>
      <c r="B4974" t="s">
        <v>9078</v>
      </c>
      <c r="C4974" t="s">
        <v>18</v>
      </c>
      <c r="D4974" t="s">
        <v>9082</v>
      </c>
      <c r="E4974" t="s">
        <v>9083</v>
      </c>
      <c r="F4974" t="s">
        <v>82</v>
      </c>
      <c r="G4974" t="s">
        <v>9084</v>
      </c>
      <c r="I4974" t="b">
        <v>0</v>
      </c>
      <c r="J4974" t="b">
        <v>1</v>
      </c>
      <c r="L4974" t="b">
        <v>1</v>
      </c>
      <c r="M4974" t="str">
        <f>HYPERLINK("https://arizona.app.box.com/file/386230665960")</f>
        <v>https://arizona.app.box.com/file/386230665960</v>
      </c>
    </row>
    <row r="4975" spans="1:25" x14ac:dyDescent="0.2">
      <c r="A4975">
        <v>5561</v>
      </c>
      <c r="B4975" t="s">
        <v>9078</v>
      </c>
      <c r="C4975" t="s">
        <v>18</v>
      </c>
      <c r="D4975" t="s">
        <v>6688</v>
      </c>
      <c r="E4975" t="s">
        <v>6689</v>
      </c>
      <c r="F4975" t="s">
        <v>78</v>
      </c>
      <c r="G4975" t="s">
        <v>88</v>
      </c>
      <c r="I4975" t="b">
        <v>0</v>
      </c>
      <c r="J4975" t="b">
        <v>0</v>
      </c>
      <c r="L4975" t="b">
        <v>0</v>
      </c>
      <c r="M4975" t="str">
        <f>HYPERLINK("https://arizona.app.box.com/file/389261656876")</f>
        <v>https://arizona.app.box.com/file/389261656876</v>
      </c>
      <c r="N4975" t="str">
        <f>HYPERLINK("https://arizona.app.box.com/file/386269402200")</f>
        <v>https://arizona.app.box.com/file/386269402200</v>
      </c>
    </row>
    <row r="4976" spans="1:25" x14ac:dyDescent="0.2">
      <c r="A4976">
        <v>5562</v>
      </c>
      <c r="B4976" t="s">
        <v>9078</v>
      </c>
      <c r="C4976" t="s">
        <v>18</v>
      </c>
      <c r="D4976" t="s">
        <v>9085</v>
      </c>
      <c r="E4976" t="s">
        <v>4184</v>
      </c>
      <c r="F4976" t="s">
        <v>369</v>
      </c>
      <c r="G4976" t="s">
        <v>17</v>
      </c>
      <c r="I4976" t="b">
        <v>0</v>
      </c>
      <c r="J4976" t="b">
        <v>0</v>
      </c>
      <c r="L4976" t="b">
        <v>0</v>
      </c>
      <c r="M4976" t="str">
        <f>HYPERLINK("https://arizona.app.box.com/file/389174431366")</f>
        <v>https://arizona.app.box.com/file/389174431366</v>
      </c>
      <c r="N4976" t="str">
        <f>HYPERLINK("https://arizona.app.box.com/file/386243939439")</f>
        <v>https://arizona.app.box.com/file/386243939439</v>
      </c>
    </row>
    <row r="4977" spans="1:25" x14ac:dyDescent="0.2">
      <c r="A4977">
        <v>5563</v>
      </c>
      <c r="B4977" t="s">
        <v>9078</v>
      </c>
      <c r="C4977" t="s">
        <v>18</v>
      </c>
      <c r="D4977" t="s">
        <v>9086</v>
      </c>
      <c r="E4977" t="s">
        <v>9087</v>
      </c>
      <c r="F4977" t="s">
        <v>420</v>
      </c>
      <c r="G4977" t="s">
        <v>265</v>
      </c>
      <c r="I4977" t="b">
        <v>0</v>
      </c>
      <c r="J4977" t="b">
        <v>0</v>
      </c>
      <c r="L4977" t="b">
        <v>0</v>
      </c>
      <c r="M4977" t="str">
        <f>HYPERLINK("https://arizona.app.box.com/file/389264648628")</f>
        <v>https://arizona.app.box.com/file/389264648628</v>
      </c>
      <c r="N4977" t="str">
        <f>HYPERLINK("https://arizona.app.box.com/file/389166043295")</f>
        <v>https://arizona.app.box.com/file/389166043295</v>
      </c>
    </row>
    <row r="4979" spans="1:25" x14ac:dyDescent="0.2">
      <c r="A4979" s="2">
        <v>2464</v>
      </c>
      <c r="B4979" s="2" t="s">
        <v>9088</v>
      </c>
      <c r="C4979" s="2" t="s">
        <v>13</v>
      </c>
      <c r="D4979" s="2" t="s">
        <v>9089</v>
      </c>
      <c r="E4979" s="2" t="s">
        <v>9090</v>
      </c>
      <c r="F4979" s="2" t="s">
        <v>27</v>
      </c>
      <c r="G4979" s="2" t="s">
        <v>1405</v>
      </c>
      <c r="H4979" s="2"/>
      <c r="I4979" s="2"/>
      <c r="J4979" s="2"/>
      <c r="K4979" s="2"/>
      <c r="L4979" s="2"/>
      <c r="M4979" s="2"/>
      <c r="N4979" s="2"/>
      <c r="O4979" s="2"/>
      <c r="P4979" s="2"/>
      <c r="Q4979" s="2"/>
      <c r="R4979" s="2"/>
      <c r="S4979" s="2"/>
      <c r="T4979" s="2"/>
      <c r="U4979" s="2"/>
      <c r="V4979" s="2"/>
      <c r="W4979" s="2"/>
      <c r="X4979" s="2"/>
      <c r="Y4979" s="2"/>
    </row>
    <row r="4980" spans="1:25" x14ac:dyDescent="0.2">
      <c r="A4980">
        <v>2465</v>
      </c>
      <c r="B4980" t="s">
        <v>9088</v>
      </c>
      <c r="C4980" t="s">
        <v>18</v>
      </c>
      <c r="D4980" t="s">
        <v>9089</v>
      </c>
      <c r="E4980" t="s">
        <v>3308</v>
      </c>
      <c r="F4980" t="s">
        <v>27</v>
      </c>
      <c r="G4980" t="s">
        <v>1406</v>
      </c>
      <c r="I4980" t="b">
        <v>1</v>
      </c>
      <c r="J4980" t="b">
        <v>1</v>
      </c>
      <c r="L4980" t="b">
        <v>1</v>
      </c>
      <c r="M4980" t="str">
        <f>HYPERLINK("https://arizona.app.box.com/file/386247346753")</f>
        <v>https://arizona.app.box.com/file/386247346753</v>
      </c>
    </row>
    <row r="4981" spans="1:25" x14ac:dyDescent="0.2">
      <c r="A4981">
        <v>2466</v>
      </c>
      <c r="B4981" t="s">
        <v>9088</v>
      </c>
      <c r="C4981" t="s">
        <v>18</v>
      </c>
      <c r="D4981" t="s">
        <v>9091</v>
      </c>
      <c r="E4981" t="s">
        <v>9092</v>
      </c>
      <c r="F4981" t="s">
        <v>27</v>
      </c>
      <c r="G4981" t="s">
        <v>1406</v>
      </c>
      <c r="I4981" t="b">
        <v>1</v>
      </c>
      <c r="J4981" t="b">
        <v>1</v>
      </c>
      <c r="L4981" t="b">
        <v>1</v>
      </c>
      <c r="M4981" t="str">
        <f>HYPERLINK("https://arizona.app.box.com/file/386242275547")</f>
        <v>https://arizona.app.box.com/file/386242275547</v>
      </c>
    </row>
    <row r="4982" spans="1:25" x14ac:dyDescent="0.2">
      <c r="A4982">
        <v>2467</v>
      </c>
      <c r="B4982" t="s">
        <v>9088</v>
      </c>
      <c r="C4982" t="s">
        <v>18</v>
      </c>
      <c r="D4982" t="s">
        <v>3971</v>
      </c>
      <c r="E4982" t="s">
        <v>2608</v>
      </c>
      <c r="F4982" t="s">
        <v>82</v>
      </c>
      <c r="G4982" t="s">
        <v>1406</v>
      </c>
      <c r="I4982" t="b">
        <v>0</v>
      </c>
      <c r="J4982" t="b">
        <v>0</v>
      </c>
      <c r="L4982" t="b">
        <v>0</v>
      </c>
      <c r="M4982" t="str">
        <f>HYPERLINK("https://arizona.app.box.com/file/389267219327")</f>
        <v>https://arizona.app.box.com/file/389267219327</v>
      </c>
    </row>
    <row r="4983" spans="1:25" x14ac:dyDescent="0.2">
      <c r="A4983">
        <v>2468</v>
      </c>
      <c r="B4983" t="s">
        <v>9088</v>
      </c>
      <c r="C4983" t="s">
        <v>18</v>
      </c>
      <c r="D4983" t="s">
        <v>9093</v>
      </c>
      <c r="E4983" t="s">
        <v>9094</v>
      </c>
      <c r="F4983" t="s">
        <v>420</v>
      </c>
      <c r="G4983" t="s">
        <v>1406</v>
      </c>
      <c r="I4983" t="b">
        <v>0</v>
      </c>
      <c r="J4983" t="b">
        <v>0</v>
      </c>
      <c r="L4983" t="b">
        <v>0</v>
      </c>
    </row>
    <row r="4984" spans="1:25" x14ac:dyDescent="0.2">
      <c r="A4984">
        <v>2469</v>
      </c>
      <c r="B4984" t="s">
        <v>9088</v>
      </c>
      <c r="C4984" t="s">
        <v>18</v>
      </c>
      <c r="D4984" t="s">
        <v>9095</v>
      </c>
      <c r="E4984" t="s">
        <v>6357</v>
      </c>
      <c r="F4984" t="s">
        <v>420</v>
      </c>
      <c r="G4984" t="s">
        <v>1406</v>
      </c>
      <c r="I4984" t="b">
        <v>0</v>
      </c>
      <c r="J4984" t="b">
        <v>0</v>
      </c>
      <c r="L4984" t="b">
        <v>0</v>
      </c>
      <c r="M4984" t="str">
        <f>HYPERLINK("https://arizona.app.box.com/file/386219044439")</f>
        <v>https://arizona.app.box.com/file/386219044439</v>
      </c>
    </row>
    <row r="4986" spans="1:25" x14ac:dyDescent="0.2">
      <c r="A4986" s="2">
        <v>5460</v>
      </c>
      <c r="B4986" s="2" t="s">
        <v>9096</v>
      </c>
      <c r="C4986" s="2" t="s">
        <v>13</v>
      </c>
      <c r="D4986" s="2" t="s">
        <v>9097</v>
      </c>
      <c r="E4986" s="2" t="s">
        <v>9098</v>
      </c>
      <c r="F4986" s="2" t="s">
        <v>78</v>
      </c>
      <c r="G4986" s="2" t="s">
        <v>17</v>
      </c>
      <c r="H4986" s="2"/>
      <c r="I4986" s="2"/>
      <c r="J4986" s="2"/>
      <c r="K4986" s="2"/>
      <c r="L4986" s="2"/>
      <c r="M4986" s="2"/>
      <c r="N4986" s="2"/>
      <c r="O4986" s="2"/>
      <c r="P4986" s="2"/>
      <c r="Q4986" s="2"/>
      <c r="R4986" s="2"/>
      <c r="S4986" s="2"/>
      <c r="T4986" s="2"/>
      <c r="U4986" s="2"/>
      <c r="V4986" s="2"/>
      <c r="W4986" s="2"/>
      <c r="X4986" s="2"/>
      <c r="Y4986" s="2"/>
    </row>
    <row r="4987" spans="1:25" x14ac:dyDescent="0.2">
      <c r="A4987">
        <v>5461</v>
      </c>
      <c r="B4987" t="s">
        <v>9096</v>
      </c>
      <c r="C4987" t="s">
        <v>18</v>
      </c>
      <c r="D4987" t="s">
        <v>9097</v>
      </c>
      <c r="E4987" t="s">
        <v>7270</v>
      </c>
      <c r="F4987" t="s">
        <v>78</v>
      </c>
      <c r="G4987" t="s">
        <v>17</v>
      </c>
      <c r="I4987" t="b">
        <v>1</v>
      </c>
      <c r="J4987" t="b">
        <v>1</v>
      </c>
      <c r="L4987" t="b">
        <v>1</v>
      </c>
      <c r="M4987" t="str">
        <f>HYPERLINK("https://arizona.app.box.com/file/389172904797")</f>
        <v>https://arizona.app.box.com/file/389172904797</v>
      </c>
      <c r="N4987" t="str">
        <f>HYPERLINK("https://arizona.app.box.com/file/386226217969")</f>
        <v>https://arizona.app.box.com/file/386226217969</v>
      </c>
    </row>
    <row r="4988" spans="1:25" x14ac:dyDescent="0.2">
      <c r="A4988">
        <v>5462</v>
      </c>
      <c r="B4988" t="s">
        <v>9096</v>
      </c>
      <c r="C4988" t="s">
        <v>18</v>
      </c>
      <c r="D4988" t="s">
        <v>7329</v>
      </c>
      <c r="E4988" t="s">
        <v>7330</v>
      </c>
      <c r="F4988" t="s">
        <v>78</v>
      </c>
      <c r="G4988" t="s">
        <v>17</v>
      </c>
      <c r="I4988" t="b">
        <v>0</v>
      </c>
      <c r="J4988" t="b">
        <v>0</v>
      </c>
      <c r="L4988" t="b">
        <v>0</v>
      </c>
      <c r="M4988" t="str">
        <f>HYPERLINK("https://arizona.app.box.com/file/389173007582")</f>
        <v>https://arizona.app.box.com/file/389173007582</v>
      </c>
      <c r="N4988" t="str">
        <f>HYPERLINK("https://arizona.app.box.com/file/386240756471")</f>
        <v>https://arizona.app.box.com/file/386240756471</v>
      </c>
    </row>
    <row r="4989" spans="1:25" x14ac:dyDescent="0.2">
      <c r="A4989">
        <v>5463</v>
      </c>
      <c r="B4989" t="s">
        <v>9096</v>
      </c>
      <c r="C4989" t="s">
        <v>18</v>
      </c>
      <c r="D4989" t="s">
        <v>7436</v>
      </c>
      <c r="E4989" t="s">
        <v>7437</v>
      </c>
      <c r="F4989" t="s">
        <v>78</v>
      </c>
      <c r="G4989" t="s">
        <v>17</v>
      </c>
      <c r="I4989" t="b">
        <v>0</v>
      </c>
      <c r="J4989" t="b">
        <v>0</v>
      </c>
      <c r="L4989" t="b">
        <v>0</v>
      </c>
      <c r="M4989" t="str">
        <f>HYPERLINK("https://arizona.app.box.com/file/389158641766")</f>
        <v>https://arizona.app.box.com/file/389158641766</v>
      </c>
      <c r="N4989" t="str">
        <f>HYPERLINK("https://arizona.app.box.com/file/389151601538")</f>
        <v>https://arizona.app.box.com/file/389151601538</v>
      </c>
    </row>
    <row r="4990" spans="1:25" x14ac:dyDescent="0.2">
      <c r="A4990">
        <v>5464</v>
      </c>
      <c r="B4990" t="s">
        <v>9096</v>
      </c>
      <c r="C4990" t="s">
        <v>18</v>
      </c>
      <c r="D4990" t="s">
        <v>9099</v>
      </c>
      <c r="E4990" t="s">
        <v>9100</v>
      </c>
      <c r="F4990" t="s">
        <v>78</v>
      </c>
      <c r="G4990" t="s">
        <v>17</v>
      </c>
      <c r="I4990" t="b">
        <v>0</v>
      </c>
      <c r="J4990" t="b">
        <v>0</v>
      </c>
      <c r="L4990" t="b">
        <v>0</v>
      </c>
    </row>
    <row r="4991" spans="1:25" x14ac:dyDescent="0.2">
      <c r="A4991">
        <v>5465</v>
      </c>
      <c r="B4991" t="s">
        <v>9096</v>
      </c>
      <c r="C4991" t="s">
        <v>18</v>
      </c>
      <c r="D4991" t="s">
        <v>9101</v>
      </c>
      <c r="E4991" t="s">
        <v>9102</v>
      </c>
      <c r="F4991" t="s">
        <v>174</v>
      </c>
      <c r="G4991" t="s">
        <v>17</v>
      </c>
      <c r="I4991" t="b">
        <v>0</v>
      </c>
      <c r="J4991" t="b">
        <v>0</v>
      </c>
      <c r="L4991" t="b">
        <v>0</v>
      </c>
      <c r="M4991" t="str">
        <f>HYPERLINK("https://arizona.app.box.com/file/386237972496")</f>
        <v>https://arizona.app.box.com/file/386237972496</v>
      </c>
      <c r="N4991" t="str">
        <f>HYPERLINK("https://arizona.app.box.com/file/389161541401")</f>
        <v>https://arizona.app.box.com/file/389161541401</v>
      </c>
    </row>
    <row r="4993" spans="1:25" x14ac:dyDescent="0.2">
      <c r="A4993" s="2">
        <v>1351</v>
      </c>
      <c r="B4993" s="2" t="s">
        <v>9103</v>
      </c>
      <c r="C4993" s="2" t="s">
        <v>13</v>
      </c>
      <c r="D4993" s="2" t="s">
        <v>9104</v>
      </c>
      <c r="E4993" s="2" t="s">
        <v>9105</v>
      </c>
      <c r="F4993" s="2" t="s">
        <v>369</v>
      </c>
      <c r="G4993" s="2" t="s">
        <v>17</v>
      </c>
      <c r="H4993" s="2"/>
      <c r="I4993" s="2"/>
      <c r="J4993" s="2"/>
      <c r="K4993" s="2"/>
      <c r="L4993" s="2"/>
      <c r="M4993" s="2"/>
      <c r="N4993" s="2"/>
      <c r="O4993" s="2"/>
      <c r="P4993" s="2"/>
      <c r="Q4993" s="2"/>
      <c r="R4993" s="2"/>
      <c r="S4993" s="2"/>
      <c r="T4993" s="2"/>
      <c r="U4993" s="2"/>
      <c r="V4993" s="2"/>
      <c r="W4993" s="2"/>
      <c r="X4993" s="2"/>
      <c r="Y4993" s="2"/>
    </row>
    <row r="4994" spans="1:25" x14ac:dyDescent="0.2">
      <c r="A4994">
        <v>1352</v>
      </c>
      <c r="B4994" t="s">
        <v>9103</v>
      </c>
      <c r="C4994" t="s">
        <v>18</v>
      </c>
      <c r="D4994" t="s">
        <v>9104</v>
      </c>
      <c r="E4994" t="s">
        <v>9106</v>
      </c>
      <c r="F4994" t="s">
        <v>369</v>
      </c>
      <c r="G4994" t="s">
        <v>17</v>
      </c>
      <c r="I4994" t="b">
        <v>1</v>
      </c>
      <c r="J4994" t="b">
        <v>1</v>
      </c>
      <c r="L4994" t="b">
        <v>1</v>
      </c>
      <c r="M4994" t="str">
        <f>HYPERLINK("https://arizona.app.box.com/file/389257519287")</f>
        <v>https://arizona.app.box.com/file/389257519287</v>
      </c>
      <c r="N4994" t="str">
        <f>HYPERLINK("https://arizona.app.box.com/file/389137703065")</f>
        <v>https://arizona.app.box.com/file/389137703065</v>
      </c>
      <c r="O4994" t="str">
        <f>HYPERLINK("https://arizona.app.box.com/file/389136942339")</f>
        <v>https://arizona.app.box.com/file/389136942339</v>
      </c>
    </row>
    <row r="4995" spans="1:25" x14ac:dyDescent="0.2">
      <c r="A4995">
        <v>1353</v>
      </c>
      <c r="B4995" t="s">
        <v>9103</v>
      </c>
      <c r="C4995" t="s">
        <v>18</v>
      </c>
      <c r="D4995" t="s">
        <v>9107</v>
      </c>
      <c r="E4995" t="s">
        <v>9108</v>
      </c>
      <c r="F4995" t="s">
        <v>369</v>
      </c>
      <c r="G4995" t="s">
        <v>17</v>
      </c>
      <c r="I4995" t="b">
        <v>0</v>
      </c>
      <c r="J4995" t="b">
        <v>1</v>
      </c>
      <c r="L4995" t="b">
        <v>1</v>
      </c>
      <c r="M4995" t="str">
        <f>HYPERLINK("https://arizona.app.box.com/file/389152456785")</f>
        <v>https://arizona.app.box.com/file/389152456785</v>
      </c>
    </row>
    <row r="4996" spans="1:25" x14ac:dyDescent="0.2">
      <c r="A4996">
        <v>1354</v>
      </c>
      <c r="B4996" t="s">
        <v>9103</v>
      </c>
      <c r="C4996" t="s">
        <v>18</v>
      </c>
      <c r="D4996" t="s">
        <v>9109</v>
      </c>
      <c r="E4996" t="s">
        <v>9110</v>
      </c>
      <c r="F4996" t="s">
        <v>369</v>
      </c>
      <c r="G4996" t="s">
        <v>17</v>
      </c>
      <c r="I4996" t="b">
        <v>0</v>
      </c>
      <c r="J4996" t="b">
        <v>0</v>
      </c>
      <c r="L4996" t="b">
        <v>0</v>
      </c>
      <c r="M4996" t="str">
        <f>HYPERLINK("https://arizona.app.box.com/file/386265700900")</f>
        <v>https://arizona.app.box.com/file/386265700900</v>
      </c>
    </row>
    <row r="4997" spans="1:25" x14ac:dyDescent="0.2">
      <c r="A4997">
        <v>1355</v>
      </c>
      <c r="B4997" t="s">
        <v>9103</v>
      </c>
      <c r="C4997" t="s">
        <v>18</v>
      </c>
      <c r="D4997" t="s">
        <v>9111</v>
      </c>
      <c r="E4997" t="s">
        <v>9112</v>
      </c>
      <c r="F4997" t="s">
        <v>82</v>
      </c>
      <c r="G4997" t="s">
        <v>17</v>
      </c>
      <c r="I4997" t="b">
        <v>0</v>
      </c>
      <c r="J4997" t="b">
        <v>0</v>
      </c>
      <c r="L4997" t="b">
        <v>0</v>
      </c>
      <c r="M4997" t="str">
        <f>HYPERLINK("https://arizona.app.box.com/file/389137485415")</f>
        <v>https://arizona.app.box.com/file/389137485415</v>
      </c>
    </row>
    <row r="4998" spans="1:25" x14ac:dyDescent="0.2">
      <c r="A4998">
        <v>1356</v>
      </c>
      <c r="B4998" t="s">
        <v>9103</v>
      </c>
      <c r="C4998" t="s">
        <v>18</v>
      </c>
      <c r="D4998" t="s">
        <v>9113</v>
      </c>
      <c r="E4998" t="s">
        <v>9114</v>
      </c>
      <c r="F4998" t="s">
        <v>369</v>
      </c>
      <c r="G4998" t="s">
        <v>17</v>
      </c>
      <c r="I4998" t="b">
        <v>0</v>
      </c>
      <c r="J4998" t="b">
        <v>0</v>
      </c>
      <c r="L4998" t="b">
        <v>0</v>
      </c>
      <c r="M4998" t="str">
        <f>HYPERLINK("https://arizona.app.box.com/file/389169523223")</f>
        <v>https://arizona.app.box.com/file/389169523223</v>
      </c>
    </row>
    <row r="5000" spans="1:25" x14ac:dyDescent="0.2">
      <c r="A5000" s="2">
        <v>2660</v>
      </c>
      <c r="B5000" s="2" t="s">
        <v>9115</v>
      </c>
      <c r="C5000" s="2" t="s">
        <v>13</v>
      </c>
      <c r="D5000" s="2" t="s">
        <v>8984</v>
      </c>
      <c r="E5000" s="2" t="s">
        <v>8985</v>
      </c>
      <c r="F5000" s="2" t="s">
        <v>174</v>
      </c>
      <c r="G5000" s="2" t="s">
        <v>17</v>
      </c>
      <c r="H5000" s="2"/>
      <c r="I5000" s="2"/>
      <c r="J5000" s="2"/>
      <c r="K5000" s="2"/>
      <c r="L5000" s="2"/>
      <c r="M5000" s="2"/>
      <c r="N5000" s="2"/>
      <c r="O5000" s="2"/>
      <c r="P5000" s="2"/>
      <c r="Q5000" s="2"/>
      <c r="R5000" s="2"/>
      <c r="S5000" s="2"/>
      <c r="T5000" s="2"/>
      <c r="U5000" s="2"/>
      <c r="V5000" s="2"/>
      <c r="W5000" s="2"/>
      <c r="X5000" s="2"/>
      <c r="Y5000" s="2"/>
    </row>
    <row r="5001" spans="1:25" x14ac:dyDescent="0.2">
      <c r="A5001">
        <v>2661</v>
      </c>
      <c r="B5001" t="s">
        <v>9115</v>
      </c>
      <c r="C5001" t="s">
        <v>18</v>
      </c>
      <c r="D5001" t="s">
        <v>8984</v>
      </c>
      <c r="E5001" t="s">
        <v>8985</v>
      </c>
      <c r="F5001" t="s">
        <v>174</v>
      </c>
      <c r="G5001" t="s">
        <v>17</v>
      </c>
      <c r="I5001" t="b">
        <v>1</v>
      </c>
      <c r="J5001" t="b">
        <v>1</v>
      </c>
      <c r="L5001" t="b">
        <v>1</v>
      </c>
      <c r="M5001" t="str">
        <f>HYPERLINK("https://arizona.app.box.com/file/389264429795")</f>
        <v>https://arizona.app.box.com/file/389264429795</v>
      </c>
      <c r="N5001" t="str">
        <f>HYPERLINK("https://arizona.app.box.com/file/389153932105")</f>
        <v>https://arizona.app.box.com/file/389153932105</v>
      </c>
    </row>
    <row r="5002" spans="1:25" x14ac:dyDescent="0.2">
      <c r="A5002">
        <v>2662</v>
      </c>
      <c r="B5002" t="s">
        <v>9115</v>
      </c>
      <c r="C5002" t="s">
        <v>18</v>
      </c>
      <c r="D5002" t="s">
        <v>9116</v>
      </c>
      <c r="E5002" t="s">
        <v>2025</v>
      </c>
      <c r="F5002" t="s">
        <v>168</v>
      </c>
      <c r="G5002" t="s">
        <v>17</v>
      </c>
      <c r="I5002" t="b">
        <v>0</v>
      </c>
      <c r="J5002" t="b">
        <v>0</v>
      </c>
      <c r="L5002" t="b">
        <v>0</v>
      </c>
      <c r="M5002" t="str">
        <f>HYPERLINK("https://arizona.app.box.com/file/386234786734")</f>
        <v>https://arizona.app.box.com/file/386234786734</v>
      </c>
    </row>
    <row r="5003" spans="1:25" x14ac:dyDescent="0.2">
      <c r="A5003">
        <v>2663</v>
      </c>
      <c r="B5003" t="s">
        <v>9115</v>
      </c>
      <c r="C5003" t="s">
        <v>18</v>
      </c>
      <c r="D5003" t="s">
        <v>8977</v>
      </c>
      <c r="E5003" t="s">
        <v>2886</v>
      </c>
      <c r="F5003" t="s">
        <v>952</v>
      </c>
      <c r="G5003" t="s">
        <v>252</v>
      </c>
      <c r="I5003" t="b">
        <v>0</v>
      </c>
      <c r="J5003" t="b">
        <v>0</v>
      </c>
      <c r="L5003" t="b">
        <v>0</v>
      </c>
      <c r="M5003" t="str">
        <f>HYPERLINK("https://arizona.app.box.com/file/389257091726")</f>
        <v>https://arizona.app.box.com/file/389257091726</v>
      </c>
      <c r="N5003" t="str">
        <f>HYPERLINK("https://arizona.app.box.com/file/389171689337")</f>
        <v>https://arizona.app.box.com/file/389171689337</v>
      </c>
    </row>
    <row r="5004" spans="1:25" x14ac:dyDescent="0.2">
      <c r="A5004">
        <v>2664</v>
      </c>
      <c r="B5004" t="s">
        <v>9115</v>
      </c>
      <c r="C5004" t="s">
        <v>18</v>
      </c>
      <c r="D5004" t="s">
        <v>9117</v>
      </c>
      <c r="E5004" t="s">
        <v>9118</v>
      </c>
      <c r="F5004" t="s">
        <v>168</v>
      </c>
      <c r="G5004" t="s">
        <v>17</v>
      </c>
      <c r="I5004" t="b">
        <v>0</v>
      </c>
      <c r="J5004" t="b">
        <v>0</v>
      </c>
      <c r="L5004" t="b">
        <v>0</v>
      </c>
    </row>
    <row r="5005" spans="1:25" x14ac:dyDescent="0.2">
      <c r="A5005">
        <v>2665</v>
      </c>
      <c r="B5005" t="s">
        <v>9115</v>
      </c>
      <c r="C5005" t="s">
        <v>18</v>
      </c>
      <c r="D5005" t="s">
        <v>9119</v>
      </c>
      <c r="E5005" t="s">
        <v>9120</v>
      </c>
      <c r="F5005" t="s">
        <v>82</v>
      </c>
      <c r="G5005" t="s">
        <v>134</v>
      </c>
      <c r="I5005" t="b">
        <v>0</v>
      </c>
      <c r="J5005" t="b">
        <v>0</v>
      </c>
      <c r="L5005" t="b">
        <v>0</v>
      </c>
      <c r="M5005" t="str">
        <f>HYPERLINK("https://arizona.app.box.com/file/389163989813")</f>
        <v>https://arizona.app.box.com/file/389163989813</v>
      </c>
      <c r="N5005" t="str">
        <f>HYPERLINK("https://arizona.app.box.com/file/389137701628")</f>
        <v>https://arizona.app.box.com/file/389137701628</v>
      </c>
    </row>
    <row r="5007" spans="1:25" x14ac:dyDescent="0.2">
      <c r="A5007" s="2">
        <v>2121</v>
      </c>
      <c r="B5007" s="2" t="s">
        <v>9121</v>
      </c>
      <c r="C5007" s="2" t="s">
        <v>13</v>
      </c>
      <c r="D5007" s="2" t="s">
        <v>8957</v>
      </c>
      <c r="E5007" s="2" t="s">
        <v>8956</v>
      </c>
      <c r="F5007" s="2" t="s">
        <v>369</v>
      </c>
      <c r="G5007" s="2" t="s">
        <v>17</v>
      </c>
      <c r="H5007" s="2"/>
      <c r="I5007" s="2"/>
      <c r="J5007" s="2"/>
      <c r="K5007" s="2"/>
      <c r="L5007" s="2"/>
      <c r="M5007" s="2"/>
      <c r="N5007" s="2"/>
      <c r="O5007" s="2"/>
      <c r="P5007" s="2"/>
      <c r="Q5007" s="2"/>
      <c r="R5007" s="2"/>
      <c r="S5007" s="2"/>
      <c r="T5007" s="2"/>
      <c r="U5007" s="2"/>
      <c r="V5007" s="2"/>
      <c r="W5007" s="2"/>
      <c r="X5007" s="2"/>
      <c r="Y5007" s="2"/>
    </row>
    <row r="5008" spans="1:25" x14ac:dyDescent="0.2">
      <c r="A5008">
        <v>2122</v>
      </c>
      <c r="B5008" t="s">
        <v>9121</v>
      </c>
      <c r="C5008" t="s">
        <v>18</v>
      </c>
      <c r="D5008" t="s">
        <v>8957</v>
      </c>
      <c r="E5008" t="s">
        <v>8956</v>
      </c>
      <c r="F5008" t="s">
        <v>369</v>
      </c>
      <c r="G5008" t="s">
        <v>17</v>
      </c>
      <c r="I5008" t="b">
        <v>1</v>
      </c>
      <c r="J5008" t="b">
        <v>1</v>
      </c>
      <c r="L5008" t="b">
        <v>1</v>
      </c>
      <c r="M5008" t="str">
        <f>HYPERLINK("https://arizona.app.box.com/file/389264082695")</f>
        <v>https://arizona.app.box.com/file/389264082695</v>
      </c>
      <c r="N5008" t="str">
        <f>HYPERLINK("https://arizona.app.box.com/file/389151505467")</f>
        <v>https://arizona.app.box.com/file/389151505467</v>
      </c>
      <c r="O5008" t="str">
        <f>HYPERLINK("https://arizona.app.box.com/file/389151023070")</f>
        <v>https://arizona.app.box.com/file/389151023070</v>
      </c>
      <c r="P5008" t="str">
        <f>HYPERLINK("https://arizona.app.box.com/file/386241113911")</f>
        <v>https://arizona.app.box.com/file/386241113911</v>
      </c>
    </row>
    <row r="5009" spans="1:25" x14ac:dyDescent="0.2">
      <c r="A5009">
        <v>2123</v>
      </c>
      <c r="B5009" t="s">
        <v>9121</v>
      </c>
      <c r="C5009" t="s">
        <v>18</v>
      </c>
      <c r="D5009" t="s">
        <v>8958</v>
      </c>
      <c r="E5009" t="s">
        <v>8959</v>
      </c>
      <c r="F5009" t="s">
        <v>369</v>
      </c>
      <c r="G5009" t="s">
        <v>17</v>
      </c>
      <c r="I5009" t="b">
        <v>0</v>
      </c>
      <c r="J5009" t="b">
        <v>0</v>
      </c>
      <c r="L5009" t="b">
        <v>0</v>
      </c>
      <c r="M5009" t="str">
        <f>HYPERLINK("https://arizona.app.box.com/file/386265871053")</f>
        <v>https://arizona.app.box.com/file/386265871053</v>
      </c>
      <c r="N5009" t="str">
        <f>HYPERLINK("https://arizona.app.box.com/file/386241113911")</f>
        <v>https://arizona.app.box.com/file/386241113911</v>
      </c>
    </row>
    <row r="5010" spans="1:25" x14ac:dyDescent="0.2">
      <c r="A5010">
        <v>2124</v>
      </c>
      <c r="B5010" t="s">
        <v>9121</v>
      </c>
      <c r="C5010" t="s">
        <v>18</v>
      </c>
      <c r="D5010" t="s">
        <v>9122</v>
      </c>
      <c r="E5010" t="s">
        <v>9123</v>
      </c>
      <c r="F5010" t="s">
        <v>369</v>
      </c>
      <c r="G5010" t="s">
        <v>17</v>
      </c>
      <c r="I5010" t="b">
        <v>0</v>
      </c>
      <c r="J5010" t="b">
        <v>0</v>
      </c>
      <c r="L5010" t="b">
        <v>0</v>
      </c>
      <c r="M5010" t="str">
        <f>HYPERLINK("https://arizona.app.box.com/file/389163357068")</f>
        <v>https://arizona.app.box.com/file/389163357068</v>
      </c>
      <c r="N5010" t="str">
        <f>HYPERLINK("https://arizona.app.box.com/file/386241113911")</f>
        <v>https://arizona.app.box.com/file/386241113911</v>
      </c>
    </row>
    <row r="5011" spans="1:25" x14ac:dyDescent="0.2">
      <c r="A5011">
        <v>2125</v>
      </c>
      <c r="B5011" t="s">
        <v>9121</v>
      </c>
      <c r="C5011" t="s">
        <v>18</v>
      </c>
      <c r="D5011" t="s">
        <v>9124</v>
      </c>
      <c r="E5011" t="s">
        <v>9125</v>
      </c>
      <c r="F5011" t="s">
        <v>369</v>
      </c>
      <c r="G5011" t="s">
        <v>17</v>
      </c>
      <c r="I5011" t="b">
        <v>0</v>
      </c>
      <c r="J5011" t="b">
        <v>0</v>
      </c>
      <c r="L5011" t="b">
        <v>0</v>
      </c>
    </row>
    <row r="5012" spans="1:25" x14ac:dyDescent="0.2">
      <c r="A5012">
        <v>2126</v>
      </c>
      <c r="B5012" t="s">
        <v>9121</v>
      </c>
      <c r="C5012" t="s">
        <v>18</v>
      </c>
      <c r="D5012" t="s">
        <v>9126</v>
      </c>
      <c r="E5012" t="s">
        <v>9127</v>
      </c>
      <c r="F5012" t="s">
        <v>369</v>
      </c>
      <c r="G5012" t="s">
        <v>17</v>
      </c>
      <c r="I5012" t="b">
        <v>0</v>
      </c>
      <c r="J5012" t="b">
        <v>0</v>
      </c>
      <c r="L5012" t="b">
        <v>0</v>
      </c>
      <c r="M5012" t="str">
        <f>HYPERLINK("https://arizona.app.box.com/file/386249660106")</f>
        <v>https://arizona.app.box.com/file/386249660106</v>
      </c>
    </row>
    <row r="5014" spans="1:25" x14ac:dyDescent="0.2">
      <c r="A5014" s="2">
        <v>6160</v>
      </c>
      <c r="B5014" s="2" t="s">
        <v>9128</v>
      </c>
      <c r="C5014" s="2" t="s">
        <v>13</v>
      </c>
      <c r="D5014" s="2" t="s">
        <v>9129</v>
      </c>
      <c r="E5014" s="2" t="s">
        <v>9130</v>
      </c>
      <c r="F5014" s="2" t="s">
        <v>369</v>
      </c>
      <c r="G5014" s="2" t="s">
        <v>134</v>
      </c>
      <c r="H5014" s="2"/>
      <c r="I5014" s="2"/>
      <c r="J5014" s="2"/>
      <c r="K5014" s="2"/>
      <c r="L5014" s="2"/>
      <c r="M5014" s="2"/>
      <c r="N5014" s="2"/>
      <c r="O5014" s="2"/>
      <c r="P5014" s="2"/>
      <c r="Q5014" s="2"/>
      <c r="R5014" s="2"/>
      <c r="S5014" s="2"/>
      <c r="T5014" s="2"/>
      <c r="U5014" s="2"/>
      <c r="V5014" s="2"/>
      <c r="W5014" s="2"/>
      <c r="X5014" s="2"/>
      <c r="Y5014" s="2"/>
    </row>
    <row r="5015" spans="1:25" x14ac:dyDescent="0.2">
      <c r="A5015">
        <v>6161</v>
      </c>
      <c r="B5015" t="s">
        <v>9128</v>
      </c>
      <c r="C5015" t="s">
        <v>18</v>
      </c>
      <c r="D5015" t="s">
        <v>9131</v>
      </c>
      <c r="E5015" t="s">
        <v>9132</v>
      </c>
      <c r="F5015" t="s">
        <v>369</v>
      </c>
      <c r="G5015" t="s">
        <v>134</v>
      </c>
      <c r="I5015" t="b">
        <v>0</v>
      </c>
      <c r="J5015" t="b">
        <v>0</v>
      </c>
      <c r="L5015" t="b">
        <v>0</v>
      </c>
    </row>
    <row r="5016" spans="1:25" x14ac:dyDescent="0.2">
      <c r="A5016">
        <v>6162</v>
      </c>
      <c r="B5016" t="s">
        <v>9128</v>
      </c>
      <c r="C5016" t="s">
        <v>18</v>
      </c>
      <c r="D5016" t="s">
        <v>4980</v>
      </c>
      <c r="E5016" t="s">
        <v>1038</v>
      </c>
      <c r="F5016" t="s">
        <v>369</v>
      </c>
      <c r="G5016" t="s">
        <v>134</v>
      </c>
      <c r="I5016" t="b">
        <v>0</v>
      </c>
      <c r="J5016" t="b">
        <v>0</v>
      </c>
      <c r="L5016" t="b">
        <v>0</v>
      </c>
      <c r="M5016" t="str">
        <f>HYPERLINK("https://arizona.app.box.com/file/389163996359")</f>
        <v>https://arizona.app.box.com/file/389163996359</v>
      </c>
    </row>
    <row r="5017" spans="1:25" x14ac:dyDescent="0.2">
      <c r="A5017">
        <v>6163</v>
      </c>
      <c r="B5017" t="s">
        <v>9128</v>
      </c>
      <c r="C5017" t="s">
        <v>18</v>
      </c>
      <c r="D5017" t="s">
        <v>2308</v>
      </c>
      <c r="E5017" t="s">
        <v>2309</v>
      </c>
      <c r="F5017" t="s">
        <v>248</v>
      </c>
      <c r="G5017" t="s">
        <v>134</v>
      </c>
      <c r="I5017" t="b">
        <v>0</v>
      </c>
      <c r="J5017" t="b">
        <v>0</v>
      </c>
      <c r="L5017" t="b">
        <v>0</v>
      </c>
      <c r="M5017" t="str">
        <f>HYPERLINK("https://arizona.app.box.com/file/389169464705")</f>
        <v>https://arizona.app.box.com/file/389169464705</v>
      </c>
      <c r="N5017" t="str">
        <f>HYPERLINK("https://arizona.app.box.com/file/389262453311")</f>
        <v>https://arizona.app.box.com/file/389262453311</v>
      </c>
      <c r="O5017" t="str">
        <f>HYPERLINK("https://arizona.app.box.com/file/389153026289")</f>
        <v>https://arizona.app.box.com/file/389153026289</v>
      </c>
    </row>
    <row r="5018" spans="1:25" x14ac:dyDescent="0.2">
      <c r="A5018">
        <v>6164</v>
      </c>
      <c r="B5018" t="s">
        <v>9128</v>
      </c>
      <c r="C5018" t="s">
        <v>18</v>
      </c>
      <c r="D5018" t="s">
        <v>3127</v>
      </c>
      <c r="E5018" t="s">
        <v>1167</v>
      </c>
      <c r="F5018" t="s">
        <v>168</v>
      </c>
      <c r="G5018" t="s">
        <v>134</v>
      </c>
      <c r="I5018" t="b">
        <v>0</v>
      </c>
      <c r="J5018" t="b">
        <v>0</v>
      </c>
      <c r="L5018" t="b">
        <v>0</v>
      </c>
      <c r="M5018" t="str">
        <f>HYPERLINK("https://arizona.app.box.com/file/389264303346")</f>
        <v>https://arizona.app.box.com/file/389264303346</v>
      </c>
    </row>
    <row r="5019" spans="1:25" x14ac:dyDescent="0.2">
      <c r="A5019">
        <v>6165</v>
      </c>
      <c r="B5019" t="s">
        <v>9128</v>
      </c>
      <c r="C5019" t="s">
        <v>18</v>
      </c>
      <c r="D5019" t="s">
        <v>9133</v>
      </c>
      <c r="E5019" t="s">
        <v>5311</v>
      </c>
      <c r="F5019" t="s">
        <v>148</v>
      </c>
      <c r="G5019" t="s">
        <v>134</v>
      </c>
      <c r="I5019" t="b">
        <v>0</v>
      </c>
      <c r="J5019" t="b">
        <v>0</v>
      </c>
      <c r="L5019" t="b">
        <v>0</v>
      </c>
    </row>
    <row r="5021" spans="1:25" x14ac:dyDescent="0.2">
      <c r="A5021" s="2">
        <v>3717</v>
      </c>
      <c r="B5021" s="2" t="s">
        <v>9134</v>
      </c>
      <c r="C5021" s="2" t="s">
        <v>13</v>
      </c>
      <c r="D5021" s="2" t="s">
        <v>9135</v>
      </c>
      <c r="E5021" s="2" t="s">
        <v>9136</v>
      </c>
      <c r="F5021" s="2" t="s">
        <v>122</v>
      </c>
      <c r="G5021" s="2" t="s">
        <v>17</v>
      </c>
      <c r="H5021" s="2"/>
      <c r="I5021" s="2"/>
      <c r="J5021" s="2"/>
      <c r="K5021" s="2"/>
      <c r="L5021" s="2"/>
      <c r="M5021" s="2"/>
      <c r="N5021" s="2"/>
      <c r="O5021" s="2"/>
      <c r="P5021" s="2"/>
      <c r="Q5021" s="2"/>
      <c r="R5021" s="2"/>
      <c r="S5021" s="2"/>
      <c r="T5021" s="2"/>
      <c r="U5021" s="2"/>
      <c r="V5021" s="2"/>
      <c r="W5021" s="2"/>
      <c r="X5021" s="2"/>
      <c r="Y5021" s="2"/>
    </row>
    <row r="5022" spans="1:25" x14ac:dyDescent="0.2">
      <c r="A5022">
        <v>3718</v>
      </c>
      <c r="B5022" t="s">
        <v>9134</v>
      </c>
      <c r="C5022" t="s">
        <v>18</v>
      </c>
      <c r="D5022" t="s">
        <v>9135</v>
      </c>
      <c r="E5022" t="s">
        <v>9136</v>
      </c>
      <c r="F5022" t="s">
        <v>122</v>
      </c>
      <c r="G5022" t="s">
        <v>17</v>
      </c>
      <c r="I5022" t="b">
        <v>1</v>
      </c>
      <c r="J5022" t="b">
        <v>1</v>
      </c>
      <c r="L5022" t="b">
        <v>1</v>
      </c>
      <c r="M5022" t="str">
        <f>HYPERLINK("https://arizona.app.box.com/file/389160639002")</f>
        <v>https://arizona.app.box.com/file/389160639002</v>
      </c>
      <c r="N5022" t="str">
        <f>HYPERLINK("https://arizona.app.box.com/file/389161410838")</f>
        <v>https://arizona.app.box.com/file/389161410838</v>
      </c>
      <c r="O5022" t="str">
        <f>HYPERLINK("https://arizona.app.box.com/file/389164915888")</f>
        <v>https://arizona.app.box.com/file/389164915888</v>
      </c>
    </row>
    <row r="5023" spans="1:25" x14ac:dyDescent="0.2">
      <c r="A5023">
        <v>3719</v>
      </c>
      <c r="B5023" t="s">
        <v>9134</v>
      </c>
      <c r="C5023" t="s">
        <v>18</v>
      </c>
      <c r="D5023" t="s">
        <v>123</v>
      </c>
      <c r="E5023" t="s">
        <v>124</v>
      </c>
      <c r="F5023" t="s">
        <v>122</v>
      </c>
      <c r="G5023" t="s">
        <v>17</v>
      </c>
      <c r="I5023" t="b">
        <v>0</v>
      </c>
      <c r="J5023" t="b">
        <v>0</v>
      </c>
      <c r="L5023" t="b">
        <v>0</v>
      </c>
      <c r="M5023" t="str">
        <f>HYPERLINK("https://arizona.app.box.com/file/386265762102")</f>
        <v>https://arizona.app.box.com/file/386265762102</v>
      </c>
      <c r="N5023" t="str">
        <f>HYPERLINK("https://arizona.app.box.com/file/386241113911")</f>
        <v>https://arizona.app.box.com/file/386241113911</v>
      </c>
    </row>
    <row r="5024" spans="1:25" x14ac:dyDescent="0.2">
      <c r="A5024">
        <v>3720</v>
      </c>
      <c r="B5024" t="s">
        <v>9134</v>
      </c>
      <c r="C5024" t="s">
        <v>18</v>
      </c>
      <c r="D5024" t="s">
        <v>120</v>
      </c>
      <c r="E5024" t="s">
        <v>121</v>
      </c>
      <c r="F5024" t="s">
        <v>122</v>
      </c>
      <c r="G5024" t="s">
        <v>24</v>
      </c>
      <c r="I5024" t="b">
        <v>0</v>
      </c>
      <c r="J5024" t="b">
        <v>0</v>
      </c>
      <c r="L5024" t="b">
        <v>0</v>
      </c>
      <c r="M5024" t="str">
        <f>HYPERLINK("https://arizona.app.box.com/file/386240845985")</f>
        <v>https://arizona.app.box.com/file/386240845985</v>
      </c>
    </row>
    <row r="5025" spans="1:25" x14ac:dyDescent="0.2">
      <c r="A5025">
        <v>3721</v>
      </c>
      <c r="B5025" t="s">
        <v>9134</v>
      </c>
      <c r="C5025" t="s">
        <v>18</v>
      </c>
      <c r="D5025" t="s">
        <v>9137</v>
      </c>
      <c r="E5025" t="s">
        <v>9138</v>
      </c>
      <c r="F5025" t="s">
        <v>122</v>
      </c>
      <c r="G5025" t="s">
        <v>17</v>
      </c>
      <c r="I5025" t="b">
        <v>0</v>
      </c>
      <c r="J5025" t="b">
        <v>0</v>
      </c>
      <c r="L5025" t="b">
        <v>0</v>
      </c>
    </row>
    <row r="5026" spans="1:25" x14ac:dyDescent="0.2">
      <c r="A5026">
        <v>3722</v>
      </c>
      <c r="B5026" t="s">
        <v>9134</v>
      </c>
      <c r="C5026" t="s">
        <v>18</v>
      </c>
      <c r="D5026" t="s">
        <v>9139</v>
      </c>
      <c r="E5026" t="s">
        <v>9140</v>
      </c>
      <c r="F5026" t="s">
        <v>122</v>
      </c>
      <c r="G5026" t="s">
        <v>17</v>
      </c>
      <c r="I5026" t="b">
        <v>0</v>
      </c>
      <c r="J5026" t="b">
        <v>0</v>
      </c>
      <c r="L5026" t="b">
        <v>0</v>
      </c>
    </row>
    <row r="5028" spans="1:25" x14ac:dyDescent="0.2">
      <c r="A5028" s="2">
        <v>5971</v>
      </c>
      <c r="B5028" s="2" t="s">
        <v>9141</v>
      </c>
      <c r="C5028" s="2" t="s">
        <v>13</v>
      </c>
      <c r="D5028" s="2" t="s">
        <v>2522</v>
      </c>
      <c r="E5028" s="2" t="s">
        <v>9142</v>
      </c>
      <c r="F5028" s="2" t="s">
        <v>78</v>
      </c>
      <c r="G5028" s="2" t="s">
        <v>417</v>
      </c>
      <c r="H5028" s="2"/>
      <c r="I5028" s="2"/>
      <c r="J5028" s="2"/>
      <c r="K5028" s="2"/>
      <c r="L5028" s="2"/>
      <c r="M5028" s="2"/>
      <c r="N5028" s="2"/>
      <c r="O5028" s="2"/>
      <c r="P5028" s="2"/>
      <c r="Q5028" s="2"/>
      <c r="R5028" s="2"/>
      <c r="S5028" s="2"/>
      <c r="T5028" s="2"/>
      <c r="U5028" s="2"/>
      <c r="V5028" s="2"/>
      <c r="W5028" s="2"/>
      <c r="X5028" s="2"/>
      <c r="Y5028" s="2"/>
    </row>
    <row r="5029" spans="1:25" x14ac:dyDescent="0.2">
      <c r="A5029">
        <v>5972</v>
      </c>
      <c r="B5029" t="s">
        <v>9141</v>
      </c>
      <c r="C5029" t="s">
        <v>18</v>
      </c>
      <c r="D5029" t="s">
        <v>2522</v>
      </c>
      <c r="E5029" t="s">
        <v>2523</v>
      </c>
      <c r="F5029" t="s">
        <v>78</v>
      </c>
      <c r="G5029" t="s">
        <v>417</v>
      </c>
      <c r="I5029" t="b">
        <v>1</v>
      </c>
      <c r="J5029" t="b">
        <v>1</v>
      </c>
      <c r="L5029" t="b">
        <v>1</v>
      </c>
      <c r="M5029" t="str">
        <f>HYPERLINK("https://arizona.app.box.com/file/389260493159")</f>
        <v>https://arizona.app.box.com/file/389260493159</v>
      </c>
      <c r="N5029" t="str">
        <f>HYPERLINK("https://arizona.app.box.com/file/389163455213")</f>
        <v>https://arizona.app.box.com/file/389163455213</v>
      </c>
      <c r="O5029" t="str">
        <f>HYPERLINK("https://arizona.app.box.com/file/389257191441")</f>
        <v>https://arizona.app.box.com/file/389257191441</v>
      </c>
    </row>
    <row r="5030" spans="1:25" x14ac:dyDescent="0.2">
      <c r="A5030">
        <v>5973</v>
      </c>
      <c r="B5030" t="s">
        <v>9141</v>
      </c>
      <c r="C5030" t="s">
        <v>18</v>
      </c>
      <c r="D5030" t="s">
        <v>5523</v>
      </c>
      <c r="E5030" t="s">
        <v>898</v>
      </c>
      <c r="F5030" t="s">
        <v>174</v>
      </c>
      <c r="G5030" t="s">
        <v>879</v>
      </c>
      <c r="I5030" t="b">
        <v>0</v>
      </c>
      <c r="J5030" t="b">
        <v>0</v>
      </c>
      <c r="L5030" t="b">
        <v>0</v>
      </c>
      <c r="M5030" t="str">
        <f>HYPERLINK("https://arizona.app.box.com/file/389179086295")</f>
        <v>https://arizona.app.box.com/file/389179086295</v>
      </c>
    </row>
    <row r="5031" spans="1:25" x14ac:dyDescent="0.2">
      <c r="A5031">
        <v>5974</v>
      </c>
      <c r="B5031" t="s">
        <v>9141</v>
      </c>
      <c r="C5031" t="s">
        <v>18</v>
      </c>
      <c r="D5031" t="s">
        <v>2513</v>
      </c>
      <c r="E5031" t="s">
        <v>1038</v>
      </c>
      <c r="F5031" t="s">
        <v>420</v>
      </c>
      <c r="G5031" t="s">
        <v>879</v>
      </c>
      <c r="I5031" t="b">
        <v>0</v>
      </c>
      <c r="J5031" t="b">
        <v>0</v>
      </c>
      <c r="L5031" t="b">
        <v>0</v>
      </c>
      <c r="M5031" t="str">
        <f>HYPERLINK("https://arizona.app.box.com/file/386216155607")</f>
        <v>https://arizona.app.box.com/file/386216155607</v>
      </c>
    </row>
    <row r="5032" spans="1:25" x14ac:dyDescent="0.2">
      <c r="A5032">
        <v>5975</v>
      </c>
      <c r="B5032" t="s">
        <v>9141</v>
      </c>
      <c r="C5032" t="s">
        <v>18</v>
      </c>
      <c r="D5032" t="s">
        <v>2515</v>
      </c>
      <c r="E5032" t="s">
        <v>1536</v>
      </c>
      <c r="F5032" t="s">
        <v>420</v>
      </c>
      <c r="G5032" t="s">
        <v>879</v>
      </c>
      <c r="I5032" t="b">
        <v>0</v>
      </c>
      <c r="J5032" t="b">
        <v>0</v>
      </c>
      <c r="L5032" t="b">
        <v>0</v>
      </c>
      <c r="M5032" t="str">
        <f>HYPERLINK("https://arizona.app.box.com/file/389255767530")</f>
        <v>https://arizona.app.box.com/file/389255767530</v>
      </c>
      <c r="N5032" t="str">
        <f>HYPERLINK("https://arizona.app.box.com/file/389169179757")</f>
        <v>https://arizona.app.box.com/file/389169179757</v>
      </c>
    </row>
    <row r="5033" spans="1:25" x14ac:dyDescent="0.2">
      <c r="A5033">
        <v>5976</v>
      </c>
      <c r="B5033" t="s">
        <v>9141</v>
      </c>
      <c r="C5033" t="s">
        <v>18</v>
      </c>
      <c r="D5033" t="s">
        <v>594</v>
      </c>
      <c r="E5033" t="s">
        <v>595</v>
      </c>
      <c r="F5033" t="s">
        <v>596</v>
      </c>
      <c r="G5033" t="s">
        <v>88</v>
      </c>
      <c r="I5033" t="b">
        <v>0</v>
      </c>
      <c r="J5033" t="b">
        <v>0</v>
      </c>
      <c r="L5033" t="b">
        <v>0</v>
      </c>
      <c r="M5033" t="str">
        <f>HYPERLINK("https://arizona.app.box.com/file/389261048939")</f>
        <v>https://arizona.app.box.com/file/389261048939</v>
      </c>
      <c r="N5033" t="str">
        <f>HYPERLINK("https://arizona.app.box.com/file/389164431528")</f>
        <v>https://arizona.app.box.com/file/389164431528</v>
      </c>
    </row>
    <row r="5035" spans="1:25" x14ac:dyDescent="0.2">
      <c r="A5035" s="2">
        <v>2065</v>
      </c>
      <c r="B5035" s="2" t="s">
        <v>9143</v>
      </c>
      <c r="C5035" s="2" t="s">
        <v>13</v>
      </c>
      <c r="D5035" s="2" t="s">
        <v>9144</v>
      </c>
      <c r="E5035" s="2" t="s">
        <v>9145</v>
      </c>
      <c r="F5035" s="2" t="s">
        <v>23</v>
      </c>
      <c r="G5035" s="2" t="s">
        <v>134</v>
      </c>
      <c r="H5035" s="2"/>
      <c r="I5035" s="2"/>
      <c r="J5035" s="2"/>
      <c r="K5035" s="2"/>
      <c r="L5035" s="2"/>
      <c r="M5035" s="2"/>
      <c r="N5035" s="2"/>
      <c r="O5035" s="2"/>
      <c r="P5035" s="2"/>
      <c r="Q5035" s="2"/>
      <c r="R5035" s="2"/>
      <c r="S5035" s="2"/>
      <c r="T5035" s="2"/>
      <c r="U5035" s="2"/>
      <c r="V5035" s="2"/>
      <c r="W5035" s="2"/>
      <c r="X5035" s="2"/>
      <c r="Y5035" s="2"/>
    </row>
    <row r="5036" spans="1:25" x14ac:dyDescent="0.2">
      <c r="A5036">
        <v>2066</v>
      </c>
      <c r="B5036" t="s">
        <v>9143</v>
      </c>
      <c r="C5036" t="s">
        <v>18</v>
      </c>
      <c r="D5036" t="s">
        <v>9144</v>
      </c>
      <c r="E5036" t="s">
        <v>3505</v>
      </c>
      <c r="F5036" t="s">
        <v>23</v>
      </c>
      <c r="G5036" t="s">
        <v>134</v>
      </c>
      <c r="I5036" t="b">
        <v>1</v>
      </c>
      <c r="J5036" t="b">
        <v>1</v>
      </c>
      <c r="L5036" t="b">
        <v>1</v>
      </c>
      <c r="M5036" t="str">
        <f>HYPERLINK("https://arizona.app.box.com/file/389263939194")</f>
        <v>https://arizona.app.box.com/file/389263939194</v>
      </c>
    </row>
    <row r="5037" spans="1:25" x14ac:dyDescent="0.2">
      <c r="A5037">
        <v>2067</v>
      </c>
      <c r="B5037" t="s">
        <v>9143</v>
      </c>
      <c r="C5037" t="s">
        <v>18</v>
      </c>
      <c r="D5037" t="s">
        <v>9146</v>
      </c>
      <c r="E5037" t="s">
        <v>9147</v>
      </c>
      <c r="F5037" t="s">
        <v>159</v>
      </c>
      <c r="G5037" t="s">
        <v>134</v>
      </c>
      <c r="I5037" t="b">
        <v>1</v>
      </c>
      <c r="J5037" t="b">
        <v>1</v>
      </c>
      <c r="L5037" t="b">
        <v>1</v>
      </c>
      <c r="M5037" t="str">
        <f>HYPERLINK("https://arizona.app.box.com/file/389162811438")</f>
        <v>https://arizona.app.box.com/file/389162811438</v>
      </c>
    </row>
    <row r="5038" spans="1:25" x14ac:dyDescent="0.2">
      <c r="A5038">
        <v>2068</v>
      </c>
      <c r="B5038" t="s">
        <v>9143</v>
      </c>
      <c r="C5038" t="s">
        <v>18</v>
      </c>
      <c r="D5038" t="s">
        <v>9148</v>
      </c>
      <c r="E5038" t="s">
        <v>9149</v>
      </c>
      <c r="F5038" t="s">
        <v>82</v>
      </c>
      <c r="G5038" t="s">
        <v>17</v>
      </c>
      <c r="I5038" t="b">
        <v>0</v>
      </c>
      <c r="J5038" t="b">
        <v>0</v>
      </c>
      <c r="L5038" t="b">
        <v>0</v>
      </c>
    </row>
    <row r="5039" spans="1:25" x14ac:dyDescent="0.2">
      <c r="A5039">
        <v>2069</v>
      </c>
      <c r="B5039" t="s">
        <v>9143</v>
      </c>
      <c r="C5039" t="s">
        <v>18</v>
      </c>
      <c r="D5039" t="s">
        <v>9150</v>
      </c>
      <c r="E5039" t="s">
        <v>4302</v>
      </c>
      <c r="F5039" t="s">
        <v>78</v>
      </c>
      <c r="G5039" t="s">
        <v>130</v>
      </c>
      <c r="I5039" t="b">
        <v>0</v>
      </c>
      <c r="J5039" t="b">
        <v>0</v>
      </c>
      <c r="L5039" t="b">
        <v>0</v>
      </c>
      <c r="M5039" t="str">
        <f>HYPERLINK("https://arizona.app.box.com/file/389258531892")</f>
        <v>https://arizona.app.box.com/file/389258531892</v>
      </c>
      <c r="N5039" t="str">
        <f>HYPERLINK("https://arizona.app.box.com/file/389152011246")</f>
        <v>https://arizona.app.box.com/file/389152011246</v>
      </c>
    </row>
    <row r="5040" spans="1:25" x14ac:dyDescent="0.2">
      <c r="A5040">
        <v>2070</v>
      </c>
      <c r="B5040" t="s">
        <v>9143</v>
      </c>
      <c r="C5040" t="s">
        <v>18</v>
      </c>
      <c r="D5040" t="s">
        <v>9151</v>
      </c>
      <c r="E5040" t="s">
        <v>9152</v>
      </c>
      <c r="F5040" t="s">
        <v>159</v>
      </c>
      <c r="G5040" t="s">
        <v>17</v>
      </c>
      <c r="I5040" t="b">
        <v>0</v>
      </c>
      <c r="J5040" t="b">
        <v>0</v>
      </c>
      <c r="L5040" t="b">
        <v>0</v>
      </c>
      <c r="M5040" t="str">
        <f>HYPERLINK("https://arizona.app.box.com/file/386246901271")</f>
        <v>https://arizona.app.box.com/file/386246901271</v>
      </c>
    </row>
    <row r="5042" spans="1:25" x14ac:dyDescent="0.2">
      <c r="A5042" s="2">
        <v>3157</v>
      </c>
      <c r="B5042" s="2" t="s">
        <v>9153</v>
      </c>
      <c r="C5042" s="2" t="s">
        <v>13</v>
      </c>
      <c r="D5042" s="2" t="s">
        <v>7984</v>
      </c>
      <c r="E5042" s="2" t="s">
        <v>9154</v>
      </c>
      <c r="F5042" s="2" t="s">
        <v>168</v>
      </c>
      <c r="G5042" s="2" t="s">
        <v>292</v>
      </c>
      <c r="H5042" s="2"/>
      <c r="I5042" s="2"/>
      <c r="J5042" s="2"/>
      <c r="K5042" s="2"/>
      <c r="L5042" s="2"/>
      <c r="M5042" s="2"/>
      <c r="N5042" s="2"/>
      <c r="O5042" s="2"/>
      <c r="P5042" s="2"/>
      <c r="Q5042" s="2"/>
      <c r="R5042" s="2"/>
      <c r="S5042" s="2"/>
      <c r="T5042" s="2"/>
      <c r="U5042" s="2"/>
      <c r="V5042" s="2"/>
      <c r="W5042" s="2"/>
      <c r="X5042" s="2"/>
      <c r="Y5042" s="2"/>
    </row>
    <row r="5043" spans="1:25" x14ac:dyDescent="0.2">
      <c r="A5043">
        <v>3158</v>
      </c>
      <c r="B5043" t="s">
        <v>9153</v>
      </c>
      <c r="C5043" t="s">
        <v>18</v>
      </c>
      <c r="D5043" t="s">
        <v>7984</v>
      </c>
      <c r="E5043" t="s">
        <v>7985</v>
      </c>
      <c r="F5043" t="s">
        <v>168</v>
      </c>
      <c r="G5043" t="s">
        <v>292</v>
      </c>
      <c r="I5043" t="b">
        <v>1</v>
      </c>
      <c r="J5043" t="b">
        <v>1</v>
      </c>
      <c r="L5043" t="b">
        <v>1</v>
      </c>
      <c r="M5043" t="str">
        <f>HYPERLINK("https://arizona.app.box.com/file/389260225850")</f>
        <v>https://arizona.app.box.com/file/389260225850</v>
      </c>
      <c r="N5043" t="str">
        <f>HYPERLINK("https://arizona.app.box.com/file/389161906858")</f>
        <v>https://arizona.app.box.com/file/389161906858</v>
      </c>
      <c r="O5043" t="str">
        <f>HYPERLINK("https://arizona.app.box.com/file/389267190815")</f>
        <v>https://arizona.app.box.com/file/389267190815</v>
      </c>
      <c r="P5043" t="str">
        <f>HYPERLINK("https://arizona.app.box.com/file/389161308944")</f>
        <v>https://arizona.app.box.com/file/389161308944</v>
      </c>
      <c r="Q5043" t="str">
        <f>HYPERLINK("https://arizona.app.box.com/file/389262448638")</f>
        <v>https://arizona.app.box.com/file/389262448638</v>
      </c>
      <c r="R5043" t="str">
        <f>HYPERLINK("https://arizona.app.box.com/file/389167386785")</f>
        <v>https://arizona.app.box.com/file/389167386785</v>
      </c>
    </row>
    <row r="5044" spans="1:25" x14ac:dyDescent="0.2">
      <c r="A5044">
        <v>3159</v>
      </c>
      <c r="B5044" t="s">
        <v>9153</v>
      </c>
      <c r="C5044" t="s">
        <v>18</v>
      </c>
      <c r="D5044" t="s">
        <v>7593</v>
      </c>
      <c r="E5044" t="s">
        <v>7594</v>
      </c>
      <c r="F5044" t="s">
        <v>78</v>
      </c>
      <c r="G5044" t="s">
        <v>1047</v>
      </c>
      <c r="I5044" t="b">
        <v>0</v>
      </c>
      <c r="J5044" t="b">
        <v>0</v>
      </c>
      <c r="L5044" t="b">
        <v>0</v>
      </c>
      <c r="M5044" t="str">
        <f>HYPERLINK("https://arizona.app.box.com/file/389173764815")</f>
        <v>https://arizona.app.box.com/file/389173764815</v>
      </c>
      <c r="N5044" t="str">
        <f>HYPERLINK("https://arizona.app.box.com/file/386214251567")</f>
        <v>https://arizona.app.box.com/file/386214251567</v>
      </c>
      <c r="O5044" t="str">
        <f>HYPERLINK("https://arizona.app.box.com/file/389170469336")</f>
        <v>https://arizona.app.box.com/file/389170469336</v>
      </c>
      <c r="P5044" t="str">
        <f>HYPERLINK("https://arizona.app.box.com/file/386225489986")</f>
        <v>https://arizona.app.box.com/file/386225489986</v>
      </c>
    </row>
    <row r="5045" spans="1:25" x14ac:dyDescent="0.2">
      <c r="A5045">
        <v>3160</v>
      </c>
      <c r="B5045" t="s">
        <v>9153</v>
      </c>
      <c r="C5045" t="s">
        <v>18</v>
      </c>
      <c r="D5045" t="s">
        <v>9155</v>
      </c>
      <c r="E5045" t="s">
        <v>9156</v>
      </c>
      <c r="F5045" t="s">
        <v>174</v>
      </c>
      <c r="G5045" t="s">
        <v>32</v>
      </c>
      <c r="I5045" t="b">
        <v>0</v>
      </c>
      <c r="J5045" t="b">
        <v>0</v>
      </c>
      <c r="L5045" t="b">
        <v>0</v>
      </c>
    </row>
    <row r="5046" spans="1:25" x14ac:dyDescent="0.2">
      <c r="A5046">
        <v>3161</v>
      </c>
      <c r="B5046" t="s">
        <v>9153</v>
      </c>
      <c r="C5046" t="s">
        <v>18</v>
      </c>
      <c r="D5046" t="s">
        <v>298</v>
      </c>
      <c r="E5046" t="s">
        <v>299</v>
      </c>
      <c r="F5046" t="s">
        <v>168</v>
      </c>
      <c r="G5046" t="s">
        <v>292</v>
      </c>
      <c r="I5046" t="b">
        <v>0</v>
      </c>
      <c r="J5046" t="b">
        <v>0</v>
      </c>
      <c r="L5046" t="b">
        <v>0</v>
      </c>
      <c r="M5046" t="str">
        <f>HYPERLINK("https://arizona.app.box.com/file/389164632065")</f>
        <v>https://arizona.app.box.com/file/389164632065</v>
      </c>
      <c r="N5046" t="str">
        <f>HYPERLINK("https://arizona.app.box.com/file/386212019707")</f>
        <v>https://arizona.app.box.com/file/386212019707</v>
      </c>
    </row>
    <row r="5047" spans="1:25" x14ac:dyDescent="0.2">
      <c r="A5047">
        <v>3162</v>
      </c>
      <c r="B5047" t="s">
        <v>9153</v>
      </c>
      <c r="C5047" t="s">
        <v>18</v>
      </c>
      <c r="D5047" t="s">
        <v>157</v>
      </c>
      <c r="E5047" t="s">
        <v>158</v>
      </c>
      <c r="F5047" t="s">
        <v>160</v>
      </c>
      <c r="G5047" t="s">
        <v>161</v>
      </c>
      <c r="I5047" t="b">
        <v>0</v>
      </c>
      <c r="J5047" t="b">
        <v>0</v>
      </c>
      <c r="L5047" t="b">
        <v>0</v>
      </c>
      <c r="M5047" t="str">
        <f>HYPERLINK("https://arizona.app.box.com/file/389263180916")</f>
        <v>https://arizona.app.box.com/file/389263180916</v>
      </c>
      <c r="N5047" t="str">
        <f>HYPERLINK("https://arizona.app.box.com/file/386216449454")</f>
        <v>https://arizona.app.box.com/file/386216449454</v>
      </c>
    </row>
    <row r="5049" spans="1:25" x14ac:dyDescent="0.2">
      <c r="A5049" s="2">
        <v>3283</v>
      </c>
      <c r="B5049" s="2" t="s">
        <v>9157</v>
      </c>
      <c r="C5049" s="2" t="s">
        <v>13</v>
      </c>
      <c r="D5049" s="2" t="s">
        <v>4722</v>
      </c>
      <c r="E5049" s="2" t="s">
        <v>4723</v>
      </c>
      <c r="F5049" s="2" t="s">
        <v>785</v>
      </c>
      <c r="G5049" s="2" t="s">
        <v>62</v>
      </c>
      <c r="H5049" s="2"/>
      <c r="I5049" s="2"/>
      <c r="J5049" s="2"/>
      <c r="K5049" s="2"/>
      <c r="L5049" s="2"/>
      <c r="M5049" s="2"/>
      <c r="N5049" s="2"/>
      <c r="O5049" s="2"/>
      <c r="P5049" s="2"/>
      <c r="Q5049" s="2"/>
      <c r="R5049" s="2"/>
      <c r="S5049" s="2"/>
      <c r="T5049" s="2"/>
      <c r="U5049" s="2"/>
      <c r="V5049" s="2"/>
      <c r="W5049" s="2"/>
      <c r="X5049" s="2"/>
      <c r="Y5049" s="2"/>
    </row>
    <row r="5050" spans="1:25" x14ac:dyDescent="0.2">
      <c r="A5050">
        <v>3284</v>
      </c>
      <c r="B5050" t="s">
        <v>9157</v>
      </c>
      <c r="C5050" t="s">
        <v>18</v>
      </c>
      <c r="D5050" t="s">
        <v>4722</v>
      </c>
      <c r="E5050" t="s">
        <v>4723</v>
      </c>
      <c r="F5050" t="s">
        <v>4724</v>
      </c>
      <c r="G5050" t="s">
        <v>62</v>
      </c>
      <c r="I5050" t="b">
        <v>1</v>
      </c>
      <c r="J5050" t="b">
        <v>1</v>
      </c>
      <c r="L5050" t="b">
        <v>1</v>
      </c>
      <c r="M5050" t="str">
        <f>HYPERLINK("https://arizona.app.box.com/file/386232032734")</f>
        <v>https://arizona.app.box.com/file/386232032734</v>
      </c>
      <c r="N5050" t="str">
        <f>HYPERLINK("https://arizona.app.box.com/file/389153287085")</f>
        <v>https://arizona.app.box.com/file/389153287085</v>
      </c>
    </row>
    <row r="5051" spans="1:25" x14ac:dyDescent="0.2">
      <c r="A5051">
        <v>3285</v>
      </c>
      <c r="B5051" t="s">
        <v>9157</v>
      </c>
      <c r="C5051" t="s">
        <v>18</v>
      </c>
      <c r="D5051" t="s">
        <v>746</v>
      </c>
      <c r="E5051" t="s">
        <v>747</v>
      </c>
      <c r="F5051" t="s">
        <v>717</v>
      </c>
      <c r="G5051" t="s">
        <v>62</v>
      </c>
      <c r="I5051" t="b">
        <v>1</v>
      </c>
      <c r="J5051" t="b">
        <v>0</v>
      </c>
      <c r="L5051" t="b">
        <v>1</v>
      </c>
      <c r="M5051" t="str">
        <f>HYPERLINK("https://arizona.app.box.com/file/389261946393")</f>
        <v>https://arizona.app.box.com/file/389261946393</v>
      </c>
      <c r="N5051" t="str">
        <f>HYPERLINK("https://arizona.app.box.com/file/389137671086")</f>
        <v>https://arizona.app.box.com/file/389137671086</v>
      </c>
    </row>
    <row r="5052" spans="1:25" x14ac:dyDescent="0.2">
      <c r="A5052">
        <v>3286</v>
      </c>
      <c r="B5052" t="s">
        <v>9157</v>
      </c>
      <c r="C5052" t="s">
        <v>18</v>
      </c>
      <c r="D5052" t="s">
        <v>4718</v>
      </c>
      <c r="E5052" t="s">
        <v>4719</v>
      </c>
      <c r="F5052" t="s">
        <v>717</v>
      </c>
      <c r="G5052" t="s">
        <v>62</v>
      </c>
      <c r="I5052" t="b">
        <v>1</v>
      </c>
      <c r="J5052" t="b">
        <v>0</v>
      </c>
      <c r="L5052" t="b">
        <v>1</v>
      </c>
      <c r="M5052" t="str">
        <f>HYPERLINK("https://arizona.app.box.com/file/389261393825")</f>
        <v>https://arizona.app.box.com/file/389261393825</v>
      </c>
      <c r="N5052" t="str">
        <f>HYPERLINK("https://arizona.app.box.com/file/389162616730")</f>
        <v>https://arizona.app.box.com/file/389162616730</v>
      </c>
    </row>
    <row r="5053" spans="1:25" x14ac:dyDescent="0.2">
      <c r="A5053">
        <v>3287</v>
      </c>
      <c r="B5053" t="s">
        <v>9157</v>
      </c>
      <c r="C5053" t="s">
        <v>18</v>
      </c>
      <c r="D5053" t="s">
        <v>9158</v>
      </c>
      <c r="E5053" t="s">
        <v>9159</v>
      </c>
      <c r="F5053" t="s">
        <v>717</v>
      </c>
      <c r="G5053" t="s">
        <v>502</v>
      </c>
      <c r="I5053" t="b">
        <v>0</v>
      </c>
      <c r="J5053" t="b">
        <v>0</v>
      </c>
      <c r="L5053" t="b">
        <v>0</v>
      </c>
      <c r="M5053" t="str">
        <f>HYPERLINK("https://arizona.app.box.com/file/386238130662")</f>
        <v>https://arizona.app.box.com/file/386238130662</v>
      </c>
      <c r="N5053" t="str">
        <f>HYPERLINK("https://arizona.app.box.com/file/386217146877")</f>
        <v>https://arizona.app.box.com/file/386217146877</v>
      </c>
    </row>
    <row r="5054" spans="1:25" x14ac:dyDescent="0.2">
      <c r="A5054">
        <v>3288</v>
      </c>
      <c r="B5054" t="s">
        <v>9157</v>
      </c>
      <c r="C5054" t="s">
        <v>18</v>
      </c>
      <c r="D5054" t="s">
        <v>9160</v>
      </c>
      <c r="E5054" t="s">
        <v>9161</v>
      </c>
      <c r="F5054" t="s">
        <v>717</v>
      </c>
      <c r="G5054" t="s">
        <v>62</v>
      </c>
      <c r="I5054" t="b">
        <v>0</v>
      </c>
      <c r="J5054" t="b">
        <v>0</v>
      </c>
      <c r="L5054" t="b">
        <v>0</v>
      </c>
      <c r="M5054" t="str">
        <f>HYPERLINK("https://arizona.app.box.com/file/386240060449")</f>
        <v>https://arizona.app.box.com/file/386240060449</v>
      </c>
    </row>
    <row r="5056" spans="1:25" x14ac:dyDescent="0.2">
      <c r="A5056" s="2">
        <v>3122</v>
      </c>
      <c r="B5056" s="2" t="s">
        <v>9162</v>
      </c>
      <c r="C5056" s="2" t="s">
        <v>13</v>
      </c>
      <c r="D5056" s="2" t="s">
        <v>9163</v>
      </c>
      <c r="E5056" s="2" t="s">
        <v>9164</v>
      </c>
      <c r="F5056" s="2" t="s">
        <v>31</v>
      </c>
      <c r="G5056" s="2" t="s">
        <v>24</v>
      </c>
      <c r="H5056" s="2"/>
      <c r="I5056" s="2"/>
      <c r="J5056" s="2"/>
      <c r="K5056" s="2"/>
      <c r="L5056" s="2"/>
      <c r="M5056" s="2"/>
      <c r="N5056" s="2"/>
      <c r="O5056" s="2"/>
      <c r="P5056" s="2"/>
      <c r="Q5056" s="2"/>
      <c r="R5056" s="2"/>
      <c r="S5056" s="2"/>
      <c r="T5056" s="2"/>
      <c r="U5056" s="2"/>
      <c r="V5056" s="2"/>
      <c r="W5056" s="2"/>
      <c r="X5056" s="2"/>
      <c r="Y5056" s="2"/>
    </row>
    <row r="5057" spans="1:25" x14ac:dyDescent="0.2">
      <c r="A5057">
        <v>3123</v>
      </c>
      <c r="B5057" t="s">
        <v>9162</v>
      </c>
      <c r="C5057" t="s">
        <v>18</v>
      </c>
      <c r="D5057" t="s">
        <v>9165</v>
      </c>
      <c r="E5057" t="s">
        <v>1049</v>
      </c>
      <c r="F5057" t="s">
        <v>31</v>
      </c>
      <c r="G5057" t="s">
        <v>24</v>
      </c>
      <c r="I5057" t="b">
        <v>1</v>
      </c>
      <c r="J5057" t="b">
        <v>1</v>
      </c>
      <c r="L5057" t="b">
        <v>1</v>
      </c>
      <c r="M5057" t="str">
        <f>HYPERLINK("https://arizona.app.box.com/file/389265210145")</f>
        <v>https://arizona.app.box.com/file/389265210145</v>
      </c>
      <c r="N5057" t="str">
        <f>HYPERLINK("https://arizona.app.box.com/file/389153144795")</f>
        <v>https://arizona.app.box.com/file/389153144795</v>
      </c>
    </row>
    <row r="5058" spans="1:25" x14ac:dyDescent="0.2">
      <c r="A5058">
        <v>3124</v>
      </c>
      <c r="B5058" t="s">
        <v>9162</v>
      </c>
      <c r="C5058" t="s">
        <v>18</v>
      </c>
      <c r="D5058" t="s">
        <v>5293</v>
      </c>
      <c r="E5058" t="s">
        <v>381</v>
      </c>
      <c r="F5058" t="s">
        <v>31</v>
      </c>
      <c r="G5058" t="s">
        <v>24</v>
      </c>
      <c r="I5058" t="b">
        <v>1</v>
      </c>
      <c r="J5058" t="b">
        <v>1</v>
      </c>
      <c r="L5058" t="b">
        <v>1</v>
      </c>
      <c r="M5058" t="str">
        <f>HYPERLINK("https://arizona.app.box.com/file/386237161102")</f>
        <v>https://arizona.app.box.com/file/386237161102</v>
      </c>
    </row>
    <row r="5059" spans="1:25" x14ac:dyDescent="0.2">
      <c r="A5059">
        <v>3125</v>
      </c>
      <c r="B5059" t="s">
        <v>9162</v>
      </c>
      <c r="C5059" t="s">
        <v>18</v>
      </c>
      <c r="D5059" t="s">
        <v>9166</v>
      </c>
      <c r="E5059" t="s">
        <v>9167</v>
      </c>
      <c r="F5059" t="s">
        <v>31</v>
      </c>
      <c r="G5059" t="s">
        <v>24</v>
      </c>
      <c r="I5059" t="b">
        <v>0</v>
      </c>
      <c r="J5059" t="b">
        <v>0</v>
      </c>
      <c r="L5059" t="b">
        <v>0</v>
      </c>
    </row>
    <row r="5060" spans="1:25" x14ac:dyDescent="0.2">
      <c r="A5060">
        <v>3126</v>
      </c>
      <c r="B5060" t="s">
        <v>9162</v>
      </c>
      <c r="C5060" t="s">
        <v>18</v>
      </c>
      <c r="D5060" t="s">
        <v>9168</v>
      </c>
      <c r="E5060" t="s">
        <v>9169</v>
      </c>
      <c r="F5060" t="s">
        <v>31</v>
      </c>
      <c r="G5060" t="s">
        <v>24</v>
      </c>
      <c r="I5060" t="b">
        <v>0</v>
      </c>
      <c r="J5060" t="b">
        <v>0</v>
      </c>
      <c r="L5060" t="b">
        <v>0</v>
      </c>
      <c r="M5060" t="str">
        <f>HYPERLINK("https://arizona.app.box.com/file/386213550832")</f>
        <v>https://arizona.app.box.com/file/386213550832</v>
      </c>
      <c r="N5060" t="str">
        <f>HYPERLINK("https://arizona.app.box.com/file/386213573470")</f>
        <v>https://arizona.app.box.com/file/386213573470</v>
      </c>
    </row>
    <row r="5061" spans="1:25" x14ac:dyDescent="0.2">
      <c r="A5061">
        <v>3127</v>
      </c>
      <c r="B5061" t="s">
        <v>9162</v>
      </c>
      <c r="C5061" t="s">
        <v>18</v>
      </c>
      <c r="D5061" t="s">
        <v>9170</v>
      </c>
      <c r="E5061" t="s">
        <v>2705</v>
      </c>
      <c r="F5061" t="s">
        <v>151</v>
      </c>
      <c r="G5061" t="s">
        <v>24</v>
      </c>
      <c r="I5061" t="b">
        <v>0</v>
      </c>
      <c r="J5061" t="b">
        <v>0</v>
      </c>
      <c r="L5061" t="b">
        <v>0</v>
      </c>
      <c r="M5061" t="str">
        <f>HYPERLINK("https://arizona.app.box.com/file/389268065499")</f>
        <v>https://arizona.app.box.com/file/389268065499</v>
      </c>
    </row>
    <row r="5063" spans="1:25" x14ac:dyDescent="0.2">
      <c r="A5063" s="2">
        <v>7245</v>
      </c>
      <c r="B5063" s="2" t="s">
        <v>9171</v>
      </c>
      <c r="C5063" s="2" t="s">
        <v>13</v>
      </c>
      <c r="D5063" s="2" t="s">
        <v>3080</v>
      </c>
      <c r="E5063" s="2" t="s">
        <v>3081</v>
      </c>
      <c r="F5063" s="2" t="s">
        <v>151</v>
      </c>
      <c r="G5063" s="2" t="s">
        <v>24</v>
      </c>
      <c r="H5063" s="2"/>
      <c r="I5063" s="2"/>
      <c r="J5063" s="2"/>
      <c r="K5063" s="2"/>
      <c r="L5063" s="2"/>
      <c r="M5063" s="2"/>
      <c r="N5063" s="2"/>
      <c r="O5063" s="2"/>
      <c r="P5063" s="2"/>
      <c r="Q5063" s="2"/>
      <c r="R5063" s="2"/>
      <c r="S5063" s="2"/>
      <c r="T5063" s="2"/>
      <c r="U5063" s="2"/>
      <c r="V5063" s="2"/>
      <c r="W5063" s="2"/>
      <c r="X5063" s="2"/>
      <c r="Y5063" s="2"/>
    </row>
    <row r="5064" spans="1:25" x14ac:dyDescent="0.2">
      <c r="A5064">
        <v>7246</v>
      </c>
      <c r="B5064" t="s">
        <v>9171</v>
      </c>
      <c r="C5064" t="s">
        <v>18</v>
      </c>
      <c r="D5064" t="s">
        <v>3080</v>
      </c>
      <c r="E5064" t="s">
        <v>3081</v>
      </c>
      <c r="F5064" t="s">
        <v>151</v>
      </c>
      <c r="G5064" t="s">
        <v>24</v>
      </c>
      <c r="I5064" t="b">
        <v>1</v>
      </c>
      <c r="J5064" t="b">
        <v>1</v>
      </c>
      <c r="L5064" t="b">
        <v>1</v>
      </c>
      <c r="M5064" t="str">
        <f>HYPERLINK("https://arizona.app.box.com/file/386240102795")</f>
        <v>https://arizona.app.box.com/file/386240102795</v>
      </c>
      <c r="N5064" t="str">
        <f>HYPERLINK("https://arizona.app.box.com/file/386217060347")</f>
        <v>https://arizona.app.box.com/file/386217060347</v>
      </c>
    </row>
    <row r="5065" spans="1:25" x14ac:dyDescent="0.2">
      <c r="A5065">
        <v>7247</v>
      </c>
      <c r="B5065" t="s">
        <v>9171</v>
      </c>
      <c r="C5065" t="s">
        <v>18</v>
      </c>
      <c r="D5065" t="s">
        <v>3077</v>
      </c>
      <c r="E5065" t="s">
        <v>3078</v>
      </c>
      <c r="F5065" t="s">
        <v>151</v>
      </c>
      <c r="G5065" t="s">
        <v>24</v>
      </c>
      <c r="I5065" t="b">
        <v>0</v>
      </c>
      <c r="J5065" t="b">
        <v>0</v>
      </c>
      <c r="L5065" t="b">
        <v>0</v>
      </c>
      <c r="M5065" t="str">
        <f>HYPERLINK("https://arizona.app.box.com/file/386246396845")</f>
        <v>https://arizona.app.box.com/file/386246396845</v>
      </c>
    </row>
    <row r="5066" spans="1:25" x14ac:dyDescent="0.2">
      <c r="A5066">
        <v>7248</v>
      </c>
      <c r="B5066" t="s">
        <v>9171</v>
      </c>
      <c r="C5066" t="s">
        <v>18</v>
      </c>
      <c r="D5066" t="s">
        <v>3074</v>
      </c>
      <c r="E5066" t="s">
        <v>486</v>
      </c>
      <c r="F5066" t="s">
        <v>151</v>
      </c>
      <c r="G5066" t="s">
        <v>24</v>
      </c>
      <c r="I5066" t="b">
        <v>0</v>
      </c>
      <c r="J5066" t="b">
        <v>0</v>
      </c>
      <c r="L5066" t="b">
        <v>0</v>
      </c>
      <c r="M5066" t="str">
        <f>HYPERLINK("https://arizona.app.box.com/file/386214208293")</f>
        <v>https://arizona.app.box.com/file/386214208293</v>
      </c>
    </row>
    <row r="5067" spans="1:25" x14ac:dyDescent="0.2">
      <c r="A5067">
        <v>7249</v>
      </c>
      <c r="B5067" t="s">
        <v>9171</v>
      </c>
      <c r="C5067" t="s">
        <v>18</v>
      </c>
      <c r="D5067" t="s">
        <v>1248</v>
      </c>
      <c r="E5067" t="s">
        <v>1249</v>
      </c>
      <c r="F5067" t="s">
        <v>78</v>
      </c>
      <c r="G5067" t="s">
        <v>24</v>
      </c>
      <c r="I5067" t="b">
        <v>0</v>
      </c>
      <c r="J5067" t="b">
        <v>0</v>
      </c>
      <c r="L5067" t="b">
        <v>0</v>
      </c>
      <c r="M5067" t="str">
        <f>HYPERLINK("https://arizona.app.box.com/file/386239784114")</f>
        <v>https://arizona.app.box.com/file/386239784114</v>
      </c>
      <c r="N5067" t="str">
        <f>HYPERLINK("https://arizona.app.box.com/file/386234140318")</f>
        <v>https://arizona.app.box.com/file/386234140318</v>
      </c>
    </row>
    <row r="5068" spans="1:25" x14ac:dyDescent="0.2">
      <c r="A5068">
        <v>7250</v>
      </c>
      <c r="B5068" t="s">
        <v>9171</v>
      </c>
      <c r="C5068" t="s">
        <v>18</v>
      </c>
      <c r="D5068" t="s">
        <v>1244</v>
      </c>
      <c r="E5068" t="s">
        <v>1245</v>
      </c>
      <c r="F5068" t="s">
        <v>78</v>
      </c>
      <c r="G5068" t="s">
        <v>24</v>
      </c>
      <c r="I5068" t="b">
        <v>0</v>
      </c>
      <c r="J5068" t="b">
        <v>0</v>
      </c>
      <c r="L5068" t="b">
        <v>0</v>
      </c>
      <c r="M5068" t="str">
        <f>HYPERLINK("https://arizona.app.box.com/file/386245898845")</f>
        <v>https://arizona.app.box.com/file/386245898845</v>
      </c>
      <c r="N5068" t="str">
        <f>HYPERLINK("https://arizona.app.box.com/file/386242545060")</f>
        <v>https://arizona.app.box.com/file/386242545060</v>
      </c>
    </row>
    <row r="5070" spans="1:25" x14ac:dyDescent="0.2">
      <c r="A5070" s="2">
        <v>1918</v>
      </c>
      <c r="B5070" s="2" t="s">
        <v>9172</v>
      </c>
      <c r="C5070" s="2" t="s">
        <v>13</v>
      </c>
      <c r="D5070" s="2" t="s">
        <v>9173</v>
      </c>
      <c r="E5070" s="2" t="s">
        <v>9174</v>
      </c>
      <c r="F5070" s="2" t="s">
        <v>248</v>
      </c>
      <c r="G5070" s="2" t="s">
        <v>24</v>
      </c>
      <c r="H5070" s="2"/>
      <c r="I5070" s="2"/>
      <c r="J5070" s="2"/>
      <c r="K5070" s="2"/>
      <c r="L5070" s="2"/>
      <c r="M5070" s="2"/>
      <c r="N5070" s="2"/>
      <c r="O5070" s="2"/>
      <c r="P5070" s="2"/>
      <c r="Q5070" s="2"/>
      <c r="R5070" s="2"/>
      <c r="S5070" s="2"/>
      <c r="T5070" s="2"/>
      <c r="U5070" s="2"/>
      <c r="V5070" s="2"/>
      <c r="W5070" s="2"/>
      <c r="X5070" s="2"/>
      <c r="Y5070" s="2"/>
    </row>
    <row r="5071" spans="1:25" x14ac:dyDescent="0.2">
      <c r="A5071">
        <v>1919</v>
      </c>
      <c r="B5071" t="s">
        <v>9172</v>
      </c>
      <c r="C5071" t="s">
        <v>18</v>
      </c>
      <c r="D5071" t="s">
        <v>9175</v>
      </c>
      <c r="E5071" t="s">
        <v>9176</v>
      </c>
      <c r="F5071" t="s">
        <v>248</v>
      </c>
      <c r="G5071" t="s">
        <v>24</v>
      </c>
      <c r="I5071" t="b">
        <v>1</v>
      </c>
      <c r="J5071" t="b">
        <v>1</v>
      </c>
      <c r="L5071" t="b">
        <v>1</v>
      </c>
      <c r="M5071" t="str">
        <f>HYPERLINK("https://arizona.app.box.com/file/389167075673")</f>
        <v>https://arizona.app.box.com/file/389167075673</v>
      </c>
      <c r="N5071" t="str">
        <f>HYPERLINK("https://arizona.app.box.com/file/386238478303")</f>
        <v>https://arizona.app.box.com/file/386238478303</v>
      </c>
    </row>
    <row r="5072" spans="1:25" x14ac:dyDescent="0.2">
      <c r="A5072">
        <v>1920</v>
      </c>
      <c r="B5072" t="s">
        <v>9172</v>
      </c>
      <c r="C5072" t="s">
        <v>18</v>
      </c>
      <c r="D5072" t="s">
        <v>9177</v>
      </c>
      <c r="E5072" t="s">
        <v>7891</v>
      </c>
      <c r="F5072" t="s">
        <v>248</v>
      </c>
      <c r="G5072" t="s">
        <v>24</v>
      </c>
      <c r="I5072" t="b">
        <v>1</v>
      </c>
      <c r="J5072" t="b">
        <v>1</v>
      </c>
      <c r="L5072" t="b">
        <v>1</v>
      </c>
      <c r="M5072" t="str">
        <f>HYPERLINK("https://arizona.app.box.com/file/386227442063")</f>
        <v>https://arizona.app.box.com/file/386227442063</v>
      </c>
    </row>
    <row r="5073" spans="1:25" x14ac:dyDescent="0.2">
      <c r="A5073">
        <v>1921</v>
      </c>
      <c r="B5073" t="s">
        <v>9172</v>
      </c>
      <c r="C5073" t="s">
        <v>18</v>
      </c>
      <c r="D5073" t="s">
        <v>9178</v>
      </c>
      <c r="E5073" t="s">
        <v>9179</v>
      </c>
      <c r="F5073" t="s">
        <v>248</v>
      </c>
      <c r="G5073" t="s">
        <v>24</v>
      </c>
      <c r="I5073" t="b">
        <v>1</v>
      </c>
      <c r="J5073" t="b">
        <v>1</v>
      </c>
      <c r="L5073" t="b">
        <v>1</v>
      </c>
      <c r="M5073" t="str">
        <f>HYPERLINK("https://arizona.app.box.com/file/389152812707")</f>
        <v>https://arizona.app.box.com/file/389152812707</v>
      </c>
    </row>
    <row r="5074" spans="1:25" x14ac:dyDescent="0.2">
      <c r="A5074">
        <v>1922</v>
      </c>
      <c r="B5074" t="s">
        <v>9172</v>
      </c>
      <c r="C5074" t="s">
        <v>18</v>
      </c>
      <c r="D5074" t="s">
        <v>9180</v>
      </c>
      <c r="E5074" t="s">
        <v>9181</v>
      </c>
      <c r="F5074" t="s">
        <v>78</v>
      </c>
      <c r="G5074" t="s">
        <v>24</v>
      </c>
      <c r="I5074" t="b">
        <v>0</v>
      </c>
      <c r="J5074" t="b">
        <v>0</v>
      </c>
      <c r="L5074" t="b">
        <v>0</v>
      </c>
      <c r="M5074" t="str">
        <f>HYPERLINK("https://arizona.app.box.com/file/386238226702")</f>
        <v>https://arizona.app.box.com/file/386238226702</v>
      </c>
      <c r="N5074" t="str">
        <f>HYPERLINK("https://arizona.app.box.com/file/386240437289")</f>
        <v>https://arizona.app.box.com/file/386240437289</v>
      </c>
    </row>
    <row r="5075" spans="1:25" x14ac:dyDescent="0.2">
      <c r="A5075">
        <v>1923</v>
      </c>
      <c r="B5075" t="s">
        <v>9172</v>
      </c>
      <c r="C5075" t="s">
        <v>18</v>
      </c>
      <c r="D5075" t="s">
        <v>9182</v>
      </c>
      <c r="E5075" t="s">
        <v>9183</v>
      </c>
      <c r="F5075" t="s">
        <v>159</v>
      </c>
      <c r="G5075" t="s">
        <v>17</v>
      </c>
      <c r="I5075" t="b">
        <v>0</v>
      </c>
      <c r="J5075" t="b">
        <v>0</v>
      </c>
      <c r="L5075" t="b">
        <v>0</v>
      </c>
      <c r="M5075" t="str">
        <f>HYPERLINK("https://arizona.app.box.com/file/386251597824")</f>
        <v>https://arizona.app.box.com/file/386251597824</v>
      </c>
    </row>
    <row r="5077" spans="1:25" x14ac:dyDescent="0.2">
      <c r="A5077" s="2">
        <v>1400</v>
      </c>
      <c r="B5077" s="2" t="s">
        <v>9184</v>
      </c>
      <c r="C5077" s="2" t="s">
        <v>13</v>
      </c>
      <c r="D5077" s="2" t="s">
        <v>9185</v>
      </c>
      <c r="E5077" s="2" t="s">
        <v>9186</v>
      </c>
      <c r="F5077" s="2" t="s">
        <v>2924</v>
      </c>
      <c r="G5077" s="2" t="s">
        <v>1405</v>
      </c>
      <c r="H5077" s="2"/>
      <c r="I5077" s="2"/>
      <c r="J5077" s="2"/>
      <c r="K5077" s="2"/>
      <c r="L5077" s="2"/>
      <c r="M5077" s="2"/>
      <c r="N5077" s="2"/>
      <c r="O5077" s="2"/>
      <c r="P5077" s="2"/>
      <c r="Q5077" s="2"/>
      <c r="R5077" s="2"/>
      <c r="S5077" s="2"/>
      <c r="T5077" s="2"/>
      <c r="U5077" s="2"/>
      <c r="V5077" s="2"/>
      <c r="W5077" s="2"/>
      <c r="X5077" s="2"/>
      <c r="Y5077" s="2"/>
    </row>
    <row r="5078" spans="1:25" x14ac:dyDescent="0.2">
      <c r="A5078">
        <v>1401</v>
      </c>
      <c r="B5078" t="s">
        <v>9184</v>
      </c>
      <c r="C5078" t="s">
        <v>18</v>
      </c>
      <c r="D5078" t="s">
        <v>9187</v>
      </c>
      <c r="E5078" t="s">
        <v>1593</v>
      </c>
      <c r="F5078" t="s">
        <v>82</v>
      </c>
      <c r="G5078" t="s">
        <v>1406</v>
      </c>
      <c r="I5078" t="b">
        <v>1</v>
      </c>
      <c r="J5078" t="b">
        <v>0</v>
      </c>
      <c r="L5078" t="b">
        <v>1</v>
      </c>
      <c r="M5078" t="str">
        <f>HYPERLINK("https://arizona.app.box.com/file/389267180474")</f>
        <v>https://arizona.app.box.com/file/389267180474</v>
      </c>
    </row>
    <row r="5079" spans="1:25" x14ac:dyDescent="0.2">
      <c r="A5079">
        <v>1402</v>
      </c>
      <c r="B5079" t="s">
        <v>9184</v>
      </c>
      <c r="C5079" t="s">
        <v>18</v>
      </c>
      <c r="D5079" t="s">
        <v>9188</v>
      </c>
      <c r="E5079" t="s">
        <v>9189</v>
      </c>
      <c r="F5079" t="s">
        <v>168</v>
      </c>
      <c r="G5079" t="s">
        <v>1406</v>
      </c>
      <c r="I5079" t="b">
        <v>0</v>
      </c>
      <c r="J5079" t="b">
        <v>0</v>
      </c>
      <c r="L5079" t="b">
        <v>0</v>
      </c>
      <c r="M5079" t="str">
        <f>HYPERLINK("https://arizona.app.box.com/file/386242682802")</f>
        <v>https://arizona.app.box.com/file/386242682802</v>
      </c>
      <c r="N5079" t="str">
        <f>HYPERLINK("https://arizona.app.box.com/file/386247917497")</f>
        <v>https://arizona.app.box.com/file/386247917497</v>
      </c>
    </row>
    <row r="5080" spans="1:25" x14ac:dyDescent="0.2">
      <c r="A5080">
        <v>1403</v>
      </c>
      <c r="B5080" t="s">
        <v>9184</v>
      </c>
      <c r="C5080" t="s">
        <v>18</v>
      </c>
      <c r="D5080" t="s">
        <v>9190</v>
      </c>
      <c r="E5080" t="s">
        <v>9191</v>
      </c>
      <c r="F5080" t="s">
        <v>82</v>
      </c>
      <c r="G5080" t="s">
        <v>1406</v>
      </c>
      <c r="I5080" t="b">
        <v>0</v>
      </c>
      <c r="J5080" t="b">
        <v>0</v>
      </c>
      <c r="L5080" t="b">
        <v>0</v>
      </c>
    </row>
    <row r="5081" spans="1:25" x14ac:dyDescent="0.2">
      <c r="A5081">
        <v>1404</v>
      </c>
      <c r="B5081" t="s">
        <v>9184</v>
      </c>
      <c r="C5081" t="s">
        <v>18</v>
      </c>
      <c r="D5081" t="s">
        <v>7213</v>
      </c>
      <c r="E5081" t="s">
        <v>7214</v>
      </c>
      <c r="F5081" t="s">
        <v>82</v>
      </c>
      <c r="G5081" t="s">
        <v>32</v>
      </c>
      <c r="I5081" t="b">
        <v>0</v>
      </c>
      <c r="J5081" t="b">
        <v>0</v>
      </c>
      <c r="L5081" t="b">
        <v>0</v>
      </c>
    </row>
    <row r="5082" spans="1:25" x14ac:dyDescent="0.2">
      <c r="A5082">
        <v>1405</v>
      </c>
      <c r="B5082" t="s">
        <v>9184</v>
      </c>
      <c r="C5082" t="s">
        <v>18</v>
      </c>
      <c r="D5082" t="s">
        <v>9192</v>
      </c>
      <c r="E5082" t="s">
        <v>9193</v>
      </c>
      <c r="F5082" t="s">
        <v>82</v>
      </c>
      <c r="G5082" t="s">
        <v>32</v>
      </c>
      <c r="I5082" t="b">
        <v>0</v>
      </c>
      <c r="J5082" t="b">
        <v>0</v>
      </c>
      <c r="L5082" t="b">
        <v>0</v>
      </c>
    </row>
    <row r="5084" spans="1:25" x14ac:dyDescent="0.2">
      <c r="A5084" s="2">
        <v>6139</v>
      </c>
      <c r="B5084" s="2" t="s">
        <v>9194</v>
      </c>
      <c r="C5084" s="2" t="s">
        <v>13</v>
      </c>
      <c r="D5084" s="2" t="s">
        <v>9195</v>
      </c>
      <c r="E5084" s="2" t="s">
        <v>9196</v>
      </c>
      <c r="F5084" s="2" t="s">
        <v>1153</v>
      </c>
      <c r="G5084" s="2" t="s">
        <v>62</v>
      </c>
      <c r="H5084" s="2"/>
      <c r="I5084" s="2"/>
      <c r="J5084" s="2"/>
      <c r="K5084" s="2"/>
      <c r="L5084" s="2"/>
      <c r="M5084" s="2"/>
      <c r="N5084" s="2"/>
      <c r="O5084" s="2"/>
      <c r="P5084" s="2"/>
      <c r="Q5084" s="2"/>
      <c r="R5084" s="2"/>
      <c r="S5084" s="2"/>
      <c r="T5084" s="2"/>
      <c r="U5084" s="2"/>
      <c r="V5084" s="2"/>
      <c r="W5084" s="2"/>
      <c r="X5084" s="2"/>
      <c r="Y5084" s="2"/>
    </row>
    <row r="5085" spans="1:25" x14ac:dyDescent="0.2">
      <c r="A5085">
        <v>6140</v>
      </c>
      <c r="B5085" t="s">
        <v>9194</v>
      </c>
      <c r="C5085" t="s">
        <v>18</v>
      </c>
      <c r="D5085" t="s">
        <v>9195</v>
      </c>
      <c r="E5085" t="s">
        <v>4987</v>
      </c>
      <c r="F5085" t="s">
        <v>1153</v>
      </c>
      <c r="G5085" t="s">
        <v>62</v>
      </c>
      <c r="I5085" t="b">
        <v>1</v>
      </c>
      <c r="J5085" t="b">
        <v>1</v>
      </c>
      <c r="L5085" t="b">
        <v>1</v>
      </c>
      <c r="M5085" t="str">
        <f>HYPERLINK("https://arizona.app.box.com/file/389263463585")</f>
        <v>https://arizona.app.box.com/file/389263463585</v>
      </c>
    </row>
    <row r="5086" spans="1:25" x14ac:dyDescent="0.2">
      <c r="A5086">
        <v>6141</v>
      </c>
      <c r="B5086" t="s">
        <v>9194</v>
      </c>
      <c r="C5086" t="s">
        <v>18</v>
      </c>
      <c r="D5086" t="s">
        <v>9197</v>
      </c>
      <c r="E5086" t="s">
        <v>9198</v>
      </c>
      <c r="F5086" t="s">
        <v>1153</v>
      </c>
      <c r="G5086" t="s">
        <v>62</v>
      </c>
      <c r="I5086" t="b">
        <v>1</v>
      </c>
      <c r="J5086" t="b">
        <v>1</v>
      </c>
      <c r="L5086" t="b">
        <v>1</v>
      </c>
      <c r="M5086" t="str">
        <f>HYPERLINK("https://arizona.app.box.com/file/386240632125")</f>
        <v>https://arizona.app.box.com/file/386240632125</v>
      </c>
    </row>
    <row r="5087" spans="1:25" x14ac:dyDescent="0.2">
      <c r="A5087">
        <v>6142</v>
      </c>
      <c r="B5087" t="s">
        <v>9194</v>
      </c>
      <c r="C5087" t="s">
        <v>18</v>
      </c>
      <c r="D5087" t="s">
        <v>9199</v>
      </c>
      <c r="E5087" t="s">
        <v>9200</v>
      </c>
      <c r="F5087" t="s">
        <v>1153</v>
      </c>
      <c r="G5087" t="s">
        <v>62</v>
      </c>
      <c r="I5087" t="b">
        <v>1</v>
      </c>
      <c r="J5087" t="b">
        <v>1</v>
      </c>
      <c r="L5087" t="b">
        <v>1</v>
      </c>
      <c r="M5087" t="str">
        <f>HYPERLINK("https://arizona.app.box.com/file/386229689663")</f>
        <v>https://arizona.app.box.com/file/386229689663</v>
      </c>
    </row>
    <row r="5088" spans="1:25" x14ac:dyDescent="0.2">
      <c r="A5088">
        <v>6143</v>
      </c>
      <c r="B5088" t="s">
        <v>9194</v>
      </c>
      <c r="C5088" t="s">
        <v>18</v>
      </c>
      <c r="D5088" t="s">
        <v>9201</v>
      </c>
      <c r="E5088" t="s">
        <v>2325</v>
      </c>
      <c r="F5088" t="s">
        <v>1404</v>
      </c>
      <c r="G5088" t="s">
        <v>88</v>
      </c>
      <c r="I5088" t="b">
        <v>0</v>
      </c>
      <c r="J5088" t="b">
        <v>0</v>
      </c>
      <c r="L5088" t="b">
        <v>0</v>
      </c>
      <c r="M5088" t="str">
        <f>HYPERLINK("https://arizona.app.box.com/file/389175216292")</f>
        <v>https://arizona.app.box.com/file/389175216292</v>
      </c>
      <c r="N5088" t="str">
        <f>HYPERLINK("https://arizona.app.box.com/file/386239508572")</f>
        <v>https://arizona.app.box.com/file/386239508572</v>
      </c>
    </row>
    <row r="5089" spans="1:25" x14ac:dyDescent="0.2">
      <c r="A5089">
        <v>6144</v>
      </c>
      <c r="B5089" t="s">
        <v>9194</v>
      </c>
      <c r="C5089" t="s">
        <v>18</v>
      </c>
      <c r="D5089" t="s">
        <v>9202</v>
      </c>
      <c r="E5089" t="s">
        <v>939</v>
      </c>
      <c r="F5089" t="s">
        <v>1153</v>
      </c>
      <c r="G5089" t="s">
        <v>62</v>
      </c>
      <c r="I5089" t="b">
        <v>0</v>
      </c>
      <c r="J5089" t="b">
        <v>0</v>
      </c>
      <c r="L5089" t="b">
        <v>0</v>
      </c>
      <c r="M5089" t="str">
        <f>HYPERLINK("https://arizona.app.box.com/file/389179236058")</f>
        <v>https://arizona.app.box.com/file/389179236058</v>
      </c>
    </row>
    <row r="5091" spans="1:25" x14ac:dyDescent="0.2">
      <c r="A5091" s="2">
        <v>5572</v>
      </c>
      <c r="B5091" s="2" t="s">
        <v>9203</v>
      </c>
      <c r="C5091" s="2" t="s">
        <v>13</v>
      </c>
      <c r="D5091" s="2" t="s">
        <v>8342</v>
      </c>
      <c r="E5091" s="2" t="s">
        <v>8343</v>
      </c>
      <c r="F5091" s="2" t="s">
        <v>2924</v>
      </c>
      <c r="G5091" s="2" t="s">
        <v>6854</v>
      </c>
      <c r="H5091" s="2"/>
      <c r="I5091" s="2"/>
      <c r="J5091" s="2"/>
      <c r="K5091" s="2"/>
      <c r="L5091" s="2"/>
      <c r="M5091" s="2"/>
      <c r="N5091" s="2"/>
      <c r="O5091" s="2"/>
      <c r="P5091" s="2"/>
      <c r="Q5091" s="2"/>
      <c r="R5091" s="2"/>
      <c r="S5091" s="2"/>
      <c r="T5091" s="2"/>
      <c r="U5091" s="2"/>
      <c r="V5091" s="2"/>
      <c r="W5091" s="2"/>
      <c r="X5091" s="2"/>
      <c r="Y5091" s="2"/>
    </row>
    <row r="5092" spans="1:25" x14ac:dyDescent="0.2">
      <c r="A5092">
        <v>5573</v>
      </c>
      <c r="B5092" t="s">
        <v>9203</v>
      </c>
      <c r="C5092" t="s">
        <v>18</v>
      </c>
      <c r="D5092" t="s">
        <v>8342</v>
      </c>
      <c r="E5092" t="s">
        <v>8343</v>
      </c>
      <c r="F5092" t="s">
        <v>82</v>
      </c>
      <c r="G5092" t="s">
        <v>6854</v>
      </c>
      <c r="I5092" t="b">
        <v>1</v>
      </c>
      <c r="J5092" t="b">
        <v>1</v>
      </c>
      <c r="L5092" t="b">
        <v>1</v>
      </c>
      <c r="M5092" t="str">
        <f>HYPERLINK("https://arizona.app.box.com/file/386241478596")</f>
        <v>https://arizona.app.box.com/file/386241478596</v>
      </c>
      <c r="N5092" t="str">
        <f>HYPERLINK("https://arizona.app.box.com/file/386241812645")</f>
        <v>https://arizona.app.box.com/file/386241812645</v>
      </c>
    </row>
    <row r="5093" spans="1:25" x14ac:dyDescent="0.2">
      <c r="A5093">
        <v>5574</v>
      </c>
      <c r="B5093" t="s">
        <v>9203</v>
      </c>
      <c r="C5093" t="s">
        <v>18</v>
      </c>
      <c r="D5093" t="s">
        <v>8344</v>
      </c>
      <c r="E5093" t="s">
        <v>8345</v>
      </c>
      <c r="F5093" t="s">
        <v>82</v>
      </c>
      <c r="G5093" t="s">
        <v>6854</v>
      </c>
      <c r="I5093" t="b">
        <v>1</v>
      </c>
      <c r="J5093" t="b">
        <v>1</v>
      </c>
      <c r="L5093" t="b">
        <v>1</v>
      </c>
    </row>
    <row r="5094" spans="1:25" x14ac:dyDescent="0.2">
      <c r="A5094">
        <v>5575</v>
      </c>
      <c r="B5094" t="s">
        <v>9203</v>
      </c>
      <c r="C5094" t="s">
        <v>18</v>
      </c>
      <c r="D5094" t="s">
        <v>9204</v>
      </c>
      <c r="E5094" t="s">
        <v>9205</v>
      </c>
      <c r="F5094" t="s">
        <v>82</v>
      </c>
      <c r="G5094" t="s">
        <v>6854</v>
      </c>
      <c r="I5094" t="b">
        <v>0</v>
      </c>
      <c r="J5094" t="b">
        <v>0</v>
      </c>
      <c r="L5094" t="b">
        <v>0</v>
      </c>
      <c r="M5094" t="str">
        <f>HYPERLINK("https://arizona.app.box.com/file/386242732060")</f>
        <v>https://arizona.app.box.com/file/386242732060</v>
      </c>
      <c r="N5094" t="str">
        <f>HYPERLINK("https://arizona.app.box.com/file/386243241078")</f>
        <v>https://arizona.app.box.com/file/386243241078</v>
      </c>
      <c r="O5094" t="str">
        <f>HYPERLINK("https://arizona.app.box.com/file/389255226515")</f>
        <v>https://arizona.app.box.com/file/389255226515</v>
      </c>
      <c r="P5094" t="str">
        <f>HYPERLINK("https://arizona.app.box.com/file/389137813733")</f>
        <v>https://arizona.app.box.com/file/389137813733</v>
      </c>
    </row>
    <row r="5095" spans="1:25" x14ac:dyDescent="0.2">
      <c r="A5095">
        <v>5576</v>
      </c>
      <c r="B5095" t="s">
        <v>9203</v>
      </c>
      <c r="C5095" t="s">
        <v>18</v>
      </c>
      <c r="D5095" t="s">
        <v>9206</v>
      </c>
      <c r="E5095" t="s">
        <v>4796</v>
      </c>
      <c r="F5095" t="s">
        <v>82</v>
      </c>
      <c r="G5095" t="s">
        <v>6854</v>
      </c>
      <c r="I5095" t="b">
        <v>0</v>
      </c>
      <c r="J5095" t="b">
        <v>0</v>
      </c>
      <c r="L5095" t="b">
        <v>0</v>
      </c>
      <c r="M5095" t="str">
        <f>HYPERLINK("https://arizona.app.box.com/file/386240148462")</f>
        <v>https://arizona.app.box.com/file/386240148462</v>
      </c>
    </row>
    <row r="5096" spans="1:25" x14ac:dyDescent="0.2">
      <c r="A5096">
        <v>5577</v>
      </c>
      <c r="B5096" t="s">
        <v>9203</v>
      </c>
      <c r="C5096" t="s">
        <v>18</v>
      </c>
      <c r="D5096" t="s">
        <v>9207</v>
      </c>
      <c r="E5096" t="s">
        <v>9208</v>
      </c>
      <c r="F5096" t="s">
        <v>82</v>
      </c>
      <c r="G5096" t="s">
        <v>6854</v>
      </c>
      <c r="I5096" t="b">
        <v>0</v>
      </c>
      <c r="J5096" t="b">
        <v>0</v>
      </c>
      <c r="L5096" t="b">
        <v>0</v>
      </c>
    </row>
    <row r="5098" spans="1:25" x14ac:dyDescent="0.2">
      <c r="A5098" s="2">
        <v>2604</v>
      </c>
      <c r="B5098" s="2" t="s">
        <v>9209</v>
      </c>
      <c r="C5098" s="2" t="s">
        <v>13</v>
      </c>
      <c r="D5098" s="2" t="s">
        <v>6911</v>
      </c>
      <c r="E5098" s="2" t="s">
        <v>9210</v>
      </c>
      <c r="F5098" s="2" t="s">
        <v>45</v>
      </c>
      <c r="G5098" s="2" t="s">
        <v>17</v>
      </c>
      <c r="H5098" s="2"/>
      <c r="I5098" s="2"/>
      <c r="J5098" s="2"/>
      <c r="K5098" s="2"/>
      <c r="L5098" s="2"/>
      <c r="M5098" s="2"/>
      <c r="N5098" s="2"/>
      <c r="O5098" s="2"/>
      <c r="P5098" s="2"/>
      <c r="Q5098" s="2"/>
      <c r="R5098" s="2"/>
      <c r="S5098" s="2"/>
      <c r="T5098" s="2"/>
      <c r="U5098" s="2"/>
      <c r="V5098" s="2"/>
      <c r="W5098" s="2"/>
      <c r="X5098" s="2"/>
      <c r="Y5098" s="2"/>
    </row>
    <row r="5099" spans="1:25" x14ac:dyDescent="0.2">
      <c r="A5099">
        <v>2605</v>
      </c>
      <c r="B5099" t="s">
        <v>9209</v>
      </c>
      <c r="C5099" t="s">
        <v>18</v>
      </c>
      <c r="D5099" t="s">
        <v>6911</v>
      </c>
      <c r="E5099" t="s">
        <v>2424</v>
      </c>
      <c r="F5099" t="s">
        <v>45</v>
      </c>
      <c r="G5099" t="s">
        <v>17</v>
      </c>
      <c r="I5099" t="b">
        <v>1</v>
      </c>
      <c r="J5099" t="b">
        <v>1</v>
      </c>
      <c r="L5099" t="b">
        <v>1</v>
      </c>
      <c r="M5099" t="str">
        <f>HYPERLINK("https://arizona.app.box.com/file/389262826761")</f>
        <v>https://arizona.app.box.com/file/389262826761</v>
      </c>
    </row>
    <row r="5100" spans="1:25" x14ac:dyDescent="0.2">
      <c r="A5100">
        <v>2606</v>
      </c>
      <c r="B5100" t="s">
        <v>9209</v>
      </c>
      <c r="C5100" t="s">
        <v>18</v>
      </c>
      <c r="D5100" t="s">
        <v>9211</v>
      </c>
      <c r="E5100" t="s">
        <v>9212</v>
      </c>
      <c r="F5100" t="s">
        <v>45</v>
      </c>
      <c r="G5100" t="s">
        <v>17</v>
      </c>
      <c r="I5100" t="b">
        <v>1</v>
      </c>
      <c r="J5100" t="b">
        <v>1</v>
      </c>
      <c r="L5100" t="b">
        <v>1</v>
      </c>
      <c r="M5100" t="str">
        <f>HYPERLINK("https://arizona.app.box.com/file/389145826117")</f>
        <v>https://arizona.app.box.com/file/389145826117</v>
      </c>
    </row>
    <row r="5101" spans="1:25" x14ac:dyDescent="0.2">
      <c r="A5101">
        <v>2607</v>
      </c>
      <c r="B5101" t="s">
        <v>9209</v>
      </c>
      <c r="C5101" t="s">
        <v>18</v>
      </c>
      <c r="D5101" t="s">
        <v>663</v>
      </c>
      <c r="E5101" t="s">
        <v>664</v>
      </c>
      <c r="F5101" t="s">
        <v>78</v>
      </c>
      <c r="G5101" t="s">
        <v>17</v>
      </c>
      <c r="I5101" t="b">
        <v>0</v>
      </c>
      <c r="J5101" t="b">
        <v>0</v>
      </c>
      <c r="L5101" t="b">
        <v>0</v>
      </c>
      <c r="M5101" t="str">
        <f>HYPERLINK("https://arizona.app.box.com/file/389266248328")</f>
        <v>https://arizona.app.box.com/file/389266248328</v>
      </c>
      <c r="N5101" t="str">
        <f>HYPERLINK("https://arizona.app.box.com/file/389138391869")</f>
        <v>https://arizona.app.box.com/file/389138391869</v>
      </c>
      <c r="O5101" t="str">
        <f>HYPERLINK("https://arizona.app.box.com/file/389261561102")</f>
        <v>https://arizona.app.box.com/file/389261561102</v>
      </c>
    </row>
    <row r="5102" spans="1:25" x14ac:dyDescent="0.2">
      <c r="A5102">
        <v>2608</v>
      </c>
      <c r="B5102" t="s">
        <v>9209</v>
      </c>
      <c r="C5102" t="s">
        <v>18</v>
      </c>
      <c r="D5102" t="s">
        <v>2639</v>
      </c>
      <c r="E5102" t="s">
        <v>2640</v>
      </c>
      <c r="F5102" t="s">
        <v>670</v>
      </c>
      <c r="G5102" t="s">
        <v>17</v>
      </c>
      <c r="I5102" t="b">
        <v>0</v>
      </c>
      <c r="J5102" t="b">
        <v>0</v>
      </c>
      <c r="L5102" t="b">
        <v>0</v>
      </c>
    </row>
    <row r="5103" spans="1:25" x14ac:dyDescent="0.2">
      <c r="A5103">
        <v>2609</v>
      </c>
      <c r="B5103" t="s">
        <v>9209</v>
      </c>
      <c r="C5103" t="s">
        <v>18</v>
      </c>
      <c r="D5103" t="s">
        <v>668</v>
      </c>
      <c r="E5103" t="s">
        <v>669</v>
      </c>
      <c r="F5103" t="s">
        <v>670</v>
      </c>
      <c r="G5103" t="s">
        <v>17</v>
      </c>
      <c r="I5103" t="b">
        <v>0</v>
      </c>
      <c r="J5103" t="b">
        <v>0</v>
      </c>
      <c r="L5103" t="b">
        <v>0</v>
      </c>
      <c r="M5103" t="str">
        <f>HYPERLINK("https://arizona.app.box.com/file/389258487959")</f>
        <v>https://arizona.app.box.com/file/389258487959</v>
      </c>
      <c r="N5103" t="str">
        <f>HYPERLINK("https://arizona.app.box.com/file/389151919044")</f>
        <v>https://arizona.app.box.com/file/389151919044</v>
      </c>
    </row>
    <row r="5105" spans="1:25" x14ac:dyDescent="0.2">
      <c r="A5105" s="2">
        <v>1015</v>
      </c>
      <c r="B5105" s="2" t="s">
        <v>9213</v>
      </c>
      <c r="C5105" s="2" t="s">
        <v>13</v>
      </c>
      <c r="D5105" s="2" t="s">
        <v>2150</v>
      </c>
      <c r="E5105" s="2" t="s">
        <v>2151</v>
      </c>
      <c r="F5105" s="2" t="s">
        <v>654</v>
      </c>
      <c r="G5105" s="2" t="s">
        <v>252</v>
      </c>
      <c r="H5105" s="2"/>
      <c r="I5105" s="2"/>
      <c r="J5105" s="2"/>
      <c r="K5105" s="2"/>
      <c r="L5105" s="2"/>
      <c r="M5105" s="2"/>
      <c r="N5105" s="2"/>
      <c r="O5105" s="2"/>
      <c r="P5105" s="2"/>
      <c r="Q5105" s="2"/>
      <c r="R5105" s="2"/>
      <c r="S5105" s="2"/>
      <c r="T5105" s="2"/>
      <c r="U5105" s="2"/>
      <c r="V5105" s="2"/>
      <c r="W5105" s="2"/>
      <c r="X5105" s="2"/>
      <c r="Y5105" s="2"/>
    </row>
    <row r="5106" spans="1:25" x14ac:dyDescent="0.2">
      <c r="A5106">
        <v>1016</v>
      </c>
      <c r="B5106" t="s">
        <v>9213</v>
      </c>
      <c r="C5106" t="s">
        <v>18</v>
      </c>
      <c r="D5106" t="s">
        <v>2150</v>
      </c>
      <c r="E5106" t="s">
        <v>2151</v>
      </c>
      <c r="F5106" t="s">
        <v>654</v>
      </c>
      <c r="G5106" t="s">
        <v>252</v>
      </c>
      <c r="I5106" t="b">
        <v>1</v>
      </c>
      <c r="J5106" t="b">
        <v>1</v>
      </c>
      <c r="L5106" t="b">
        <v>1</v>
      </c>
      <c r="M5106" t="str">
        <f>HYPERLINK("https://arizona.app.box.com/file/386242308049")</f>
        <v>https://arizona.app.box.com/file/386242308049</v>
      </c>
      <c r="N5106" t="str">
        <f>HYPERLINK("https://arizona.app.box.com/file/386230942772")</f>
        <v>https://arizona.app.box.com/file/386230942772</v>
      </c>
    </row>
    <row r="5107" spans="1:25" x14ac:dyDescent="0.2">
      <c r="A5107">
        <v>1017</v>
      </c>
      <c r="B5107" t="s">
        <v>9213</v>
      </c>
      <c r="C5107" t="s">
        <v>18</v>
      </c>
      <c r="D5107" t="s">
        <v>2144</v>
      </c>
      <c r="E5107" t="s">
        <v>2145</v>
      </c>
      <c r="F5107" t="s">
        <v>654</v>
      </c>
      <c r="G5107" t="s">
        <v>252</v>
      </c>
      <c r="I5107" t="b">
        <v>0</v>
      </c>
      <c r="J5107" t="b">
        <v>0</v>
      </c>
      <c r="L5107" t="b">
        <v>0</v>
      </c>
      <c r="M5107" t="str">
        <f>HYPERLINK("https://arizona.app.box.com/file/389265803078")</f>
        <v>https://arizona.app.box.com/file/389265803078</v>
      </c>
      <c r="N5107" t="str">
        <f>HYPERLINK("https://arizona.app.box.com/file/389167567266")</f>
        <v>https://arizona.app.box.com/file/389167567266</v>
      </c>
      <c r="O5107" t="str">
        <f>HYPERLINK("https://arizona.app.box.com/file/389173365009")</f>
        <v>https://arizona.app.box.com/file/389173365009</v>
      </c>
      <c r="P5107" t="str">
        <f>HYPERLINK("https://arizona.app.box.com/file/386237809513")</f>
        <v>https://arizona.app.box.com/file/386237809513</v>
      </c>
    </row>
    <row r="5108" spans="1:25" x14ac:dyDescent="0.2">
      <c r="A5108">
        <v>1018</v>
      </c>
      <c r="B5108" t="s">
        <v>9213</v>
      </c>
      <c r="C5108" t="s">
        <v>18</v>
      </c>
      <c r="D5108" t="s">
        <v>2154</v>
      </c>
      <c r="E5108" t="s">
        <v>2155</v>
      </c>
      <c r="F5108" t="s">
        <v>205</v>
      </c>
      <c r="G5108" t="s">
        <v>252</v>
      </c>
      <c r="I5108" t="b">
        <v>0</v>
      </c>
      <c r="J5108" t="b">
        <v>0</v>
      </c>
      <c r="L5108" t="b">
        <v>0</v>
      </c>
      <c r="M5108" t="str">
        <f>HYPERLINK("https://arizona.app.box.com/file/389264959828")</f>
        <v>https://arizona.app.box.com/file/389264959828</v>
      </c>
    </row>
    <row r="5109" spans="1:25" x14ac:dyDescent="0.2">
      <c r="A5109">
        <v>1019</v>
      </c>
      <c r="B5109" t="s">
        <v>9213</v>
      </c>
      <c r="C5109" t="s">
        <v>18</v>
      </c>
      <c r="D5109" t="s">
        <v>2157</v>
      </c>
      <c r="E5109" t="s">
        <v>2158</v>
      </c>
      <c r="F5109" t="s">
        <v>2159</v>
      </c>
      <c r="G5109" t="s">
        <v>252</v>
      </c>
      <c r="I5109" t="b">
        <v>0</v>
      </c>
      <c r="J5109" t="b">
        <v>0</v>
      </c>
      <c r="L5109" t="b">
        <v>0</v>
      </c>
      <c r="M5109" t="str">
        <f>HYPERLINK("https://arizona.app.box.com/file/389264627975")</f>
        <v>https://arizona.app.box.com/file/389264627975</v>
      </c>
      <c r="N5109" t="str">
        <f>HYPERLINK("https://arizona.app.box.com/file/389138370839")</f>
        <v>https://arizona.app.box.com/file/389138370839</v>
      </c>
      <c r="O5109" t="str">
        <f>HYPERLINK("https://arizona.app.box.com/file/389170972288")</f>
        <v>https://arizona.app.box.com/file/389170972288</v>
      </c>
      <c r="P5109" t="str">
        <f>HYPERLINK("https://arizona.app.box.com/file/386217537215")</f>
        <v>https://arizona.app.box.com/file/386217537215</v>
      </c>
    </row>
    <row r="5110" spans="1:25" x14ac:dyDescent="0.2">
      <c r="A5110">
        <v>1020</v>
      </c>
      <c r="B5110" t="s">
        <v>9213</v>
      </c>
      <c r="C5110" t="s">
        <v>18</v>
      </c>
      <c r="D5110" t="s">
        <v>2164</v>
      </c>
      <c r="E5110" t="s">
        <v>2165</v>
      </c>
      <c r="F5110" t="s">
        <v>596</v>
      </c>
      <c r="G5110" t="s">
        <v>252</v>
      </c>
      <c r="I5110" t="b">
        <v>0</v>
      </c>
      <c r="J5110" t="b">
        <v>0</v>
      </c>
      <c r="L5110" t="b">
        <v>0</v>
      </c>
    </row>
    <row r="5112" spans="1:25" x14ac:dyDescent="0.2">
      <c r="A5112" s="2">
        <v>3241</v>
      </c>
      <c r="B5112" s="2" t="s">
        <v>9214</v>
      </c>
      <c r="C5112" s="2" t="s">
        <v>13</v>
      </c>
      <c r="D5112" s="2" t="s">
        <v>1184</v>
      </c>
      <c r="E5112" s="2" t="s">
        <v>9215</v>
      </c>
      <c r="F5112" s="2" t="s">
        <v>369</v>
      </c>
      <c r="G5112" s="2" t="s">
        <v>62</v>
      </c>
      <c r="H5112" s="2"/>
      <c r="I5112" s="2"/>
      <c r="J5112" s="2"/>
      <c r="K5112" s="2"/>
      <c r="L5112" s="2"/>
      <c r="M5112" s="2"/>
      <c r="N5112" s="2"/>
      <c r="O5112" s="2"/>
      <c r="P5112" s="2"/>
      <c r="Q5112" s="2"/>
      <c r="R5112" s="2"/>
      <c r="S5112" s="2"/>
      <c r="T5112" s="2"/>
      <c r="U5112" s="2"/>
      <c r="V5112" s="2"/>
      <c r="W5112" s="2"/>
      <c r="X5112" s="2"/>
      <c r="Y5112" s="2"/>
    </row>
    <row r="5113" spans="1:25" x14ac:dyDescent="0.2">
      <c r="A5113">
        <v>3242</v>
      </c>
      <c r="B5113" t="s">
        <v>9214</v>
      </c>
      <c r="C5113" t="s">
        <v>18</v>
      </c>
      <c r="D5113" t="s">
        <v>1184</v>
      </c>
      <c r="E5113" t="s">
        <v>1185</v>
      </c>
      <c r="F5113" t="s">
        <v>369</v>
      </c>
      <c r="G5113" t="s">
        <v>62</v>
      </c>
      <c r="I5113" t="b">
        <v>1</v>
      </c>
      <c r="J5113" t="b">
        <v>1</v>
      </c>
      <c r="L5113" t="b">
        <v>1</v>
      </c>
      <c r="M5113" t="str">
        <f>HYPERLINK("https://arizona.app.box.com/file/389174534283")</f>
        <v>https://arizona.app.box.com/file/389174534283</v>
      </c>
      <c r="N5113" t="str">
        <f>HYPERLINK("https://arizona.app.box.com/file/386240803271")</f>
        <v>https://arizona.app.box.com/file/386240803271</v>
      </c>
    </row>
    <row r="5114" spans="1:25" x14ac:dyDescent="0.2">
      <c r="A5114">
        <v>3243</v>
      </c>
      <c r="B5114" t="s">
        <v>9214</v>
      </c>
      <c r="C5114" t="s">
        <v>18</v>
      </c>
      <c r="D5114" t="s">
        <v>9216</v>
      </c>
      <c r="E5114" t="s">
        <v>9217</v>
      </c>
      <c r="F5114" t="s">
        <v>369</v>
      </c>
      <c r="G5114" t="s">
        <v>62</v>
      </c>
      <c r="I5114" t="b">
        <v>1</v>
      </c>
      <c r="J5114" t="b">
        <v>1</v>
      </c>
      <c r="L5114" t="b">
        <v>1</v>
      </c>
      <c r="M5114" t="str">
        <f>HYPERLINK("https://arizona.app.box.com/file/389266464337")</f>
        <v>https://arizona.app.box.com/file/389266464337</v>
      </c>
      <c r="N5114" t="str">
        <f>HYPERLINK("https://arizona.app.box.com/file/389162532618")</f>
        <v>https://arizona.app.box.com/file/389162532618</v>
      </c>
    </row>
    <row r="5115" spans="1:25" x14ac:dyDescent="0.2">
      <c r="A5115">
        <v>3244</v>
      </c>
      <c r="B5115" t="s">
        <v>9214</v>
      </c>
      <c r="C5115" t="s">
        <v>18</v>
      </c>
      <c r="D5115" t="s">
        <v>6252</v>
      </c>
      <c r="E5115" t="s">
        <v>6253</v>
      </c>
      <c r="F5115" t="s">
        <v>369</v>
      </c>
      <c r="G5115" t="s">
        <v>62</v>
      </c>
      <c r="I5115" t="b">
        <v>1</v>
      </c>
      <c r="J5115" t="b">
        <v>1</v>
      </c>
      <c r="L5115" t="b">
        <v>1</v>
      </c>
      <c r="M5115" t="str">
        <f>HYPERLINK("https://arizona.app.box.com/file/386218348189")</f>
        <v>https://arizona.app.box.com/file/386218348189</v>
      </c>
    </row>
    <row r="5116" spans="1:25" x14ac:dyDescent="0.2">
      <c r="A5116">
        <v>3245</v>
      </c>
      <c r="B5116" t="s">
        <v>9214</v>
      </c>
      <c r="C5116" t="s">
        <v>18</v>
      </c>
      <c r="D5116" t="s">
        <v>1179</v>
      </c>
      <c r="E5116" t="s">
        <v>1181</v>
      </c>
      <c r="F5116" t="s">
        <v>654</v>
      </c>
      <c r="G5116" t="s">
        <v>62</v>
      </c>
      <c r="I5116" t="b">
        <v>0</v>
      </c>
      <c r="J5116" t="b">
        <v>0</v>
      </c>
      <c r="L5116" t="b">
        <v>0</v>
      </c>
      <c r="M5116" t="str">
        <f>HYPERLINK("https://arizona.app.box.com/file/389171865781")</f>
        <v>https://arizona.app.box.com/file/389171865781</v>
      </c>
      <c r="N5116" t="str">
        <f>HYPERLINK("https://arizona.app.box.com/file/386226213378")</f>
        <v>https://arizona.app.box.com/file/386226213378</v>
      </c>
    </row>
    <row r="5117" spans="1:25" x14ac:dyDescent="0.2">
      <c r="A5117">
        <v>3246</v>
      </c>
      <c r="B5117" t="s">
        <v>9214</v>
      </c>
      <c r="C5117" t="s">
        <v>18</v>
      </c>
      <c r="D5117" t="s">
        <v>9218</v>
      </c>
      <c r="E5117" t="s">
        <v>9219</v>
      </c>
      <c r="F5117" t="s">
        <v>510</v>
      </c>
      <c r="G5117" t="s">
        <v>62</v>
      </c>
      <c r="I5117" t="b">
        <v>0</v>
      </c>
      <c r="J5117" t="b">
        <v>0</v>
      </c>
      <c r="L5117" t="b">
        <v>0</v>
      </c>
      <c r="M5117" t="str">
        <f>HYPERLINK("https://arizona.app.box.com/file/389262275035")</f>
        <v>https://arizona.app.box.com/file/389262275035</v>
      </c>
      <c r="N5117" t="str">
        <f>HYPERLINK("https://arizona.app.box.com/file/389162438527")</f>
        <v>https://arizona.app.box.com/file/389162438527</v>
      </c>
    </row>
    <row r="5119" spans="1:25" x14ac:dyDescent="0.2">
      <c r="A5119" s="2">
        <v>2184</v>
      </c>
      <c r="B5119" s="2" t="s">
        <v>9220</v>
      </c>
      <c r="C5119" s="2" t="s">
        <v>13</v>
      </c>
      <c r="D5119" s="2" t="s">
        <v>3645</v>
      </c>
      <c r="E5119" s="2" t="s">
        <v>3646</v>
      </c>
      <c r="F5119" s="2" t="s">
        <v>144</v>
      </c>
      <c r="G5119" s="2" t="s">
        <v>252</v>
      </c>
      <c r="H5119" s="2"/>
      <c r="I5119" s="2"/>
      <c r="J5119" s="2"/>
      <c r="K5119" s="2"/>
      <c r="L5119" s="2"/>
      <c r="M5119" s="2"/>
      <c r="N5119" s="2"/>
      <c r="O5119" s="2"/>
      <c r="P5119" s="2"/>
      <c r="Q5119" s="2"/>
      <c r="R5119" s="2"/>
      <c r="S5119" s="2"/>
      <c r="T5119" s="2"/>
      <c r="U5119" s="2"/>
      <c r="V5119" s="2"/>
      <c r="W5119" s="2"/>
      <c r="X5119" s="2"/>
      <c r="Y5119" s="2"/>
    </row>
    <row r="5120" spans="1:25" x14ac:dyDescent="0.2">
      <c r="A5120">
        <v>2185</v>
      </c>
      <c r="B5120" t="s">
        <v>9220</v>
      </c>
      <c r="C5120" t="s">
        <v>18</v>
      </c>
      <c r="D5120" t="s">
        <v>3645</v>
      </c>
      <c r="E5120" t="s">
        <v>3646</v>
      </c>
      <c r="F5120" t="s">
        <v>144</v>
      </c>
      <c r="G5120" t="s">
        <v>252</v>
      </c>
      <c r="I5120" t="b">
        <v>1</v>
      </c>
      <c r="J5120" t="b">
        <v>1</v>
      </c>
      <c r="L5120" t="b">
        <v>1</v>
      </c>
      <c r="M5120" t="str">
        <f>HYPERLINK("https://arizona.app.box.com/file/389169635047")</f>
        <v>https://arizona.app.box.com/file/389169635047</v>
      </c>
      <c r="N5120" t="str">
        <f>HYPERLINK("https://arizona.app.box.com/file/386236897236")</f>
        <v>https://arizona.app.box.com/file/386236897236</v>
      </c>
      <c r="O5120" t="str">
        <f>HYPERLINK("https://arizona.app.box.com/file/389164532975")</f>
        <v>https://arizona.app.box.com/file/389164532975</v>
      </c>
      <c r="P5120" t="str">
        <f>HYPERLINK("https://arizona.app.box.com/file/386241544711")</f>
        <v>https://arizona.app.box.com/file/386241544711</v>
      </c>
    </row>
    <row r="5121" spans="1:25" x14ac:dyDescent="0.2">
      <c r="A5121">
        <v>2186</v>
      </c>
      <c r="B5121" t="s">
        <v>9220</v>
      </c>
      <c r="C5121" t="s">
        <v>18</v>
      </c>
      <c r="D5121" t="s">
        <v>9221</v>
      </c>
      <c r="E5121" t="s">
        <v>7695</v>
      </c>
      <c r="F5121" t="s">
        <v>159</v>
      </c>
      <c r="G5121" t="s">
        <v>252</v>
      </c>
      <c r="I5121" t="b">
        <v>0</v>
      </c>
      <c r="J5121" t="b">
        <v>0</v>
      </c>
      <c r="L5121" t="b">
        <v>0</v>
      </c>
      <c r="M5121" t="str">
        <f>HYPERLINK("https://arizona.app.box.com/file/389165243325")</f>
        <v>https://arizona.app.box.com/file/389165243325</v>
      </c>
      <c r="N5121" t="str">
        <f>HYPERLINK("https://arizona.app.box.com/file/386237636209")</f>
        <v>https://arizona.app.box.com/file/386237636209</v>
      </c>
    </row>
    <row r="5122" spans="1:25" x14ac:dyDescent="0.2">
      <c r="A5122">
        <v>2187</v>
      </c>
      <c r="B5122" t="s">
        <v>9220</v>
      </c>
      <c r="C5122" t="s">
        <v>18</v>
      </c>
      <c r="D5122" t="s">
        <v>3048</v>
      </c>
      <c r="E5122" t="s">
        <v>3049</v>
      </c>
      <c r="F5122" t="s">
        <v>144</v>
      </c>
      <c r="G5122" t="s">
        <v>252</v>
      </c>
      <c r="I5122" t="b">
        <v>0</v>
      </c>
      <c r="J5122" t="b">
        <v>0</v>
      </c>
      <c r="L5122" t="b">
        <v>0</v>
      </c>
      <c r="M5122" t="str">
        <f>HYPERLINK("https://arizona.app.box.com/file/389255431912")</f>
        <v>https://arizona.app.box.com/file/389255431912</v>
      </c>
      <c r="N5122" t="str">
        <f>HYPERLINK("https://arizona.app.box.com/file/389152012289")</f>
        <v>https://arizona.app.box.com/file/389152012289</v>
      </c>
    </row>
    <row r="5123" spans="1:25" x14ac:dyDescent="0.2">
      <c r="A5123">
        <v>2188</v>
      </c>
      <c r="B5123" t="s">
        <v>9220</v>
      </c>
      <c r="C5123" t="s">
        <v>18</v>
      </c>
      <c r="D5123" t="s">
        <v>3052</v>
      </c>
      <c r="E5123" t="s">
        <v>3053</v>
      </c>
      <c r="F5123" t="s">
        <v>144</v>
      </c>
      <c r="G5123" t="s">
        <v>252</v>
      </c>
      <c r="I5123" t="b">
        <v>0</v>
      </c>
      <c r="J5123" t="b">
        <v>0</v>
      </c>
      <c r="L5123" t="b">
        <v>0</v>
      </c>
      <c r="M5123" t="str">
        <f>HYPERLINK("https://arizona.app.box.com/file/389168433404")</f>
        <v>https://arizona.app.box.com/file/389168433404</v>
      </c>
    </row>
    <row r="5124" spans="1:25" x14ac:dyDescent="0.2">
      <c r="A5124">
        <v>2189</v>
      </c>
      <c r="B5124" t="s">
        <v>9220</v>
      </c>
      <c r="C5124" t="s">
        <v>18</v>
      </c>
      <c r="D5124" t="s">
        <v>7894</v>
      </c>
      <c r="E5124" t="s">
        <v>1316</v>
      </c>
      <c r="F5124" t="s">
        <v>420</v>
      </c>
      <c r="G5124" t="s">
        <v>252</v>
      </c>
      <c r="I5124" t="b">
        <v>0</v>
      </c>
      <c r="J5124" t="b">
        <v>0</v>
      </c>
      <c r="L5124" t="b">
        <v>0</v>
      </c>
      <c r="M5124" t="str">
        <f>HYPERLINK("https://arizona.app.box.com/file/389261666484")</f>
        <v>https://arizona.app.box.com/file/389261666484</v>
      </c>
      <c r="N5124" t="str">
        <f>HYPERLINK("https://arizona.app.box.com/file/389151965495")</f>
        <v>https://arizona.app.box.com/file/389151965495</v>
      </c>
    </row>
    <row r="5126" spans="1:25" x14ac:dyDescent="0.2">
      <c r="A5126" s="2">
        <v>2786</v>
      </c>
      <c r="B5126" s="2" t="s">
        <v>9222</v>
      </c>
      <c r="C5126" s="2" t="s">
        <v>13</v>
      </c>
      <c r="D5126" s="2" t="s">
        <v>9223</v>
      </c>
      <c r="E5126" s="2" t="s">
        <v>2936</v>
      </c>
      <c r="F5126" s="2" t="s">
        <v>2924</v>
      </c>
      <c r="G5126" s="2" t="s">
        <v>2925</v>
      </c>
      <c r="H5126" s="2"/>
      <c r="I5126" s="2"/>
      <c r="J5126" s="2"/>
      <c r="K5126" s="2"/>
      <c r="L5126" s="2"/>
      <c r="M5126" s="2"/>
      <c r="N5126" s="2"/>
      <c r="O5126" s="2"/>
      <c r="P5126" s="2"/>
      <c r="Q5126" s="2"/>
      <c r="R5126" s="2"/>
      <c r="S5126" s="2"/>
      <c r="T5126" s="2"/>
      <c r="U5126" s="2"/>
      <c r="V5126" s="2"/>
      <c r="W5126" s="2"/>
      <c r="X5126" s="2"/>
      <c r="Y5126" s="2"/>
    </row>
    <row r="5127" spans="1:25" x14ac:dyDescent="0.2">
      <c r="A5127">
        <v>2787</v>
      </c>
      <c r="B5127" t="s">
        <v>9222</v>
      </c>
      <c r="C5127" t="s">
        <v>18</v>
      </c>
      <c r="D5127" t="s">
        <v>9224</v>
      </c>
      <c r="E5127" t="s">
        <v>4180</v>
      </c>
      <c r="F5127" t="s">
        <v>9225</v>
      </c>
      <c r="G5127" t="s">
        <v>2925</v>
      </c>
      <c r="I5127" t="b">
        <v>0</v>
      </c>
      <c r="J5127" t="b">
        <v>0</v>
      </c>
      <c r="L5127" t="b">
        <v>0</v>
      </c>
      <c r="M5127" t="str">
        <f>HYPERLINK("https://arizona.app.box.com/file/389168706051")</f>
        <v>https://arizona.app.box.com/file/389168706051</v>
      </c>
      <c r="N5127" t="str">
        <f>HYPERLINK("https://arizona.app.box.com/file/386239261602")</f>
        <v>https://arizona.app.box.com/file/386239261602</v>
      </c>
    </row>
    <row r="5128" spans="1:25" x14ac:dyDescent="0.2">
      <c r="A5128">
        <v>2788</v>
      </c>
      <c r="B5128" t="s">
        <v>9222</v>
      </c>
      <c r="C5128" t="s">
        <v>18</v>
      </c>
      <c r="D5128" t="s">
        <v>2935</v>
      </c>
      <c r="E5128" t="s">
        <v>2936</v>
      </c>
      <c r="F5128" t="s">
        <v>82</v>
      </c>
      <c r="G5128" t="s">
        <v>2925</v>
      </c>
      <c r="I5128" t="b">
        <v>1</v>
      </c>
      <c r="J5128" t="b">
        <v>1</v>
      </c>
      <c r="L5128" t="b">
        <v>1</v>
      </c>
      <c r="M5128" t="str">
        <f>HYPERLINK("https://arizona.app.box.com/file/386256854340")</f>
        <v>https://arizona.app.box.com/file/386256854340</v>
      </c>
      <c r="N5128" t="str">
        <f>HYPERLINK("https://arizona.app.box.com/file/386241113911")</f>
        <v>https://arizona.app.box.com/file/386241113911</v>
      </c>
    </row>
    <row r="5129" spans="1:25" x14ac:dyDescent="0.2">
      <c r="A5129">
        <v>2789</v>
      </c>
      <c r="B5129" t="s">
        <v>9222</v>
      </c>
      <c r="C5129" t="s">
        <v>18</v>
      </c>
      <c r="D5129" t="s">
        <v>2929</v>
      </c>
      <c r="E5129" t="s">
        <v>982</v>
      </c>
      <c r="F5129" t="s">
        <v>82</v>
      </c>
      <c r="G5129" t="s">
        <v>2925</v>
      </c>
      <c r="I5129" t="b">
        <v>0</v>
      </c>
      <c r="J5129" t="b">
        <v>0</v>
      </c>
      <c r="L5129" t="b">
        <v>0</v>
      </c>
      <c r="M5129" t="str">
        <f>HYPERLINK("https://arizona.app.box.com/file/386243204243")</f>
        <v>https://arizona.app.box.com/file/386243204243</v>
      </c>
    </row>
    <row r="5130" spans="1:25" x14ac:dyDescent="0.2">
      <c r="A5130">
        <v>2790</v>
      </c>
      <c r="B5130" t="s">
        <v>9222</v>
      </c>
      <c r="C5130" t="s">
        <v>18</v>
      </c>
      <c r="D5130" t="s">
        <v>9226</v>
      </c>
      <c r="E5130" t="s">
        <v>9227</v>
      </c>
      <c r="F5130" t="s">
        <v>82</v>
      </c>
      <c r="G5130" t="s">
        <v>2278</v>
      </c>
      <c r="I5130" t="b">
        <v>0</v>
      </c>
      <c r="J5130" t="b">
        <v>0</v>
      </c>
      <c r="L5130" t="b">
        <v>0</v>
      </c>
    </row>
    <row r="5131" spans="1:25" x14ac:dyDescent="0.2">
      <c r="A5131">
        <v>2791</v>
      </c>
      <c r="B5131" t="s">
        <v>9222</v>
      </c>
      <c r="C5131" t="s">
        <v>18</v>
      </c>
      <c r="D5131" t="s">
        <v>9228</v>
      </c>
      <c r="E5131" t="s">
        <v>9229</v>
      </c>
      <c r="F5131" t="s">
        <v>82</v>
      </c>
      <c r="G5131" t="s">
        <v>2278</v>
      </c>
      <c r="I5131" t="b">
        <v>0</v>
      </c>
      <c r="J5131" t="b">
        <v>0</v>
      </c>
      <c r="L5131" t="b">
        <v>0</v>
      </c>
    </row>
    <row r="5133" spans="1:25" x14ac:dyDescent="0.2">
      <c r="A5133" s="2">
        <v>4942</v>
      </c>
      <c r="B5133" s="2" t="s">
        <v>9230</v>
      </c>
      <c r="C5133" s="2" t="s">
        <v>13</v>
      </c>
      <c r="D5133" s="2" t="s">
        <v>9231</v>
      </c>
      <c r="E5133" s="2" t="s">
        <v>1764</v>
      </c>
      <c r="F5133" s="2" t="s">
        <v>78</v>
      </c>
      <c r="G5133" s="2" t="s">
        <v>1752</v>
      </c>
      <c r="H5133" s="2"/>
      <c r="I5133" s="2"/>
      <c r="J5133" s="2"/>
      <c r="K5133" s="2"/>
      <c r="L5133" s="2"/>
      <c r="M5133" s="2"/>
      <c r="N5133" s="2"/>
      <c r="O5133" s="2"/>
      <c r="P5133" s="2"/>
      <c r="Q5133" s="2"/>
      <c r="R5133" s="2"/>
      <c r="S5133" s="2"/>
      <c r="T5133" s="2"/>
      <c r="U5133" s="2"/>
      <c r="V5133" s="2"/>
      <c r="W5133" s="2"/>
      <c r="X5133" s="2"/>
      <c r="Y5133" s="2"/>
    </row>
    <row r="5134" spans="1:25" x14ac:dyDescent="0.2">
      <c r="A5134">
        <v>4943</v>
      </c>
      <c r="B5134" t="s">
        <v>9230</v>
      </c>
      <c r="C5134" t="s">
        <v>18</v>
      </c>
      <c r="D5134" t="s">
        <v>1763</v>
      </c>
      <c r="E5134" t="s">
        <v>1764</v>
      </c>
      <c r="F5134" t="s">
        <v>78</v>
      </c>
      <c r="G5134" t="s">
        <v>917</v>
      </c>
      <c r="I5134" t="b">
        <v>1</v>
      </c>
      <c r="J5134" t="b">
        <v>1</v>
      </c>
      <c r="L5134" t="b">
        <v>1</v>
      </c>
      <c r="M5134" t="str">
        <f>HYPERLINK("https://arizona.app.box.com/file/386245140110")</f>
        <v>https://arizona.app.box.com/file/386245140110</v>
      </c>
      <c r="N5134" t="str">
        <f>HYPERLINK("https://arizona.app.box.com/file/386216775615")</f>
        <v>https://arizona.app.box.com/file/386216775615</v>
      </c>
    </row>
    <row r="5135" spans="1:25" x14ac:dyDescent="0.2">
      <c r="A5135">
        <v>4944</v>
      </c>
      <c r="B5135" t="s">
        <v>9230</v>
      </c>
      <c r="C5135" t="s">
        <v>18</v>
      </c>
      <c r="D5135" t="s">
        <v>1760</v>
      </c>
      <c r="E5135" t="s">
        <v>1608</v>
      </c>
      <c r="F5135" t="s">
        <v>78</v>
      </c>
      <c r="G5135" t="s">
        <v>917</v>
      </c>
      <c r="I5135" t="b">
        <v>0</v>
      </c>
      <c r="J5135" t="b">
        <v>0</v>
      </c>
      <c r="L5135" t="b">
        <v>0</v>
      </c>
      <c r="M5135" t="str">
        <f>HYPERLINK("https://arizona.app.box.com/file/389266673178")</f>
        <v>https://arizona.app.box.com/file/389266673178</v>
      </c>
      <c r="N5135" t="str">
        <f>HYPERLINK("https://arizona.app.box.com/file/389138262839")</f>
        <v>https://arizona.app.box.com/file/389138262839</v>
      </c>
    </row>
    <row r="5136" spans="1:25" x14ac:dyDescent="0.2">
      <c r="A5136">
        <v>4945</v>
      </c>
      <c r="B5136" t="s">
        <v>9230</v>
      </c>
      <c r="C5136" t="s">
        <v>18</v>
      </c>
      <c r="D5136" t="s">
        <v>1750</v>
      </c>
      <c r="E5136" t="s">
        <v>1751</v>
      </c>
      <c r="F5136" t="s">
        <v>78</v>
      </c>
      <c r="G5136" t="s">
        <v>917</v>
      </c>
      <c r="I5136" t="b">
        <v>0</v>
      </c>
      <c r="J5136" t="b">
        <v>0</v>
      </c>
      <c r="L5136" t="b">
        <v>0</v>
      </c>
      <c r="M5136" t="str">
        <f>HYPERLINK("https://arizona.app.box.com/file/389163500984")</f>
        <v>https://arizona.app.box.com/file/389163500984</v>
      </c>
      <c r="N5136" t="str">
        <f>HYPERLINK("https://arizona.app.box.com/file/386216552746")</f>
        <v>https://arizona.app.box.com/file/386216552746</v>
      </c>
      <c r="O5136" t="str">
        <f>HYPERLINK("https://arizona.app.box.com/file/386215347199")</f>
        <v>https://arizona.app.box.com/file/386215347199</v>
      </c>
    </row>
    <row r="5137" spans="1:25" x14ac:dyDescent="0.2">
      <c r="A5137">
        <v>4946</v>
      </c>
      <c r="B5137" t="s">
        <v>9230</v>
      </c>
      <c r="C5137" t="s">
        <v>18</v>
      </c>
      <c r="D5137" t="s">
        <v>8004</v>
      </c>
      <c r="E5137" t="s">
        <v>8005</v>
      </c>
      <c r="F5137" t="s">
        <v>78</v>
      </c>
      <c r="G5137" t="s">
        <v>8006</v>
      </c>
      <c r="I5137" t="b">
        <v>0</v>
      </c>
      <c r="J5137" t="b">
        <v>0</v>
      </c>
      <c r="L5137" t="b">
        <v>0</v>
      </c>
      <c r="M5137" t="str">
        <f>HYPERLINK("https://arizona.app.box.com/file/386253735571")</f>
        <v>https://arizona.app.box.com/file/386253735571</v>
      </c>
      <c r="N5137" t="str">
        <f>HYPERLINK("https://arizona.app.box.com/file/386247577832")</f>
        <v>https://arizona.app.box.com/file/386247577832</v>
      </c>
    </row>
    <row r="5138" spans="1:25" x14ac:dyDescent="0.2">
      <c r="A5138">
        <v>4947</v>
      </c>
      <c r="B5138" t="s">
        <v>9230</v>
      </c>
      <c r="C5138" t="s">
        <v>18</v>
      </c>
      <c r="D5138" t="s">
        <v>9232</v>
      </c>
      <c r="E5138" t="s">
        <v>1608</v>
      </c>
      <c r="F5138" t="s">
        <v>78</v>
      </c>
      <c r="G5138" t="s">
        <v>917</v>
      </c>
      <c r="I5138" t="b">
        <v>0</v>
      </c>
      <c r="J5138" t="b">
        <v>0</v>
      </c>
      <c r="L5138" t="b">
        <v>0</v>
      </c>
    </row>
    <row r="5140" spans="1:25" x14ac:dyDescent="0.2">
      <c r="A5140" s="2">
        <v>1701</v>
      </c>
      <c r="B5140" s="2" t="s">
        <v>9233</v>
      </c>
      <c r="C5140" s="2" t="s">
        <v>13</v>
      </c>
      <c r="D5140" s="2" t="s">
        <v>8530</v>
      </c>
      <c r="E5140" s="2" t="s">
        <v>8531</v>
      </c>
      <c r="F5140" s="2" t="s">
        <v>2924</v>
      </c>
      <c r="G5140" s="2" t="s">
        <v>8528</v>
      </c>
      <c r="H5140" s="2"/>
      <c r="I5140" s="2"/>
      <c r="J5140" s="2"/>
      <c r="K5140" s="2"/>
      <c r="L5140" s="2"/>
      <c r="M5140" s="2"/>
      <c r="N5140" s="2"/>
      <c r="O5140" s="2"/>
      <c r="P5140" s="2"/>
      <c r="Q5140" s="2"/>
      <c r="R5140" s="2"/>
      <c r="S5140" s="2"/>
      <c r="T5140" s="2"/>
      <c r="U5140" s="2"/>
      <c r="V5140" s="2"/>
      <c r="W5140" s="2"/>
      <c r="X5140" s="2"/>
      <c r="Y5140" s="2"/>
    </row>
    <row r="5141" spans="1:25" x14ac:dyDescent="0.2">
      <c r="A5141">
        <v>1702</v>
      </c>
      <c r="B5141" t="s">
        <v>9233</v>
      </c>
      <c r="C5141" t="s">
        <v>18</v>
      </c>
      <c r="D5141" t="s">
        <v>8530</v>
      </c>
      <c r="E5141" t="s">
        <v>8531</v>
      </c>
      <c r="F5141" t="s">
        <v>82</v>
      </c>
      <c r="G5141" t="s">
        <v>8528</v>
      </c>
      <c r="I5141" t="b">
        <v>1</v>
      </c>
      <c r="J5141" t="b">
        <v>1</v>
      </c>
      <c r="L5141" t="b">
        <v>1</v>
      </c>
      <c r="M5141" t="str">
        <f>HYPERLINK("https://arizona.app.box.com/file/389256137017")</f>
        <v>https://arizona.app.box.com/file/389256137017</v>
      </c>
      <c r="N5141" t="str">
        <f>HYPERLINK("https://arizona.app.box.com/file/389159129676")</f>
        <v>https://arizona.app.box.com/file/389159129676</v>
      </c>
      <c r="O5141" t="str">
        <f>HYPERLINK("https://arizona.app.box.com/file/386241113911")</f>
        <v>https://arizona.app.box.com/file/386241113911</v>
      </c>
    </row>
    <row r="5142" spans="1:25" x14ac:dyDescent="0.2">
      <c r="A5142">
        <v>1703</v>
      </c>
      <c r="B5142" t="s">
        <v>9233</v>
      </c>
      <c r="C5142" t="s">
        <v>18</v>
      </c>
      <c r="D5142" t="s">
        <v>9234</v>
      </c>
      <c r="E5142" t="s">
        <v>9235</v>
      </c>
      <c r="F5142" t="s">
        <v>82</v>
      </c>
      <c r="G5142" t="s">
        <v>8528</v>
      </c>
      <c r="I5142" t="b">
        <v>0</v>
      </c>
      <c r="J5142" t="b">
        <v>1</v>
      </c>
      <c r="L5142" t="b">
        <v>0</v>
      </c>
    </row>
    <row r="5143" spans="1:25" x14ac:dyDescent="0.2">
      <c r="A5143">
        <v>1704</v>
      </c>
      <c r="B5143" t="s">
        <v>9233</v>
      </c>
      <c r="C5143" t="s">
        <v>18</v>
      </c>
      <c r="D5143" t="s">
        <v>8529</v>
      </c>
      <c r="E5143" t="s">
        <v>4688</v>
      </c>
      <c r="F5143" t="s">
        <v>82</v>
      </c>
      <c r="G5143" t="s">
        <v>771</v>
      </c>
      <c r="I5143" t="b">
        <v>0</v>
      </c>
      <c r="J5143" t="b">
        <v>0</v>
      </c>
      <c r="L5143" t="b">
        <v>0</v>
      </c>
      <c r="M5143" t="str">
        <f>HYPERLINK("https://arizona.app.box.com/file/389262257184")</f>
        <v>https://arizona.app.box.com/file/389262257184</v>
      </c>
    </row>
    <row r="5144" spans="1:25" x14ac:dyDescent="0.2">
      <c r="A5144">
        <v>1705</v>
      </c>
      <c r="B5144" t="s">
        <v>9233</v>
      </c>
      <c r="C5144" t="s">
        <v>18</v>
      </c>
      <c r="D5144" t="s">
        <v>8532</v>
      </c>
      <c r="E5144" t="s">
        <v>8533</v>
      </c>
      <c r="F5144" t="s">
        <v>82</v>
      </c>
      <c r="G5144" t="s">
        <v>8528</v>
      </c>
      <c r="I5144" t="b">
        <v>0</v>
      </c>
      <c r="J5144" t="b">
        <v>0</v>
      </c>
      <c r="L5144" t="b">
        <v>0</v>
      </c>
      <c r="M5144" t="str">
        <f>HYPERLINK("https://arizona.app.box.com/file/386241839269")</f>
        <v>https://arizona.app.box.com/file/386241839269</v>
      </c>
    </row>
    <row r="5145" spans="1:25" x14ac:dyDescent="0.2">
      <c r="A5145">
        <v>1706</v>
      </c>
      <c r="B5145" t="s">
        <v>9233</v>
      </c>
      <c r="C5145" t="s">
        <v>18</v>
      </c>
      <c r="D5145" t="s">
        <v>8534</v>
      </c>
      <c r="E5145" t="s">
        <v>2780</v>
      </c>
      <c r="F5145" t="s">
        <v>82</v>
      </c>
      <c r="G5145" t="s">
        <v>8528</v>
      </c>
      <c r="I5145" t="b">
        <v>0</v>
      </c>
      <c r="J5145" t="b">
        <v>0</v>
      </c>
      <c r="L5145" t="b">
        <v>0</v>
      </c>
      <c r="M5145" t="str">
        <f>HYPERLINK("https://arizona.app.box.com/file/386213864858")</f>
        <v>https://arizona.app.box.com/file/386213864858</v>
      </c>
    </row>
    <row r="5147" spans="1:25" x14ac:dyDescent="0.2">
      <c r="A5147" s="2">
        <v>2401</v>
      </c>
      <c r="B5147" s="2" t="s">
        <v>9236</v>
      </c>
      <c r="C5147" s="2" t="s">
        <v>13</v>
      </c>
      <c r="D5147" s="2" t="s">
        <v>9237</v>
      </c>
      <c r="E5147" s="2" t="s">
        <v>9238</v>
      </c>
      <c r="F5147" s="2" t="s">
        <v>31</v>
      </c>
      <c r="G5147" s="2" t="s">
        <v>17</v>
      </c>
      <c r="H5147" s="2"/>
      <c r="I5147" s="2"/>
      <c r="J5147" s="2"/>
      <c r="K5147" s="2"/>
      <c r="L5147" s="2"/>
      <c r="M5147" s="2"/>
      <c r="N5147" s="2"/>
      <c r="O5147" s="2"/>
      <c r="P5147" s="2"/>
      <c r="Q5147" s="2"/>
      <c r="R5147" s="2"/>
      <c r="S5147" s="2"/>
      <c r="T5147" s="2"/>
      <c r="U5147" s="2"/>
      <c r="V5147" s="2"/>
      <c r="W5147" s="2"/>
      <c r="X5147" s="2"/>
      <c r="Y5147" s="2"/>
    </row>
    <row r="5148" spans="1:25" x14ac:dyDescent="0.2">
      <c r="A5148">
        <v>2402</v>
      </c>
      <c r="B5148" t="s">
        <v>9236</v>
      </c>
      <c r="C5148" t="s">
        <v>18</v>
      </c>
      <c r="D5148" t="s">
        <v>9237</v>
      </c>
      <c r="E5148" t="s">
        <v>1789</v>
      </c>
      <c r="F5148" t="s">
        <v>31</v>
      </c>
      <c r="G5148" t="s">
        <v>17</v>
      </c>
      <c r="I5148" t="b">
        <v>1</v>
      </c>
      <c r="J5148" t="b">
        <v>1</v>
      </c>
      <c r="L5148" t="b">
        <v>1</v>
      </c>
      <c r="M5148" t="str">
        <f>HYPERLINK("https://arizona.app.box.com/file/389172180676")</f>
        <v>https://arizona.app.box.com/file/389172180676</v>
      </c>
      <c r="N5148" t="str">
        <f>HYPERLINK("https://arizona.app.box.com/file/386226115155")</f>
        <v>https://arizona.app.box.com/file/386226115155</v>
      </c>
    </row>
    <row r="5149" spans="1:25" x14ac:dyDescent="0.2">
      <c r="A5149">
        <v>2403</v>
      </c>
      <c r="B5149" t="s">
        <v>9236</v>
      </c>
      <c r="C5149" t="s">
        <v>18</v>
      </c>
      <c r="D5149" t="s">
        <v>555</v>
      </c>
      <c r="E5149" t="s">
        <v>556</v>
      </c>
      <c r="F5149" t="s">
        <v>78</v>
      </c>
      <c r="G5149" t="s">
        <v>17</v>
      </c>
      <c r="I5149" t="b">
        <v>0</v>
      </c>
      <c r="J5149" t="b">
        <v>0</v>
      </c>
      <c r="L5149" t="b">
        <v>0</v>
      </c>
      <c r="M5149" t="str">
        <f>HYPERLINK("https://arizona.app.box.com/file/389263138828")</f>
        <v>https://arizona.app.box.com/file/389263138828</v>
      </c>
    </row>
    <row r="5150" spans="1:25" x14ac:dyDescent="0.2">
      <c r="A5150">
        <v>2404</v>
      </c>
      <c r="B5150" t="s">
        <v>9236</v>
      </c>
      <c r="C5150" t="s">
        <v>18</v>
      </c>
      <c r="D5150" t="s">
        <v>547</v>
      </c>
      <c r="E5150" t="s">
        <v>548</v>
      </c>
      <c r="F5150" t="s">
        <v>78</v>
      </c>
      <c r="G5150" t="s">
        <v>17</v>
      </c>
      <c r="I5150" t="b">
        <v>0</v>
      </c>
      <c r="J5150" t="b">
        <v>0</v>
      </c>
      <c r="L5150" t="b">
        <v>0</v>
      </c>
      <c r="M5150" t="str">
        <f>HYPERLINK("https://arizona.app.box.com/file/389267170499")</f>
        <v>https://arizona.app.box.com/file/389267170499</v>
      </c>
      <c r="N5150" t="str">
        <f>HYPERLINK("https://arizona.app.box.com/file/389265433672")</f>
        <v>https://arizona.app.box.com/file/389265433672</v>
      </c>
      <c r="O5150" t="str">
        <f>HYPERLINK("https://arizona.app.box.com/file/389152970720")</f>
        <v>https://arizona.app.box.com/file/389152970720</v>
      </c>
    </row>
    <row r="5151" spans="1:25" x14ac:dyDescent="0.2">
      <c r="A5151">
        <v>2405</v>
      </c>
      <c r="B5151" t="s">
        <v>9236</v>
      </c>
      <c r="C5151" t="s">
        <v>18</v>
      </c>
      <c r="D5151" t="s">
        <v>552</v>
      </c>
      <c r="E5151" t="s">
        <v>553</v>
      </c>
      <c r="F5151" t="s">
        <v>174</v>
      </c>
      <c r="G5151" t="s">
        <v>17</v>
      </c>
      <c r="I5151" t="b">
        <v>0</v>
      </c>
      <c r="J5151" t="b">
        <v>0</v>
      </c>
      <c r="L5151" t="b">
        <v>0</v>
      </c>
      <c r="M5151" t="str">
        <f>HYPERLINK("https://arizona.app.box.com/file/389266797751")</f>
        <v>https://arizona.app.box.com/file/389266797751</v>
      </c>
    </row>
    <row r="5152" spans="1:25" x14ac:dyDescent="0.2">
      <c r="A5152">
        <v>2406</v>
      </c>
      <c r="B5152" t="s">
        <v>9236</v>
      </c>
      <c r="C5152" t="s">
        <v>18</v>
      </c>
      <c r="D5152" t="s">
        <v>1368</v>
      </c>
      <c r="E5152" t="s">
        <v>1369</v>
      </c>
      <c r="F5152" t="s">
        <v>174</v>
      </c>
      <c r="G5152" t="s">
        <v>17</v>
      </c>
      <c r="I5152" t="b">
        <v>0</v>
      </c>
      <c r="J5152" t="b">
        <v>0</v>
      </c>
      <c r="L5152" t="b">
        <v>0</v>
      </c>
      <c r="M5152" t="str">
        <f>HYPERLINK("https://arizona.app.box.com/file/389259852256")</f>
        <v>https://arizona.app.box.com/file/389259852256</v>
      </c>
      <c r="N5152" t="str">
        <f>HYPERLINK("https://arizona.app.box.com/file/389151932186")</f>
        <v>https://arizona.app.box.com/file/389151932186</v>
      </c>
      <c r="O5152" t="str">
        <f>HYPERLINK("https://arizona.app.box.com/file/386241113911")</f>
        <v>https://arizona.app.box.com/file/386241113911</v>
      </c>
    </row>
    <row r="5154" spans="1:25" x14ac:dyDescent="0.2">
      <c r="A5154" s="2">
        <v>679</v>
      </c>
      <c r="B5154" s="2" t="s">
        <v>9239</v>
      </c>
      <c r="C5154" s="2" t="s">
        <v>13</v>
      </c>
      <c r="D5154" s="2" t="s">
        <v>9240</v>
      </c>
      <c r="E5154" s="2" t="s">
        <v>9241</v>
      </c>
      <c r="F5154" s="2" t="s">
        <v>670</v>
      </c>
      <c r="G5154" s="2" t="s">
        <v>17</v>
      </c>
      <c r="H5154" s="2"/>
      <c r="I5154" s="2"/>
      <c r="J5154" s="2"/>
      <c r="K5154" s="2"/>
      <c r="L5154" s="2"/>
      <c r="M5154" s="2"/>
      <c r="N5154" s="2"/>
      <c r="O5154" s="2"/>
      <c r="P5154" s="2"/>
      <c r="Q5154" s="2"/>
      <c r="R5154" s="2"/>
      <c r="S5154" s="2"/>
      <c r="T5154" s="2"/>
      <c r="U5154" s="2"/>
      <c r="V5154" s="2"/>
      <c r="W5154" s="2"/>
      <c r="X5154" s="2"/>
      <c r="Y5154" s="2"/>
    </row>
    <row r="5155" spans="1:25" x14ac:dyDescent="0.2">
      <c r="A5155">
        <v>680</v>
      </c>
      <c r="B5155" t="s">
        <v>9239</v>
      </c>
      <c r="C5155" t="s">
        <v>18</v>
      </c>
      <c r="D5155" t="s">
        <v>9240</v>
      </c>
      <c r="E5155" t="s">
        <v>9242</v>
      </c>
      <c r="F5155" t="s">
        <v>670</v>
      </c>
      <c r="G5155" t="s">
        <v>17</v>
      </c>
      <c r="I5155" t="b">
        <v>1</v>
      </c>
      <c r="J5155" t="b">
        <v>1</v>
      </c>
      <c r="L5155" t="b">
        <v>1</v>
      </c>
      <c r="M5155" t="str">
        <f>HYPERLINK("https://arizona.app.box.com/file/389267156505")</f>
        <v>https://arizona.app.box.com/file/389267156505</v>
      </c>
      <c r="N5155" t="str">
        <f>HYPERLINK("https://arizona.app.box.com/file/389165305182")</f>
        <v>https://arizona.app.box.com/file/389165305182</v>
      </c>
    </row>
    <row r="5156" spans="1:25" x14ac:dyDescent="0.2">
      <c r="A5156">
        <v>681</v>
      </c>
      <c r="B5156" t="s">
        <v>9239</v>
      </c>
      <c r="C5156" t="s">
        <v>18</v>
      </c>
      <c r="D5156" t="s">
        <v>3847</v>
      </c>
      <c r="E5156" t="s">
        <v>3848</v>
      </c>
      <c r="F5156" t="s">
        <v>670</v>
      </c>
      <c r="G5156" t="s">
        <v>17</v>
      </c>
      <c r="I5156" t="b">
        <v>1</v>
      </c>
      <c r="J5156" t="b">
        <v>1</v>
      </c>
      <c r="L5156" t="b">
        <v>1</v>
      </c>
      <c r="M5156" t="str">
        <f>HYPERLINK("https://arizona.app.box.com/file/389261786885")</f>
        <v>https://arizona.app.box.com/file/389261786885</v>
      </c>
      <c r="N5156" t="str">
        <f>HYPERLINK("https://arizona.app.box.com/file/389151290859")</f>
        <v>https://arizona.app.box.com/file/389151290859</v>
      </c>
    </row>
    <row r="5157" spans="1:25" x14ac:dyDescent="0.2">
      <c r="A5157">
        <v>682</v>
      </c>
      <c r="B5157" t="s">
        <v>9239</v>
      </c>
      <c r="C5157" t="s">
        <v>18</v>
      </c>
      <c r="D5157" t="s">
        <v>9243</v>
      </c>
      <c r="E5157" t="s">
        <v>8588</v>
      </c>
      <c r="F5157" t="s">
        <v>670</v>
      </c>
      <c r="G5157" t="s">
        <v>17</v>
      </c>
      <c r="I5157" t="b">
        <v>0</v>
      </c>
      <c r="J5157" t="b">
        <v>0</v>
      </c>
      <c r="L5157" t="b">
        <v>0</v>
      </c>
      <c r="M5157" t="str">
        <f>HYPERLINK("https://arizona.app.box.com/file/389134332803")</f>
        <v>https://arizona.app.box.com/file/389134332803</v>
      </c>
    </row>
    <row r="5158" spans="1:25" x14ac:dyDescent="0.2">
      <c r="A5158">
        <v>683</v>
      </c>
      <c r="B5158" t="s">
        <v>9239</v>
      </c>
      <c r="C5158" t="s">
        <v>18</v>
      </c>
      <c r="D5158" t="s">
        <v>9244</v>
      </c>
      <c r="E5158" t="s">
        <v>9245</v>
      </c>
      <c r="F5158" t="s">
        <v>670</v>
      </c>
      <c r="G5158" t="s">
        <v>88</v>
      </c>
      <c r="I5158" t="b">
        <v>0</v>
      </c>
      <c r="J5158" t="b">
        <v>0</v>
      </c>
      <c r="L5158" t="b">
        <v>0</v>
      </c>
    </row>
    <row r="5159" spans="1:25" x14ac:dyDescent="0.2">
      <c r="A5159">
        <v>684</v>
      </c>
      <c r="B5159" t="s">
        <v>9239</v>
      </c>
      <c r="C5159" t="s">
        <v>18</v>
      </c>
      <c r="D5159" t="s">
        <v>4197</v>
      </c>
      <c r="E5159" t="s">
        <v>1789</v>
      </c>
      <c r="F5159" t="s">
        <v>174</v>
      </c>
      <c r="G5159" t="s">
        <v>17</v>
      </c>
      <c r="I5159" t="b">
        <v>0</v>
      </c>
      <c r="J5159" t="b">
        <v>0</v>
      </c>
      <c r="L5159" t="b">
        <v>0</v>
      </c>
      <c r="M5159" t="str">
        <f>HYPERLINK("https://arizona.app.box.com/file/389170642136")</f>
        <v>https://arizona.app.box.com/file/389170642136</v>
      </c>
      <c r="N5159" t="str">
        <f>HYPERLINK("https://arizona.app.box.com/file/386239372641")</f>
        <v>https://arizona.app.box.com/file/386239372641</v>
      </c>
    </row>
    <row r="5161" spans="1:25" x14ac:dyDescent="0.2">
      <c r="A5161" s="2">
        <v>4144</v>
      </c>
      <c r="B5161" s="2" t="s">
        <v>9246</v>
      </c>
      <c r="C5161" s="2" t="s">
        <v>13</v>
      </c>
      <c r="D5161" s="2" t="s">
        <v>9247</v>
      </c>
      <c r="E5161" s="2" t="s">
        <v>9248</v>
      </c>
      <c r="F5161" s="2" t="s">
        <v>200</v>
      </c>
      <c r="G5161" s="2" t="s">
        <v>345</v>
      </c>
      <c r="H5161" s="2"/>
      <c r="I5161" s="2"/>
      <c r="J5161" s="2"/>
      <c r="K5161" s="2"/>
      <c r="L5161" s="2"/>
      <c r="M5161" s="2"/>
      <c r="N5161" s="2"/>
      <c r="O5161" s="2"/>
      <c r="P5161" s="2"/>
      <c r="Q5161" s="2"/>
      <c r="R5161" s="2"/>
      <c r="S5161" s="2"/>
      <c r="T5161" s="2"/>
      <c r="U5161" s="2"/>
      <c r="V5161" s="2"/>
      <c r="W5161" s="2"/>
      <c r="X5161" s="2"/>
      <c r="Y5161" s="2"/>
    </row>
    <row r="5162" spans="1:25" x14ac:dyDescent="0.2">
      <c r="A5162">
        <v>4145</v>
      </c>
      <c r="B5162" t="s">
        <v>9246</v>
      </c>
      <c r="C5162" t="s">
        <v>18</v>
      </c>
      <c r="D5162" t="s">
        <v>9247</v>
      </c>
      <c r="E5162" t="s">
        <v>9249</v>
      </c>
      <c r="F5162" t="s">
        <v>200</v>
      </c>
      <c r="G5162" t="s">
        <v>345</v>
      </c>
      <c r="I5162" t="b">
        <v>1</v>
      </c>
      <c r="J5162" t="b">
        <v>1</v>
      </c>
      <c r="L5162" t="b">
        <v>1</v>
      </c>
      <c r="M5162" t="str">
        <f>HYPERLINK("https://arizona.app.box.com/file/389173241881")</f>
        <v>https://arizona.app.box.com/file/389173241881</v>
      </c>
      <c r="N5162" t="str">
        <f>HYPERLINK("https://arizona.app.box.com/file/386216066002")</f>
        <v>https://arizona.app.box.com/file/386216066002</v>
      </c>
    </row>
    <row r="5163" spans="1:25" x14ac:dyDescent="0.2">
      <c r="A5163">
        <v>4146</v>
      </c>
      <c r="B5163" t="s">
        <v>9246</v>
      </c>
      <c r="C5163" t="s">
        <v>18</v>
      </c>
      <c r="D5163" t="s">
        <v>9250</v>
      </c>
      <c r="E5163" t="s">
        <v>9251</v>
      </c>
      <c r="F5163" t="s">
        <v>200</v>
      </c>
      <c r="G5163" t="s">
        <v>32</v>
      </c>
      <c r="I5163" t="b">
        <v>1</v>
      </c>
      <c r="J5163" t="b">
        <v>1</v>
      </c>
      <c r="L5163" t="b">
        <v>1</v>
      </c>
      <c r="M5163" t="str">
        <f>HYPERLINK("https://arizona.app.box.com/file/389175701064")</f>
        <v>https://arizona.app.box.com/file/389175701064</v>
      </c>
    </row>
    <row r="5164" spans="1:25" x14ac:dyDescent="0.2">
      <c r="A5164">
        <v>4147</v>
      </c>
      <c r="B5164" t="s">
        <v>9246</v>
      </c>
      <c r="C5164" t="s">
        <v>18</v>
      </c>
      <c r="D5164" t="s">
        <v>8953</v>
      </c>
      <c r="E5164" t="s">
        <v>1398</v>
      </c>
      <c r="F5164" t="s">
        <v>159</v>
      </c>
      <c r="G5164" t="s">
        <v>345</v>
      </c>
      <c r="I5164" t="b">
        <v>0</v>
      </c>
      <c r="J5164" t="b">
        <v>0</v>
      </c>
      <c r="L5164" t="b">
        <v>0</v>
      </c>
      <c r="M5164" t="str">
        <f>HYPERLINK("https://arizona.app.box.com/file/389163344848")</f>
        <v>https://arizona.app.box.com/file/389163344848</v>
      </c>
      <c r="N5164" t="str">
        <f>HYPERLINK("https://arizona.app.box.com/file/386216407617")</f>
        <v>https://arizona.app.box.com/file/386216407617</v>
      </c>
    </row>
    <row r="5165" spans="1:25" x14ac:dyDescent="0.2">
      <c r="A5165">
        <v>4148</v>
      </c>
      <c r="B5165" t="s">
        <v>9246</v>
      </c>
      <c r="C5165" t="s">
        <v>18</v>
      </c>
      <c r="D5165" t="s">
        <v>2090</v>
      </c>
      <c r="E5165" t="s">
        <v>2091</v>
      </c>
      <c r="F5165" t="s">
        <v>200</v>
      </c>
      <c r="G5165" t="s">
        <v>345</v>
      </c>
      <c r="I5165" t="b">
        <v>0</v>
      </c>
      <c r="J5165" t="b">
        <v>0</v>
      </c>
      <c r="L5165" t="b">
        <v>0</v>
      </c>
      <c r="M5165" t="str">
        <f>HYPERLINK("https://arizona.app.box.com/file/389268803438")</f>
        <v>https://arizona.app.box.com/file/389268803438</v>
      </c>
      <c r="N5165" t="str">
        <f>HYPERLINK("https://arizona.app.box.com/file/389169409485")</f>
        <v>https://arizona.app.box.com/file/389169409485</v>
      </c>
      <c r="O5165" t="str">
        <f>HYPERLINK("https://arizona.app.box.com/file/389166510132")</f>
        <v>https://arizona.app.box.com/file/389166510132</v>
      </c>
      <c r="P5165" t="str">
        <f>HYPERLINK("https://arizona.app.box.com/file/386235116168")</f>
        <v>https://arizona.app.box.com/file/386235116168</v>
      </c>
    </row>
    <row r="5166" spans="1:25" x14ac:dyDescent="0.2">
      <c r="A5166">
        <v>4149</v>
      </c>
      <c r="B5166" t="s">
        <v>9246</v>
      </c>
      <c r="C5166" t="s">
        <v>18</v>
      </c>
      <c r="D5166" t="s">
        <v>5257</v>
      </c>
      <c r="E5166" t="s">
        <v>5258</v>
      </c>
      <c r="F5166" t="s">
        <v>200</v>
      </c>
      <c r="G5166" t="s">
        <v>32</v>
      </c>
      <c r="I5166" t="b">
        <v>0</v>
      </c>
      <c r="J5166" t="b">
        <v>0</v>
      </c>
      <c r="L5166" t="b">
        <v>0</v>
      </c>
      <c r="M5166" t="str">
        <f>HYPERLINK("https://arizona.app.box.com/file/389175604905")</f>
        <v>https://arizona.app.box.com/file/389175604905</v>
      </c>
    </row>
    <row r="5168" spans="1:25" x14ac:dyDescent="0.2">
      <c r="A5168" s="2">
        <v>4893</v>
      </c>
      <c r="B5168" s="2" t="s">
        <v>9252</v>
      </c>
      <c r="C5168" s="2" t="s">
        <v>13</v>
      </c>
      <c r="D5168" s="2" t="s">
        <v>9253</v>
      </c>
      <c r="E5168" s="2" t="s">
        <v>9254</v>
      </c>
      <c r="F5168" s="2" t="s">
        <v>31</v>
      </c>
      <c r="G5168" s="2" t="s">
        <v>17</v>
      </c>
      <c r="H5168" s="2"/>
      <c r="I5168" s="2"/>
      <c r="J5168" s="2"/>
      <c r="K5168" s="2"/>
      <c r="L5168" s="2"/>
      <c r="M5168" s="2"/>
      <c r="N5168" s="2"/>
      <c r="O5168" s="2"/>
      <c r="P5168" s="2"/>
      <c r="Q5168" s="2"/>
      <c r="R5168" s="2"/>
      <c r="S5168" s="2"/>
      <c r="T5168" s="2"/>
      <c r="U5168" s="2"/>
      <c r="V5168" s="2"/>
      <c r="W5168" s="2"/>
      <c r="X5168" s="2"/>
      <c r="Y5168" s="2"/>
    </row>
    <row r="5169" spans="1:25" x14ac:dyDescent="0.2">
      <c r="A5169">
        <v>4894</v>
      </c>
      <c r="B5169" t="s">
        <v>9252</v>
      </c>
      <c r="C5169" t="s">
        <v>18</v>
      </c>
      <c r="D5169" t="s">
        <v>189</v>
      </c>
      <c r="E5169" t="s">
        <v>190</v>
      </c>
      <c r="F5169" t="s">
        <v>31</v>
      </c>
      <c r="G5169" t="s">
        <v>17</v>
      </c>
      <c r="I5169" t="b">
        <v>1</v>
      </c>
      <c r="J5169" t="b">
        <v>1</v>
      </c>
      <c r="L5169" t="b">
        <v>1</v>
      </c>
      <c r="M5169" t="str">
        <f>HYPERLINK("https://arizona.app.box.com/file/389260302381")</f>
        <v>https://arizona.app.box.com/file/389260302381</v>
      </c>
      <c r="N5169" t="str">
        <f>HYPERLINK("https://arizona.app.box.com/file/389153301295")</f>
        <v>https://arizona.app.box.com/file/389153301295</v>
      </c>
    </row>
    <row r="5170" spans="1:25" x14ac:dyDescent="0.2">
      <c r="A5170">
        <v>4895</v>
      </c>
      <c r="B5170" t="s">
        <v>9252</v>
      </c>
      <c r="C5170" t="s">
        <v>18</v>
      </c>
      <c r="D5170" t="s">
        <v>187</v>
      </c>
      <c r="E5170" t="s">
        <v>188</v>
      </c>
      <c r="F5170" t="s">
        <v>31</v>
      </c>
      <c r="G5170" t="s">
        <v>17</v>
      </c>
      <c r="I5170" t="b">
        <v>0</v>
      </c>
      <c r="J5170" t="b">
        <v>0</v>
      </c>
      <c r="L5170" t="b">
        <v>0</v>
      </c>
      <c r="M5170" t="str">
        <f>HYPERLINK("https://arizona.app.box.com/file/389170143575")</f>
        <v>https://arizona.app.box.com/file/389170143575</v>
      </c>
      <c r="N5170" t="str">
        <f>HYPERLINK("https://arizona.app.box.com/file/386241227928")</f>
        <v>https://arizona.app.box.com/file/386241227928</v>
      </c>
    </row>
    <row r="5171" spans="1:25" x14ac:dyDescent="0.2">
      <c r="A5171">
        <v>4896</v>
      </c>
      <c r="B5171" t="s">
        <v>9252</v>
      </c>
      <c r="C5171" t="s">
        <v>18</v>
      </c>
      <c r="D5171" t="s">
        <v>9255</v>
      </c>
      <c r="E5171" t="s">
        <v>9256</v>
      </c>
      <c r="F5171" t="s">
        <v>45</v>
      </c>
      <c r="G5171" t="s">
        <v>24</v>
      </c>
      <c r="I5171" t="b">
        <v>0</v>
      </c>
      <c r="J5171" t="b">
        <v>0</v>
      </c>
      <c r="L5171" t="b">
        <v>0</v>
      </c>
      <c r="M5171" t="str">
        <f>HYPERLINK("https://arizona.app.box.com/file/389268083067")</f>
        <v>https://arizona.app.box.com/file/389268083067</v>
      </c>
      <c r="N5171" t="str">
        <f>HYPERLINK("https://arizona.app.box.com/file/389162552984")</f>
        <v>https://arizona.app.box.com/file/389162552984</v>
      </c>
    </row>
    <row r="5172" spans="1:25" x14ac:dyDescent="0.2">
      <c r="A5172">
        <v>4897</v>
      </c>
      <c r="B5172" t="s">
        <v>9252</v>
      </c>
      <c r="C5172" t="s">
        <v>18</v>
      </c>
      <c r="D5172" t="s">
        <v>2741</v>
      </c>
      <c r="E5172" t="s">
        <v>2742</v>
      </c>
      <c r="F5172" t="s">
        <v>2738</v>
      </c>
      <c r="G5172" t="s">
        <v>17</v>
      </c>
      <c r="I5172" t="b">
        <v>0</v>
      </c>
      <c r="J5172" t="b">
        <v>0</v>
      </c>
      <c r="L5172" t="b">
        <v>0</v>
      </c>
      <c r="M5172" t="str">
        <f>HYPERLINK("https://arizona.app.box.com/file/389257440413")</f>
        <v>https://arizona.app.box.com/file/389257440413</v>
      </c>
    </row>
    <row r="5173" spans="1:25" x14ac:dyDescent="0.2">
      <c r="A5173">
        <v>4898</v>
      </c>
      <c r="B5173" t="s">
        <v>9252</v>
      </c>
      <c r="C5173" t="s">
        <v>18</v>
      </c>
      <c r="D5173" t="s">
        <v>184</v>
      </c>
      <c r="E5173" t="s">
        <v>186</v>
      </c>
      <c r="F5173" t="s">
        <v>174</v>
      </c>
      <c r="G5173" t="s">
        <v>17</v>
      </c>
      <c r="I5173" t="b">
        <v>0</v>
      </c>
      <c r="J5173" t="b">
        <v>0</v>
      </c>
      <c r="L5173" t="b">
        <v>0</v>
      </c>
      <c r="M5173" t="str">
        <f>HYPERLINK("https://arizona.app.box.com/file/389138054131")</f>
        <v>https://arizona.app.box.com/file/389138054131</v>
      </c>
      <c r="N5173" t="str">
        <f>HYPERLINK("https://arizona.app.box.com/file/386241113911")</f>
        <v>https://arizona.app.box.com/file/386241113911</v>
      </c>
    </row>
    <row r="5175" spans="1:25" x14ac:dyDescent="0.2">
      <c r="A5175" s="2">
        <v>4991</v>
      </c>
      <c r="B5175" s="2" t="s">
        <v>9257</v>
      </c>
      <c r="C5175" s="2" t="s">
        <v>13</v>
      </c>
      <c r="D5175" s="2" t="s">
        <v>8925</v>
      </c>
      <c r="E5175" s="2" t="s">
        <v>8926</v>
      </c>
      <c r="F5175" s="2" t="s">
        <v>78</v>
      </c>
      <c r="G5175" s="2" t="s">
        <v>130</v>
      </c>
      <c r="H5175" s="2"/>
      <c r="I5175" s="2"/>
      <c r="J5175" s="2"/>
      <c r="K5175" s="2"/>
      <c r="L5175" s="2"/>
      <c r="M5175" s="2"/>
      <c r="N5175" s="2"/>
      <c r="O5175" s="2"/>
      <c r="P5175" s="2"/>
      <c r="Q5175" s="2"/>
      <c r="R5175" s="2"/>
      <c r="S5175" s="2"/>
      <c r="T5175" s="2"/>
      <c r="U5175" s="2"/>
      <c r="V5175" s="2"/>
      <c r="W5175" s="2"/>
      <c r="X5175" s="2"/>
      <c r="Y5175" s="2"/>
    </row>
    <row r="5176" spans="1:25" x14ac:dyDescent="0.2">
      <c r="A5176">
        <v>4992</v>
      </c>
      <c r="B5176" t="s">
        <v>9257</v>
      </c>
      <c r="C5176" t="s">
        <v>18</v>
      </c>
      <c r="D5176" t="s">
        <v>8925</v>
      </c>
      <c r="E5176" t="s">
        <v>8926</v>
      </c>
      <c r="F5176" t="s">
        <v>78</v>
      </c>
      <c r="G5176" t="s">
        <v>130</v>
      </c>
      <c r="I5176" t="b">
        <v>1</v>
      </c>
      <c r="J5176" t="b">
        <v>1</v>
      </c>
      <c r="L5176" t="b">
        <v>1</v>
      </c>
      <c r="M5176" t="str">
        <f>HYPERLINK("https://arizona.app.box.com/file/389257362448")</f>
        <v>https://arizona.app.box.com/file/389257362448</v>
      </c>
      <c r="N5176" t="str">
        <f>HYPERLINK("https://arizona.app.box.com/file/389154182285")</f>
        <v>https://arizona.app.box.com/file/389154182285</v>
      </c>
      <c r="O5176" t="str">
        <f>HYPERLINK("https://arizona.app.box.com/file/389166641329")</f>
        <v>https://arizona.app.box.com/file/389166641329</v>
      </c>
      <c r="P5176" t="str">
        <f>HYPERLINK("https://arizona.app.box.com/file/386240784368")</f>
        <v>https://arizona.app.box.com/file/386240784368</v>
      </c>
    </row>
    <row r="5177" spans="1:25" x14ac:dyDescent="0.2">
      <c r="A5177">
        <v>4993</v>
      </c>
      <c r="B5177" t="s">
        <v>9257</v>
      </c>
      <c r="C5177" t="s">
        <v>18</v>
      </c>
      <c r="D5177" t="s">
        <v>9258</v>
      </c>
      <c r="E5177" t="s">
        <v>9259</v>
      </c>
      <c r="F5177" t="s">
        <v>78</v>
      </c>
      <c r="G5177" t="s">
        <v>130</v>
      </c>
      <c r="I5177" t="b">
        <v>0</v>
      </c>
      <c r="J5177" t="b">
        <v>0</v>
      </c>
      <c r="L5177" t="b">
        <v>0</v>
      </c>
      <c r="M5177" t="str">
        <f>HYPERLINK("https://arizona.app.box.com/file/386232716685")</f>
        <v>https://arizona.app.box.com/file/386232716685</v>
      </c>
    </row>
    <row r="5178" spans="1:25" x14ac:dyDescent="0.2">
      <c r="A5178">
        <v>4994</v>
      </c>
      <c r="B5178" t="s">
        <v>9257</v>
      </c>
      <c r="C5178" t="s">
        <v>18</v>
      </c>
      <c r="D5178" t="s">
        <v>8920</v>
      </c>
      <c r="E5178" t="s">
        <v>8922</v>
      </c>
      <c r="F5178" t="s">
        <v>78</v>
      </c>
      <c r="G5178" t="s">
        <v>130</v>
      </c>
      <c r="I5178" t="b">
        <v>0</v>
      </c>
      <c r="J5178" t="b">
        <v>0</v>
      </c>
      <c r="L5178" t="b">
        <v>0</v>
      </c>
    </row>
    <row r="5179" spans="1:25" x14ac:dyDescent="0.2">
      <c r="A5179">
        <v>4995</v>
      </c>
      <c r="B5179" t="s">
        <v>9257</v>
      </c>
      <c r="C5179" t="s">
        <v>18</v>
      </c>
      <c r="D5179" t="s">
        <v>8923</v>
      </c>
      <c r="E5179" t="s">
        <v>8924</v>
      </c>
      <c r="F5179" t="s">
        <v>78</v>
      </c>
      <c r="G5179" t="s">
        <v>130</v>
      </c>
      <c r="I5179" t="b">
        <v>0</v>
      </c>
      <c r="J5179" t="b">
        <v>0</v>
      </c>
      <c r="L5179" t="b">
        <v>0</v>
      </c>
      <c r="M5179" t="str">
        <f>HYPERLINK("https://arizona.app.box.com/file/386227733910")</f>
        <v>https://arizona.app.box.com/file/386227733910</v>
      </c>
    </row>
    <row r="5180" spans="1:25" x14ac:dyDescent="0.2">
      <c r="A5180">
        <v>4996</v>
      </c>
      <c r="B5180" t="s">
        <v>9257</v>
      </c>
      <c r="C5180" t="s">
        <v>18</v>
      </c>
      <c r="D5180" t="s">
        <v>9260</v>
      </c>
      <c r="E5180" t="s">
        <v>188</v>
      </c>
      <c r="F5180" t="s">
        <v>45</v>
      </c>
      <c r="G5180" t="s">
        <v>130</v>
      </c>
      <c r="I5180" t="b">
        <v>0</v>
      </c>
      <c r="J5180" t="b">
        <v>0</v>
      </c>
      <c r="L5180" t="b">
        <v>0</v>
      </c>
      <c r="M5180" t="str">
        <f>HYPERLINK("https://arizona.app.box.com/file/389170969985")</f>
        <v>https://arizona.app.box.com/file/389170969985</v>
      </c>
      <c r="N5180" t="str">
        <f>HYPERLINK("https://arizona.app.box.com/file/386212589556")</f>
        <v>https://arizona.app.box.com/file/386212589556</v>
      </c>
    </row>
    <row r="5182" spans="1:25" x14ac:dyDescent="0.2">
      <c r="A5182" s="2">
        <v>5404</v>
      </c>
      <c r="B5182" s="2" t="s">
        <v>9261</v>
      </c>
      <c r="C5182" s="2" t="s">
        <v>13</v>
      </c>
      <c r="D5182" s="2" t="s">
        <v>9262</v>
      </c>
      <c r="E5182" s="2" t="s">
        <v>9263</v>
      </c>
      <c r="F5182" s="2" t="s">
        <v>159</v>
      </c>
      <c r="G5182" s="2" t="s">
        <v>9081</v>
      </c>
      <c r="H5182" s="2"/>
      <c r="I5182" s="2"/>
      <c r="J5182" s="2"/>
      <c r="K5182" s="2"/>
      <c r="L5182" s="2"/>
      <c r="M5182" s="2"/>
      <c r="N5182" s="2"/>
      <c r="O5182" s="2"/>
      <c r="P5182" s="2"/>
      <c r="Q5182" s="2"/>
      <c r="R5182" s="2"/>
      <c r="S5182" s="2"/>
      <c r="T5182" s="2"/>
      <c r="U5182" s="2"/>
      <c r="V5182" s="2"/>
      <c r="W5182" s="2"/>
      <c r="X5182" s="2"/>
      <c r="Y5182" s="2"/>
    </row>
    <row r="5183" spans="1:25" x14ac:dyDescent="0.2">
      <c r="A5183">
        <v>5405</v>
      </c>
      <c r="B5183" t="s">
        <v>9261</v>
      </c>
      <c r="C5183" t="s">
        <v>18</v>
      </c>
      <c r="D5183" t="s">
        <v>9264</v>
      </c>
      <c r="E5183" t="s">
        <v>7248</v>
      </c>
      <c r="F5183" t="s">
        <v>4337</v>
      </c>
      <c r="G5183" t="s">
        <v>32</v>
      </c>
      <c r="I5183" t="b">
        <v>0</v>
      </c>
      <c r="J5183" t="b">
        <v>0</v>
      </c>
      <c r="L5183" t="b">
        <v>0</v>
      </c>
      <c r="M5183" t="str">
        <f>HYPERLINK("https://arizona.app.box.com/file/389171529676")</f>
        <v>https://arizona.app.box.com/file/389171529676</v>
      </c>
    </row>
    <row r="5184" spans="1:25" x14ac:dyDescent="0.2">
      <c r="A5184">
        <v>5406</v>
      </c>
      <c r="B5184" t="s">
        <v>9261</v>
      </c>
      <c r="C5184" t="s">
        <v>18</v>
      </c>
      <c r="D5184" t="s">
        <v>9265</v>
      </c>
      <c r="E5184" t="s">
        <v>9266</v>
      </c>
      <c r="F5184" t="s">
        <v>144</v>
      </c>
      <c r="G5184" t="s">
        <v>828</v>
      </c>
      <c r="I5184" t="b">
        <v>0</v>
      </c>
      <c r="J5184" t="b">
        <v>0</v>
      </c>
      <c r="L5184" t="b">
        <v>0</v>
      </c>
      <c r="M5184" t="str">
        <f>HYPERLINK("https://arizona.app.box.com/file/389267708685")</f>
        <v>https://arizona.app.box.com/file/389267708685</v>
      </c>
      <c r="N5184" t="str">
        <f>HYPERLINK("https://arizona.app.box.com/file/389172482065")</f>
        <v>https://arizona.app.box.com/file/389172482065</v>
      </c>
    </row>
    <row r="5185" spans="1:25" x14ac:dyDescent="0.2">
      <c r="A5185">
        <v>5407</v>
      </c>
      <c r="B5185" t="s">
        <v>9261</v>
      </c>
      <c r="C5185" t="s">
        <v>18</v>
      </c>
      <c r="D5185" t="s">
        <v>9267</v>
      </c>
      <c r="E5185" t="s">
        <v>9268</v>
      </c>
      <c r="F5185" t="s">
        <v>159</v>
      </c>
      <c r="G5185" t="s">
        <v>828</v>
      </c>
      <c r="I5185" t="b">
        <v>0</v>
      </c>
      <c r="J5185" t="b">
        <v>0</v>
      </c>
      <c r="L5185" t="b">
        <v>0</v>
      </c>
      <c r="M5185" t="str">
        <f>HYPERLINK("https://arizona.app.box.com/file/389168671125")</f>
        <v>https://arizona.app.box.com/file/389168671125</v>
      </c>
    </row>
    <row r="5186" spans="1:25" x14ac:dyDescent="0.2">
      <c r="A5186">
        <v>5408</v>
      </c>
      <c r="B5186" t="s">
        <v>9261</v>
      </c>
      <c r="C5186" t="s">
        <v>18</v>
      </c>
      <c r="D5186" t="s">
        <v>9269</v>
      </c>
      <c r="E5186" t="s">
        <v>9270</v>
      </c>
      <c r="F5186" t="s">
        <v>200</v>
      </c>
      <c r="G5186" t="s">
        <v>828</v>
      </c>
      <c r="I5186" t="b">
        <v>0</v>
      </c>
      <c r="J5186" t="b">
        <v>0</v>
      </c>
      <c r="L5186" t="b">
        <v>0</v>
      </c>
      <c r="M5186" t="str">
        <f>HYPERLINK("https://arizona.app.box.com/file/386246493103")</f>
        <v>https://arizona.app.box.com/file/386246493103</v>
      </c>
      <c r="N5186" t="str">
        <f>HYPERLINK("https://arizona.app.box.com/file/386253013500")</f>
        <v>https://arizona.app.box.com/file/386253013500</v>
      </c>
    </row>
    <row r="5187" spans="1:25" x14ac:dyDescent="0.2">
      <c r="A5187">
        <v>5409</v>
      </c>
      <c r="B5187" t="s">
        <v>9261</v>
      </c>
      <c r="C5187" t="s">
        <v>18</v>
      </c>
      <c r="D5187" t="s">
        <v>9271</v>
      </c>
      <c r="E5187" t="s">
        <v>9272</v>
      </c>
      <c r="F5187" t="s">
        <v>9273</v>
      </c>
      <c r="G5187" t="s">
        <v>828</v>
      </c>
      <c r="I5187" t="b">
        <v>0</v>
      </c>
      <c r="J5187" t="b">
        <v>0</v>
      </c>
      <c r="L5187" t="b">
        <v>0</v>
      </c>
      <c r="M5187" t="str">
        <f>HYPERLINK("https://arizona.app.box.com/file/386265563207")</f>
        <v>https://arizona.app.box.com/file/386265563207</v>
      </c>
      <c r="N5187" t="str">
        <f>HYPERLINK("https://arizona.app.box.com/file/386247298517")</f>
        <v>https://arizona.app.box.com/file/386247298517</v>
      </c>
    </row>
    <row r="5189" spans="1:25" x14ac:dyDescent="0.2">
      <c r="A5189" s="2">
        <v>1960</v>
      </c>
      <c r="B5189" s="2" t="s">
        <v>9274</v>
      </c>
      <c r="C5189" s="2" t="s">
        <v>13</v>
      </c>
      <c r="D5189" s="2" t="s">
        <v>9275</v>
      </c>
      <c r="E5189" s="2" t="s">
        <v>9276</v>
      </c>
      <c r="F5189" s="2" t="s">
        <v>78</v>
      </c>
      <c r="G5189" s="2" t="s">
        <v>17</v>
      </c>
      <c r="H5189" s="2"/>
      <c r="I5189" s="2"/>
      <c r="J5189" s="2"/>
      <c r="K5189" s="2"/>
      <c r="L5189" s="2"/>
      <c r="M5189" s="2"/>
      <c r="N5189" s="2"/>
      <c r="O5189" s="2"/>
      <c r="P5189" s="2"/>
      <c r="Q5189" s="2"/>
      <c r="R5189" s="2"/>
      <c r="S5189" s="2"/>
      <c r="T5189" s="2"/>
      <c r="U5189" s="2"/>
      <c r="V5189" s="2"/>
      <c r="W5189" s="2"/>
      <c r="X5189" s="2"/>
      <c r="Y5189" s="2"/>
    </row>
    <row r="5190" spans="1:25" x14ac:dyDescent="0.2">
      <c r="A5190">
        <v>1961</v>
      </c>
      <c r="B5190" t="s">
        <v>9274</v>
      </c>
      <c r="C5190" t="s">
        <v>18</v>
      </c>
      <c r="D5190" t="s">
        <v>9275</v>
      </c>
      <c r="E5190" t="s">
        <v>9277</v>
      </c>
      <c r="F5190" t="s">
        <v>78</v>
      </c>
      <c r="G5190" t="s">
        <v>17</v>
      </c>
      <c r="I5190" t="b">
        <v>1</v>
      </c>
      <c r="J5190" t="b">
        <v>1</v>
      </c>
      <c r="L5190" t="b">
        <v>1</v>
      </c>
      <c r="M5190" t="str">
        <f>HYPERLINK("https://arizona.app.box.com/file/389166889186")</f>
        <v>https://arizona.app.box.com/file/389166889186</v>
      </c>
      <c r="N5190" t="str">
        <f>HYPERLINK("https://arizona.app.box.com/file/386239263114")</f>
        <v>https://arizona.app.box.com/file/386239263114</v>
      </c>
      <c r="O5190" t="str">
        <f>HYPERLINK("https://arizona.app.box.com/file/389171626783")</f>
        <v>https://arizona.app.box.com/file/389171626783</v>
      </c>
      <c r="P5190" t="str">
        <f>HYPERLINK("https://arizona.app.box.com/file/386225967628")</f>
        <v>https://arizona.app.box.com/file/386225967628</v>
      </c>
    </row>
    <row r="5191" spans="1:25" x14ac:dyDescent="0.2">
      <c r="A5191">
        <v>1962</v>
      </c>
      <c r="B5191" t="s">
        <v>9274</v>
      </c>
      <c r="C5191" t="s">
        <v>18</v>
      </c>
      <c r="D5191" t="s">
        <v>1306</v>
      </c>
      <c r="E5191" t="s">
        <v>1307</v>
      </c>
      <c r="F5191" t="s">
        <v>78</v>
      </c>
      <c r="G5191" t="s">
        <v>17</v>
      </c>
      <c r="I5191" t="b">
        <v>0</v>
      </c>
      <c r="J5191" t="b">
        <v>0</v>
      </c>
      <c r="L5191" t="b">
        <v>0</v>
      </c>
      <c r="M5191" t="str">
        <f>HYPERLINK("https://arizona.app.box.com/file/389172458778")</f>
        <v>https://arizona.app.box.com/file/389172458778</v>
      </c>
      <c r="N5191" t="str">
        <f>HYPERLINK("https://arizona.app.box.com/file/386237083442")</f>
        <v>https://arizona.app.box.com/file/386237083442</v>
      </c>
    </row>
    <row r="5192" spans="1:25" x14ac:dyDescent="0.2">
      <c r="A5192">
        <v>1963</v>
      </c>
      <c r="B5192" t="s">
        <v>9274</v>
      </c>
      <c r="C5192" t="s">
        <v>18</v>
      </c>
      <c r="D5192" t="s">
        <v>9278</v>
      </c>
      <c r="E5192" t="s">
        <v>9279</v>
      </c>
      <c r="F5192" t="s">
        <v>174</v>
      </c>
      <c r="G5192" t="s">
        <v>24</v>
      </c>
      <c r="I5192" t="b">
        <v>0</v>
      </c>
      <c r="J5192" t="b">
        <v>0</v>
      </c>
      <c r="L5192" t="b">
        <v>0</v>
      </c>
      <c r="M5192" t="str">
        <f>HYPERLINK("https://arizona.app.box.com/file/386228349916")</f>
        <v>https://arizona.app.box.com/file/386228349916</v>
      </c>
      <c r="N5192" t="str">
        <f>HYPERLINK("https://arizona.app.box.com/file/386243725017")</f>
        <v>https://arizona.app.box.com/file/386243725017</v>
      </c>
    </row>
    <row r="5193" spans="1:25" x14ac:dyDescent="0.2">
      <c r="A5193">
        <v>1964</v>
      </c>
      <c r="B5193" t="s">
        <v>9274</v>
      </c>
      <c r="C5193" t="s">
        <v>18</v>
      </c>
      <c r="D5193" t="s">
        <v>6564</v>
      </c>
      <c r="E5193" t="s">
        <v>6565</v>
      </c>
      <c r="F5193" t="s">
        <v>78</v>
      </c>
      <c r="G5193" t="s">
        <v>17</v>
      </c>
      <c r="I5193" t="b">
        <v>0</v>
      </c>
      <c r="J5193" t="b">
        <v>0</v>
      </c>
      <c r="L5193" t="b">
        <v>0</v>
      </c>
      <c r="M5193" t="str">
        <f>HYPERLINK("https://arizona.app.box.com/file/389161123559")</f>
        <v>https://arizona.app.box.com/file/389161123559</v>
      </c>
    </row>
    <row r="5194" spans="1:25" x14ac:dyDescent="0.2">
      <c r="A5194">
        <v>1965</v>
      </c>
      <c r="B5194" t="s">
        <v>9274</v>
      </c>
      <c r="C5194" t="s">
        <v>18</v>
      </c>
      <c r="D5194" t="s">
        <v>243</v>
      </c>
      <c r="E5194" t="s">
        <v>244</v>
      </c>
      <c r="F5194" t="s">
        <v>78</v>
      </c>
      <c r="G5194" t="s">
        <v>17</v>
      </c>
      <c r="I5194" t="b">
        <v>0</v>
      </c>
      <c r="J5194" t="b">
        <v>0</v>
      </c>
      <c r="L5194" t="b">
        <v>0</v>
      </c>
      <c r="M5194" t="str">
        <f>HYPERLINK("https://arizona.app.box.com/file/389164502204")</f>
        <v>https://arizona.app.box.com/file/389164502204</v>
      </c>
    </row>
    <row r="5196" spans="1:25" x14ac:dyDescent="0.2">
      <c r="A5196" s="2">
        <v>2653</v>
      </c>
      <c r="B5196" s="2" t="s">
        <v>9280</v>
      </c>
      <c r="C5196" s="2" t="s">
        <v>13</v>
      </c>
      <c r="D5196" s="2" t="s">
        <v>9281</v>
      </c>
      <c r="E5196" s="2" t="s">
        <v>9282</v>
      </c>
      <c r="F5196" s="2" t="s">
        <v>159</v>
      </c>
      <c r="G5196" s="2" t="s">
        <v>345</v>
      </c>
      <c r="H5196" s="2"/>
      <c r="I5196" s="2"/>
      <c r="J5196" s="2"/>
      <c r="K5196" s="2"/>
      <c r="L5196" s="2"/>
      <c r="M5196" s="2"/>
      <c r="N5196" s="2"/>
      <c r="O5196" s="2"/>
      <c r="P5196" s="2"/>
      <c r="Q5196" s="2"/>
      <c r="R5196" s="2"/>
      <c r="S5196" s="2"/>
      <c r="T5196" s="2"/>
      <c r="U5196" s="2"/>
      <c r="V5196" s="2"/>
      <c r="W5196" s="2"/>
      <c r="X5196" s="2"/>
      <c r="Y5196" s="2"/>
    </row>
    <row r="5197" spans="1:25" x14ac:dyDescent="0.2">
      <c r="A5197">
        <v>2654</v>
      </c>
      <c r="B5197" t="s">
        <v>9280</v>
      </c>
      <c r="C5197" t="s">
        <v>18</v>
      </c>
      <c r="D5197" t="s">
        <v>9281</v>
      </c>
      <c r="E5197" t="s">
        <v>9282</v>
      </c>
      <c r="F5197" t="s">
        <v>159</v>
      </c>
      <c r="G5197" t="s">
        <v>345</v>
      </c>
      <c r="I5197" t="b">
        <v>1</v>
      </c>
      <c r="J5197" t="b">
        <v>1</v>
      </c>
      <c r="L5197" t="b">
        <v>1</v>
      </c>
      <c r="M5197" t="str">
        <f>HYPERLINK("https://arizona.app.box.com/file/389175137605")</f>
        <v>https://arizona.app.box.com/file/389175137605</v>
      </c>
      <c r="N5197" t="str">
        <f>HYPERLINK("https://arizona.app.box.com/file/386237605811")</f>
        <v>https://arizona.app.box.com/file/386237605811</v>
      </c>
      <c r="O5197" t="str">
        <f>HYPERLINK("https://arizona.app.box.com/file/389173721317")</f>
        <v>https://arizona.app.box.com/file/389173721317</v>
      </c>
      <c r="P5197" t="str">
        <f>HYPERLINK("https://arizona.app.box.com/file/386226491710")</f>
        <v>https://arizona.app.box.com/file/386226491710</v>
      </c>
    </row>
    <row r="5198" spans="1:25" x14ac:dyDescent="0.2">
      <c r="A5198">
        <v>2655</v>
      </c>
      <c r="B5198" t="s">
        <v>9280</v>
      </c>
      <c r="C5198" t="s">
        <v>18</v>
      </c>
      <c r="D5198" t="s">
        <v>9283</v>
      </c>
      <c r="E5198" t="s">
        <v>9284</v>
      </c>
      <c r="F5198" t="s">
        <v>159</v>
      </c>
      <c r="G5198" t="s">
        <v>32</v>
      </c>
      <c r="I5198" t="b">
        <v>1</v>
      </c>
      <c r="J5198" t="b">
        <v>0</v>
      </c>
      <c r="L5198" t="b">
        <v>0</v>
      </c>
      <c r="M5198" t="str">
        <f>HYPERLINK("https://arizona.app.box.com/file/389169666256")</f>
        <v>https://arizona.app.box.com/file/389169666256</v>
      </c>
    </row>
    <row r="5199" spans="1:25" x14ac:dyDescent="0.2">
      <c r="A5199">
        <v>2656</v>
      </c>
      <c r="B5199" t="s">
        <v>9280</v>
      </c>
      <c r="C5199" t="s">
        <v>18</v>
      </c>
      <c r="D5199" t="s">
        <v>8337</v>
      </c>
      <c r="E5199" t="s">
        <v>8338</v>
      </c>
      <c r="F5199" t="s">
        <v>205</v>
      </c>
      <c r="G5199" t="s">
        <v>345</v>
      </c>
      <c r="I5199" t="b">
        <v>0</v>
      </c>
      <c r="J5199" t="b">
        <v>0</v>
      </c>
      <c r="L5199" t="b">
        <v>0</v>
      </c>
      <c r="M5199" t="str">
        <f>HYPERLINK("https://arizona.app.box.com/file/389169930058")</f>
        <v>https://arizona.app.box.com/file/389169930058</v>
      </c>
    </row>
    <row r="5200" spans="1:25" x14ac:dyDescent="0.2">
      <c r="A5200">
        <v>2657</v>
      </c>
      <c r="B5200" t="s">
        <v>9280</v>
      </c>
      <c r="C5200" t="s">
        <v>18</v>
      </c>
      <c r="D5200" t="s">
        <v>9285</v>
      </c>
      <c r="E5200" t="s">
        <v>9286</v>
      </c>
      <c r="F5200" t="s">
        <v>82</v>
      </c>
      <c r="G5200" t="s">
        <v>345</v>
      </c>
      <c r="I5200" t="b">
        <v>0</v>
      </c>
      <c r="J5200" t="b">
        <v>0</v>
      </c>
      <c r="L5200" t="b">
        <v>0</v>
      </c>
      <c r="M5200" t="str">
        <f>HYPERLINK("https://arizona.app.box.com/file/386242499585")</f>
        <v>https://arizona.app.box.com/file/386242499585</v>
      </c>
      <c r="N5200" t="str">
        <f>HYPERLINK("https://arizona.app.box.com/file/386227421974")</f>
        <v>https://arizona.app.box.com/file/386227421974</v>
      </c>
    </row>
    <row r="5201" spans="1:25" x14ac:dyDescent="0.2">
      <c r="A5201">
        <v>2658</v>
      </c>
      <c r="B5201" t="s">
        <v>9280</v>
      </c>
      <c r="C5201" t="s">
        <v>18</v>
      </c>
      <c r="D5201" t="s">
        <v>2001</v>
      </c>
      <c r="E5201" t="s">
        <v>2002</v>
      </c>
      <c r="F5201" t="s">
        <v>200</v>
      </c>
      <c r="G5201" t="s">
        <v>345</v>
      </c>
      <c r="I5201" t="b">
        <v>0</v>
      </c>
      <c r="J5201" t="b">
        <v>0</v>
      </c>
      <c r="L5201" t="b">
        <v>0</v>
      </c>
      <c r="M5201" t="str">
        <f>HYPERLINK("https://arizona.app.box.com/file/389174734046")</f>
        <v>https://arizona.app.box.com/file/389174734046</v>
      </c>
      <c r="N5201" t="str">
        <f>HYPERLINK("https://arizona.app.box.com/file/386244630103")</f>
        <v>https://arizona.app.box.com/file/386244630103</v>
      </c>
      <c r="O5201" t="str">
        <f>HYPERLINK("https://arizona.app.box.com/file/389178918707")</f>
        <v>https://arizona.app.box.com/file/389178918707</v>
      </c>
      <c r="P5201" t="str">
        <f>HYPERLINK("https://arizona.app.box.com/file/386216186322")</f>
        <v>https://arizona.app.box.com/file/386216186322</v>
      </c>
    </row>
    <row r="5203" spans="1:25" x14ac:dyDescent="0.2">
      <c r="A5203" s="2">
        <v>1295</v>
      </c>
      <c r="B5203" s="2" t="s">
        <v>9287</v>
      </c>
      <c r="C5203" s="2" t="s">
        <v>13</v>
      </c>
      <c r="D5203" s="2" t="s">
        <v>9288</v>
      </c>
      <c r="E5203" s="2" t="s">
        <v>9289</v>
      </c>
      <c r="F5203" s="2" t="s">
        <v>1077</v>
      </c>
      <c r="G5203" s="2" t="s">
        <v>62</v>
      </c>
      <c r="H5203" s="2"/>
      <c r="I5203" s="2"/>
      <c r="J5203" s="2"/>
      <c r="K5203" s="2"/>
      <c r="L5203" s="2"/>
      <c r="M5203" s="2"/>
      <c r="N5203" s="2"/>
      <c r="O5203" s="2"/>
      <c r="P5203" s="2"/>
      <c r="Q5203" s="2"/>
      <c r="R5203" s="2"/>
      <c r="S5203" s="2"/>
      <c r="T5203" s="2"/>
      <c r="U5203" s="2"/>
      <c r="V5203" s="2"/>
      <c r="W5203" s="2"/>
      <c r="X5203" s="2"/>
      <c r="Y5203" s="2"/>
    </row>
    <row r="5204" spans="1:25" x14ac:dyDescent="0.2">
      <c r="A5204">
        <v>1296</v>
      </c>
      <c r="B5204" t="s">
        <v>9287</v>
      </c>
      <c r="C5204" t="s">
        <v>18</v>
      </c>
      <c r="D5204" t="s">
        <v>9288</v>
      </c>
      <c r="E5204" t="s">
        <v>2082</v>
      </c>
      <c r="F5204" t="s">
        <v>1077</v>
      </c>
      <c r="G5204" t="s">
        <v>62</v>
      </c>
      <c r="I5204" t="b">
        <v>1</v>
      </c>
      <c r="J5204" t="b">
        <v>1</v>
      </c>
      <c r="L5204" t="b">
        <v>1</v>
      </c>
      <c r="M5204" t="str">
        <f>HYPERLINK("https://arizona.app.box.com/file/389267130151")</f>
        <v>https://arizona.app.box.com/file/389267130151</v>
      </c>
      <c r="N5204" t="str">
        <f>HYPERLINK("https://arizona.app.box.com/file/389152265615")</f>
        <v>https://arizona.app.box.com/file/389152265615</v>
      </c>
    </row>
    <row r="5205" spans="1:25" x14ac:dyDescent="0.2">
      <c r="A5205">
        <v>1297</v>
      </c>
      <c r="B5205" t="s">
        <v>9287</v>
      </c>
      <c r="C5205" t="s">
        <v>18</v>
      </c>
      <c r="D5205" t="s">
        <v>9290</v>
      </c>
      <c r="E5205" t="s">
        <v>5717</v>
      </c>
      <c r="F5205" t="s">
        <v>1077</v>
      </c>
      <c r="G5205" t="s">
        <v>62</v>
      </c>
      <c r="I5205" t="b">
        <v>1</v>
      </c>
      <c r="J5205" t="b">
        <v>1</v>
      </c>
      <c r="L5205" t="b">
        <v>1</v>
      </c>
      <c r="M5205" t="str">
        <f>HYPERLINK("https://arizona.app.box.com/file/389263496392")</f>
        <v>https://arizona.app.box.com/file/389263496392</v>
      </c>
      <c r="N5205" t="str">
        <f>HYPERLINK("https://arizona.app.box.com/file/389152421259")</f>
        <v>https://arizona.app.box.com/file/389152421259</v>
      </c>
    </row>
    <row r="5206" spans="1:25" x14ac:dyDescent="0.2">
      <c r="A5206">
        <v>1298</v>
      </c>
      <c r="B5206" t="s">
        <v>9287</v>
      </c>
      <c r="C5206" t="s">
        <v>18</v>
      </c>
      <c r="D5206" t="s">
        <v>9076</v>
      </c>
      <c r="E5206" t="s">
        <v>9077</v>
      </c>
      <c r="F5206" t="s">
        <v>1837</v>
      </c>
      <c r="G5206" t="s">
        <v>265</v>
      </c>
      <c r="I5206" t="b">
        <v>0</v>
      </c>
      <c r="J5206" t="b">
        <v>0</v>
      </c>
      <c r="L5206" t="b">
        <v>0</v>
      </c>
      <c r="M5206" t="str">
        <f>HYPERLINK("https://arizona.app.box.com/file/386228485174")</f>
        <v>https://arizona.app.box.com/file/386228485174</v>
      </c>
      <c r="N5206" t="str">
        <f>HYPERLINK("https://arizona.app.box.com/file/386241113911")</f>
        <v>https://arizona.app.box.com/file/386241113911</v>
      </c>
    </row>
    <row r="5207" spans="1:25" x14ac:dyDescent="0.2">
      <c r="A5207">
        <v>1299</v>
      </c>
      <c r="B5207" t="s">
        <v>9287</v>
      </c>
      <c r="C5207" t="s">
        <v>18</v>
      </c>
      <c r="D5207" t="s">
        <v>9291</v>
      </c>
      <c r="E5207" t="s">
        <v>9292</v>
      </c>
      <c r="F5207" t="s">
        <v>1077</v>
      </c>
      <c r="G5207" t="s">
        <v>417</v>
      </c>
      <c r="I5207" t="b">
        <v>0</v>
      </c>
      <c r="J5207" t="b">
        <v>0</v>
      </c>
      <c r="L5207" t="b">
        <v>0</v>
      </c>
    </row>
    <row r="5208" spans="1:25" x14ac:dyDescent="0.2">
      <c r="A5208">
        <v>1300</v>
      </c>
      <c r="B5208" t="s">
        <v>9287</v>
      </c>
      <c r="C5208" t="s">
        <v>18</v>
      </c>
      <c r="D5208" t="s">
        <v>8888</v>
      </c>
      <c r="E5208" t="s">
        <v>8889</v>
      </c>
      <c r="F5208" t="s">
        <v>1077</v>
      </c>
      <c r="G5208" t="s">
        <v>88</v>
      </c>
      <c r="I5208" t="b">
        <v>0</v>
      </c>
      <c r="J5208" t="b">
        <v>0</v>
      </c>
      <c r="L5208" t="b">
        <v>0</v>
      </c>
      <c r="M5208" t="str">
        <f>HYPERLINK("https://arizona.app.box.com/file/386246892991")</f>
        <v>https://arizona.app.box.com/file/386246892991</v>
      </c>
    </row>
    <row r="5210" spans="1:25" x14ac:dyDescent="0.2">
      <c r="A5210" s="2">
        <v>252</v>
      </c>
      <c r="B5210" s="2" t="s">
        <v>9293</v>
      </c>
      <c r="C5210" s="2" t="s">
        <v>13</v>
      </c>
      <c r="D5210" s="2" t="s">
        <v>9294</v>
      </c>
      <c r="E5210" s="2" t="s">
        <v>9295</v>
      </c>
      <c r="F5210" s="2" t="s">
        <v>82</v>
      </c>
      <c r="G5210" s="2" t="s">
        <v>265</v>
      </c>
      <c r="H5210" s="2"/>
      <c r="I5210" s="2"/>
      <c r="J5210" s="2"/>
      <c r="K5210" s="2"/>
      <c r="L5210" s="2"/>
      <c r="M5210" s="2"/>
      <c r="N5210" s="2"/>
      <c r="O5210" s="2"/>
      <c r="P5210" s="2"/>
      <c r="Q5210" s="2"/>
      <c r="R5210" s="2"/>
      <c r="S5210" s="2"/>
      <c r="T5210" s="2"/>
      <c r="U5210" s="2"/>
      <c r="V5210" s="2"/>
      <c r="W5210" s="2"/>
      <c r="X5210" s="2"/>
      <c r="Y5210" s="2"/>
    </row>
    <row r="5211" spans="1:25" x14ac:dyDescent="0.2">
      <c r="A5211">
        <v>253</v>
      </c>
      <c r="B5211" t="s">
        <v>9293</v>
      </c>
      <c r="C5211" t="s">
        <v>18</v>
      </c>
      <c r="D5211" t="s">
        <v>9296</v>
      </c>
      <c r="E5211" t="s">
        <v>9297</v>
      </c>
      <c r="F5211" t="s">
        <v>159</v>
      </c>
      <c r="G5211" t="s">
        <v>265</v>
      </c>
      <c r="I5211" t="b">
        <v>0</v>
      </c>
      <c r="J5211" t="b">
        <v>0</v>
      </c>
      <c r="L5211" t="b">
        <v>0</v>
      </c>
      <c r="M5211" t="str">
        <f>HYPERLINK("https://arizona.app.box.com/file/389172737534")</f>
        <v>https://arizona.app.box.com/file/389172737534</v>
      </c>
      <c r="N5211" t="str">
        <f>HYPERLINK("https://arizona.app.box.com/file/386216713621")</f>
        <v>https://arizona.app.box.com/file/386216713621</v>
      </c>
    </row>
    <row r="5212" spans="1:25" x14ac:dyDescent="0.2">
      <c r="A5212">
        <v>254</v>
      </c>
      <c r="B5212" t="s">
        <v>9293</v>
      </c>
      <c r="C5212" t="s">
        <v>18</v>
      </c>
      <c r="D5212" t="s">
        <v>9298</v>
      </c>
      <c r="E5212" t="s">
        <v>170</v>
      </c>
      <c r="F5212" t="s">
        <v>159</v>
      </c>
      <c r="G5212" t="s">
        <v>265</v>
      </c>
      <c r="I5212" t="b">
        <v>1</v>
      </c>
      <c r="J5212" t="b">
        <v>1</v>
      </c>
      <c r="L5212" t="b">
        <v>1</v>
      </c>
      <c r="M5212" t="str">
        <f>HYPERLINK("https://arizona.app.box.com/file/389262588529")</f>
        <v>https://arizona.app.box.com/file/389262588529</v>
      </c>
      <c r="N5212" t="str">
        <f>HYPERLINK("https://arizona.app.box.com/file/389167535720")</f>
        <v>https://arizona.app.box.com/file/389167535720</v>
      </c>
    </row>
    <row r="5213" spans="1:25" x14ac:dyDescent="0.2">
      <c r="A5213">
        <v>255</v>
      </c>
      <c r="B5213" t="s">
        <v>9293</v>
      </c>
      <c r="C5213" t="s">
        <v>18</v>
      </c>
      <c r="D5213" t="s">
        <v>9299</v>
      </c>
      <c r="E5213" t="s">
        <v>356</v>
      </c>
      <c r="F5213" t="s">
        <v>82</v>
      </c>
      <c r="G5213" t="s">
        <v>265</v>
      </c>
      <c r="I5213" t="b">
        <v>1</v>
      </c>
      <c r="J5213" t="b">
        <v>1</v>
      </c>
      <c r="L5213" t="b">
        <v>1</v>
      </c>
      <c r="M5213" t="str">
        <f>HYPERLINK("https://arizona.app.box.com/file/386244238591")</f>
        <v>https://arizona.app.box.com/file/386244238591</v>
      </c>
    </row>
    <row r="5214" spans="1:25" x14ac:dyDescent="0.2">
      <c r="A5214">
        <v>256</v>
      </c>
      <c r="B5214" t="s">
        <v>9293</v>
      </c>
      <c r="C5214" t="s">
        <v>18</v>
      </c>
      <c r="D5214" t="s">
        <v>9300</v>
      </c>
      <c r="E5214" t="s">
        <v>9301</v>
      </c>
      <c r="F5214" t="s">
        <v>82</v>
      </c>
      <c r="G5214" t="s">
        <v>265</v>
      </c>
      <c r="I5214" t="b">
        <v>0</v>
      </c>
      <c r="J5214" t="b">
        <v>0</v>
      </c>
      <c r="L5214" t="b">
        <v>0</v>
      </c>
    </row>
    <row r="5215" spans="1:25" x14ac:dyDescent="0.2">
      <c r="A5215">
        <v>257</v>
      </c>
      <c r="B5215" t="s">
        <v>9293</v>
      </c>
      <c r="C5215" t="s">
        <v>18</v>
      </c>
      <c r="D5215" t="s">
        <v>3782</v>
      </c>
      <c r="E5215" t="s">
        <v>3783</v>
      </c>
      <c r="F5215" t="s">
        <v>82</v>
      </c>
      <c r="G5215" t="s">
        <v>265</v>
      </c>
      <c r="I5215" t="b">
        <v>0</v>
      </c>
      <c r="J5215" t="b">
        <v>0</v>
      </c>
      <c r="L5215" t="b">
        <v>0</v>
      </c>
      <c r="M5215" t="str">
        <f>HYPERLINK("https://arizona.app.box.com/file/389267505766")</f>
        <v>https://arizona.app.box.com/file/389267505766</v>
      </c>
      <c r="N5215" t="str">
        <f>HYPERLINK("https://arizona.app.box.com/file/389171801862")</f>
        <v>https://arizona.app.box.com/file/389171801862</v>
      </c>
    </row>
    <row r="5217" spans="1:25" x14ac:dyDescent="0.2">
      <c r="A5217" s="2">
        <v>7434</v>
      </c>
      <c r="B5217" s="2" t="s">
        <v>9302</v>
      </c>
      <c r="C5217" s="2" t="s">
        <v>13</v>
      </c>
      <c r="D5217" s="2" t="s">
        <v>9303</v>
      </c>
      <c r="E5217" s="2" t="s">
        <v>9304</v>
      </c>
      <c r="F5217" s="2" t="s">
        <v>122</v>
      </c>
      <c r="G5217" s="2" t="s">
        <v>24</v>
      </c>
      <c r="H5217" s="2"/>
      <c r="I5217" s="2"/>
      <c r="J5217" s="2"/>
      <c r="K5217" s="2"/>
      <c r="L5217" s="2"/>
      <c r="M5217" s="2"/>
      <c r="N5217" s="2"/>
      <c r="O5217" s="2"/>
      <c r="P5217" s="2"/>
      <c r="Q5217" s="2"/>
      <c r="R5217" s="2"/>
      <c r="S5217" s="2"/>
      <c r="T5217" s="2"/>
      <c r="U5217" s="2"/>
      <c r="V5217" s="2"/>
      <c r="W5217" s="2"/>
      <c r="X5217" s="2"/>
      <c r="Y5217" s="2"/>
    </row>
    <row r="5218" spans="1:25" x14ac:dyDescent="0.2">
      <c r="A5218">
        <v>7435</v>
      </c>
      <c r="B5218" t="s">
        <v>9302</v>
      </c>
      <c r="C5218" t="s">
        <v>18</v>
      </c>
      <c r="D5218" t="s">
        <v>9303</v>
      </c>
      <c r="E5218" t="s">
        <v>9304</v>
      </c>
      <c r="F5218" t="s">
        <v>122</v>
      </c>
      <c r="G5218" t="s">
        <v>24</v>
      </c>
      <c r="I5218" t="b">
        <v>1</v>
      </c>
      <c r="J5218" t="b">
        <v>1</v>
      </c>
      <c r="L5218" t="b">
        <v>1</v>
      </c>
      <c r="M5218" t="str">
        <f>HYPERLINK("https://arizona.app.box.com/file/386253908340")</f>
        <v>https://arizona.app.box.com/file/386253908340</v>
      </c>
      <c r="N5218" t="str">
        <f>HYPERLINK("https://arizona.app.box.com/file/386216732083")</f>
        <v>https://arizona.app.box.com/file/386216732083</v>
      </c>
    </row>
    <row r="5219" spans="1:25" x14ac:dyDescent="0.2">
      <c r="A5219">
        <v>7436</v>
      </c>
      <c r="B5219" t="s">
        <v>9302</v>
      </c>
      <c r="C5219" t="s">
        <v>18</v>
      </c>
      <c r="D5219" t="s">
        <v>5987</v>
      </c>
      <c r="E5219" t="s">
        <v>5988</v>
      </c>
      <c r="F5219" t="s">
        <v>122</v>
      </c>
      <c r="G5219" t="s">
        <v>24</v>
      </c>
      <c r="I5219" t="b">
        <v>0</v>
      </c>
      <c r="J5219" t="b">
        <v>0</v>
      </c>
      <c r="L5219" t="b">
        <v>0</v>
      </c>
    </row>
    <row r="5220" spans="1:25" x14ac:dyDescent="0.2">
      <c r="A5220">
        <v>7437</v>
      </c>
      <c r="B5220" t="s">
        <v>9302</v>
      </c>
      <c r="C5220" t="s">
        <v>18</v>
      </c>
      <c r="D5220" t="s">
        <v>3671</v>
      </c>
      <c r="E5220" t="s">
        <v>3672</v>
      </c>
      <c r="F5220" t="s">
        <v>122</v>
      </c>
      <c r="G5220" t="s">
        <v>17</v>
      </c>
      <c r="I5220" t="b">
        <v>0</v>
      </c>
      <c r="J5220" t="b">
        <v>0</v>
      </c>
      <c r="L5220" t="b">
        <v>0</v>
      </c>
      <c r="M5220" t="str">
        <f>HYPERLINK("https://arizona.app.box.com/file/389163073509")</f>
        <v>https://arizona.app.box.com/file/389163073509</v>
      </c>
    </row>
    <row r="5221" spans="1:25" x14ac:dyDescent="0.2">
      <c r="A5221">
        <v>7438</v>
      </c>
      <c r="B5221" t="s">
        <v>9302</v>
      </c>
      <c r="C5221" t="s">
        <v>18</v>
      </c>
      <c r="D5221" t="s">
        <v>967</v>
      </c>
      <c r="E5221" t="s">
        <v>968</v>
      </c>
      <c r="F5221" t="s">
        <v>122</v>
      </c>
      <c r="G5221" t="s">
        <v>17</v>
      </c>
      <c r="I5221" t="b">
        <v>0</v>
      </c>
      <c r="J5221" t="b">
        <v>0</v>
      </c>
      <c r="L5221" t="b">
        <v>0</v>
      </c>
    </row>
    <row r="5222" spans="1:25" x14ac:dyDescent="0.2">
      <c r="A5222">
        <v>7439</v>
      </c>
      <c r="B5222" t="s">
        <v>9302</v>
      </c>
      <c r="C5222" t="s">
        <v>18</v>
      </c>
      <c r="D5222" t="s">
        <v>9305</v>
      </c>
      <c r="E5222" t="s">
        <v>9306</v>
      </c>
      <c r="F5222" t="s">
        <v>122</v>
      </c>
      <c r="G5222" t="s">
        <v>638</v>
      </c>
      <c r="I5222" t="b">
        <v>0</v>
      </c>
      <c r="J5222" t="b">
        <v>0</v>
      </c>
      <c r="L5222" t="b">
        <v>0</v>
      </c>
    </row>
    <row r="5224" spans="1:25" x14ac:dyDescent="0.2">
      <c r="A5224" s="2">
        <v>469</v>
      </c>
      <c r="B5224" s="2" t="s">
        <v>9307</v>
      </c>
      <c r="C5224" s="2" t="s">
        <v>13</v>
      </c>
      <c r="D5224" s="2" t="s">
        <v>9308</v>
      </c>
      <c r="E5224" s="2" t="s">
        <v>9309</v>
      </c>
      <c r="F5224" s="2" t="s">
        <v>78</v>
      </c>
      <c r="G5224" s="2" t="s">
        <v>265</v>
      </c>
      <c r="H5224" s="2"/>
      <c r="I5224" s="2"/>
      <c r="J5224" s="2"/>
      <c r="K5224" s="2"/>
      <c r="L5224" s="2"/>
      <c r="M5224" s="2"/>
      <c r="N5224" s="2"/>
      <c r="O5224" s="2"/>
      <c r="P5224" s="2"/>
      <c r="Q5224" s="2"/>
      <c r="R5224" s="2"/>
      <c r="S5224" s="2"/>
      <c r="T5224" s="2"/>
      <c r="U5224" s="2"/>
      <c r="V5224" s="2"/>
      <c r="W5224" s="2"/>
      <c r="X5224" s="2"/>
      <c r="Y5224" s="2"/>
    </row>
    <row r="5225" spans="1:25" x14ac:dyDescent="0.2">
      <c r="A5225">
        <v>470</v>
      </c>
      <c r="B5225" t="s">
        <v>9307</v>
      </c>
      <c r="C5225" t="s">
        <v>18</v>
      </c>
      <c r="D5225" t="s">
        <v>9308</v>
      </c>
      <c r="E5225" t="s">
        <v>711</v>
      </c>
      <c r="F5225" t="s">
        <v>78</v>
      </c>
      <c r="G5225" t="s">
        <v>265</v>
      </c>
      <c r="I5225" t="b">
        <v>1</v>
      </c>
      <c r="J5225" t="b">
        <v>1</v>
      </c>
      <c r="L5225" t="b">
        <v>1</v>
      </c>
      <c r="M5225" t="str">
        <f>HYPERLINK("https://arizona.app.box.com/file/386245364207")</f>
        <v>https://arizona.app.box.com/file/386245364207</v>
      </c>
    </row>
    <row r="5226" spans="1:25" x14ac:dyDescent="0.2">
      <c r="A5226">
        <v>471</v>
      </c>
      <c r="B5226" t="s">
        <v>9307</v>
      </c>
      <c r="C5226" t="s">
        <v>18</v>
      </c>
      <c r="D5226" t="s">
        <v>9310</v>
      </c>
      <c r="E5226" t="s">
        <v>3901</v>
      </c>
      <c r="F5226" t="s">
        <v>78</v>
      </c>
      <c r="G5226" t="s">
        <v>265</v>
      </c>
      <c r="I5226" t="b">
        <v>1</v>
      </c>
      <c r="J5226" t="b">
        <v>1</v>
      </c>
      <c r="L5226" t="b">
        <v>1</v>
      </c>
      <c r="M5226" t="str">
        <f>HYPERLINK("https://arizona.app.box.com/file/386218548268")</f>
        <v>https://arizona.app.box.com/file/386218548268</v>
      </c>
    </row>
    <row r="5227" spans="1:25" x14ac:dyDescent="0.2">
      <c r="A5227">
        <v>472</v>
      </c>
      <c r="B5227" t="s">
        <v>9307</v>
      </c>
      <c r="C5227" t="s">
        <v>18</v>
      </c>
      <c r="D5227" t="s">
        <v>9311</v>
      </c>
      <c r="E5227" t="s">
        <v>9312</v>
      </c>
      <c r="F5227" t="s">
        <v>78</v>
      </c>
      <c r="G5227" t="s">
        <v>265</v>
      </c>
      <c r="I5227" t="b">
        <v>0</v>
      </c>
      <c r="J5227" t="b">
        <v>0</v>
      </c>
      <c r="L5227" t="b">
        <v>0</v>
      </c>
      <c r="M5227" t="str">
        <f>HYPERLINK("https://arizona.app.box.com/file/389257374564")</f>
        <v>https://arizona.app.box.com/file/389257374564</v>
      </c>
    </row>
    <row r="5228" spans="1:25" x14ac:dyDescent="0.2">
      <c r="A5228">
        <v>473</v>
      </c>
      <c r="B5228" t="s">
        <v>9307</v>
      </c>
      <c r="C5228" t="s">
        <v>18</v>
      </c>
      <c r="D5228" t="s">
        <v>9313</v>
      </c>
      <c r="E5228" t="s">
        <v>3088</v>
      </c>
      <c r="F5228" t="s">
        <v>78</v>
      </c>
      <c r="G5228" t="s">
        <v>864</v>
      </c>
      <c r="I5228" t="b">
        <v>0</v>
      </c>
      <c r="J5228" t="b">
        <v>0</v>
      </c>
      <c r="L5228" t="b">
        <v>0</v>
      </c>
      <c r="M5228" t="str">
        <f>HYPERLINK("https://arizona.app.box.com/file/386216156908")</f>
        <v>https://arizona.app.box.com/file/386216156908</v>
      </c>
    </row>
    <row r="5229" spans="1:25" x14ac:dyDescent="0.2">
      <c r="A5229">
        <v>474</v>
      </c>
      <c r="B5229" t="s">
        <v>9307</v>
      </c>
      <c r="C5229" t="s">
        <v>18</v>
      </c>
      <c r="D5229" t="s">
        <v>2492</v>
      </c>
      <c r="E5229" t="s">
        <v>2493</v>
      </c>
      <c r="F5229" t="s">
        <v>78</v>
      </c>
      <c r="G5229" t="s">
        <v>134</v>
      </c>
      <c r="I5229" t="b">
        <v>0</v>
      </c>
      <c r="J5229" t="b">
        <v>0</v>
      </c>
      <c r="L5229" t="b">
        <v>0</v>
      </c>
    </row>
    <row r="5231" spans="1:25" x14ac:dyDescent="0.2">
      <c r="A5231" s="2">
        <v>63</v>
      </c>
      <c r="B5231" s="2" t="s">
        <v>9314</v>
      </c>
      <c r="C5231" s="2" t="s">
        <v>13</v>
      </c>
      <c r="D5231" s="2" t="s">
        <v>9315</v>
      </c>
      <c r="E5231" s="2" t="s">
        <v>9316</v>
      </c>
      <c r="F5231" s="2" t="s">
        <v>1404</v>
      </c>
      <c r="G5231" s="2" t="s">
        <v>1867</v>
      </c>
      <c r="H5231" s="2"/>
      <c r="I5231" s="2"/>
      <c r="J5231" s="2"/>
      <c r="K5231" s="2"/>
      <c r="L5231" s="2"/>
      <c r="M5231" s="2"/>
      <c r="N5231" s="2"/>
      <c r="O5231" s="2"/>
      <c r="P5231" s="2"/>
      <c r="Q5231" s="2"/>
      <c r="R5231" s="2"/>
      <c r="S5231" s="2"/>
      <c r="T5231" s="2"/>
      <c r="U5231" s="2"/>
      <c r="V5231" s="2"/>
      <c r="W5231" s="2"/>
      <c r="X5231" s="2"/>
      <c r="Y5231" s="2"/>
    </row>
    <row r="5232" spans="1:25" x14ac:dyDescent="0.2">
      <c r="A5232">
        <v>64</v>
      </c>
      <c r="B5232" t="s">
        <v>9314</v>
      </c>
      <c r="C5232" t="s">
        <v>18</v>
      </c>
      <c r="D5232" t="s">
        <v>9317</v>
      </c>
      <c r="E5232" t="s">
        <v>9318</v>
      </c>
      <c r="F5232" t="s">
        <v>82</v>
      </c>
      <c r="G5232" t="s">
        <v>1867</v>
      </c>
      <c r="I5232" t="b">
        <v>1</v>
      </c>
      <c r="J5232" t="b">
        <v>1</v>
      </c>
      <c r="L5232" t="b">
        <v>1</v>
      </c>
      <c r="M5232" t="str">
        <f>HYPERLINK("https://arizona.app.box.com/file/386265113306")</f>
        <v>https://arizona.app.box.com/file/386265113306</v>
      </c>
    </row>
    <row r="5233" spans="1:25" x14ac:dyDescent="0.2">
      <c r="A5233">
        <v>65</v>
      </c>
      <c r="B5233" t="s">
        <v>9314</v>
      </c>
      <c r="C5233" t="s">
        <v>18</v>
      </c>
      <c r="D5233" t="s">
        <v>9319</v>
      </c>
      <c r="E5233" t="s">
        <v>9320</v>
      </c>
      <c r="F5233" t="s">
        <v>82</v>
      </c>
      <c r="G5233" t="s">
        <v>1867</v>
      </c>
      <c r="I5233" t="b">
        <v>1</v>
      </c>
      <c r="J5233" t="b">
        <v>1</v>
      </c>
      <c r="L5233" t="b">
        <v>1</v>
      </c>
      <c r="M5233" t="str">
        <f>HYPERLINK("https://arizona.app.box.com/file/386264955612")</f>
        <v>https://arizona.app.box.com/file/386264955612</v>
      </c>
    </row>
    <row r="5234" spans="1:25" x14ac:dyDescent="0.2">
      <c r="A5234">
        <v>66</v>
      </c>
      <c r="B5234" t="s">
        <v>9314</v>
      </c>
      <c r="C5234" t="s">
        <v>18</v>
      </c>
      <c r="D5234" t="s">
        <v>8246</v>
      </c>
      <c r="E5234" t="s">
        <v>8247</v>
      </c>
      <c r="F5234" t="s">
        <v>45</v>
      </c>
      <c r="G5234" t="s">
        <v>1867</v>
      </c>
      <c r="I5234" t="b">
        <v>0</v>
      </c>
      <c r="J5234" t="b">
        <v>0</v>
      </c>
      <c r="L5234" t="b">
        <v>0</v>
      </c>
      <c r="M5234" t="str">
        <f>HYPERLINK("https://arizona.app.box.com/file/386257506962")</f>
        <v>https://arizona.app.box.com/file/386257506962</v>
      </c>
      <c r="N5234" t="str">
        <f>HYPERLINK("https://arizona.app.box.com/file/386261900066")</f>
        <v>https://arizona.app.box.com/file/386261900066</v>
      </c>
    </row>
    <row r="5235" spans="1:25" x14ac:dyDescent="0.2">
      <c r="A5235">
        <v>67</v>
      </c>
      <c r="B5235" t="s">
        <v>9314</v>
      </c>
      <c r="C5235" t="s">
        <v>18</v>
      </c>
      <c r="D5235" t="s">
        <v>8248</v>
      </c>
      <c r="E5235" t="s">
        <v>8249</v>
      </c>
      <c r="F5235" t="s">
        <v>45</v>
      </c>
      <c r="G5235" t="s">
        <v>502</v>
      </c>
      <c r="I5235" t="b">
        <v>0</v>
      </c>
      <c r="J5235" t="b">
        <v>0</v>
      </c>
      <c r="L5235" t="b">
        <v>0</v>
      </c>
      <c r="M5235" t="str">
        <f>HYPERLINK("https://arizona.app.box.com/file/386241449203")</f>
        <v>https://arizona.app.box.com/file/386241449203</v>
      </c>
    </row>
    <row r="5236" spans="1:25" x14ac:dyDescent="0.2">
      <c r="A5236">
        <v>68</v>
      </c>
      <c r="B5236" t="s">
        <v>9314</v>
      </c>
      <c r="C5236" t="s">
        <v>18</v>
      </c>
      <c r="D5236" t="s">
        <v>8241</v>
      </c>
      <c r="E5236" t="s">
        <v>8242</v>
      </c>
      <c r="F5236" t="s">
        <v>8243</v>
      </c>
      <c r="G5236" t="s">
        <v>1867</v>
      </c>
      <c r="I5236" t="b">
        <v>0</v>
      </c>
      <c r="J5236" t="b">
        <v>0</v>
      </c>
      <c r="L5236" t="b">
        <v>0</v>
      </c>
      <c r="M5236" t="str">
        <f>HYPERLINK("https://arizona.app.box.com/file/389256737375")</f>
        <v>https://arizona.app.box.com/file/389256737375</v>
      </c>
      <c r="N5236" t="str">
        <f>HYPERLINK("https://arizona.app.box.com/file/389152488846")</f>
        <v>https://arizona.app.box.com/file/389152488846</v>
      </c>
      <c r="O5236" t="str">
        <f>HYPERLINK("https://arizona.app.box.com/file/389168613651")</f>
        <v>https://arizona.app.box.com/file/389168613651</v>
      </c>
      <c r="P5236" t="str">
        <f>HYPERLINK("https://arizona.app.box.com/file/386237394128")</f>
        <v>https://arizona.app.box.com/file/386237394128</v>
      </c>
    </row>
    <row r="5238" spans="1:25" x14ac:dyDescent="0.2">
      <c r="A5238" s="2">
        <v>4592</v>
      </c>
      <c r="B5238" s="2" t="s">
        <v>9321</v>
      </c>
      <c r="C5238" s="2" t="s">
        <v>13</v>
      </c>
      <c r="D5238" s="2" t="s">
        <v>9322</v>
      </c>
      <c r="E5238" s="2" t="s">
        <v>9323</v>
      </c>
      <c r="F5238" s="2" t="s">
        <v>23</v>
      </c>
      <c r="G5238" s="2" t="s">
        <v>417</v>
      </c>
      <c r="H5238" s="2"/>
      <c r="I5238" s="2"/>
      <c r="J5238" s="2"/>
      <c r="K5238" s="2"/>
      <c r="L5238" s="2"/>
      <c r="M5238" s="2"/>
      <c r="N5238" s="2"/>
      <c r="O5238" s="2"/>
      <c r="P5238" s="2"/>
      <c r="Q5238" s="2"/>
      <c r="R5238" s="2"/>
      <c r="S5238" s="2"/>
      <c r="T5238" s="2"/>
      <c r="U5238" s="2"/>
      <c r="V5238" s="2"/>
      <c r="W5238" s="2"/>
      <c r="X5238" s="2"/>
      <c r="Y5238" s="2"/>
    </row>
    <row r="5239" spans="1:25" x14ac:dyDescent="0.2">
      <c r="A5239">
        <v>4593</v>
      </c>
      <c r="B5239" t="s">
        <v>9321</v>
      </c>
      <c r="C5239" t="s">
        <v>18</v>
      </c>
      <c r="D5239" t="s">
        <v>9322</v>
      </c>
      <c r="E5239" t="s">
        <v>4302</v>
      </c>
      <c r="F5239" t="s">
        <v>23</v>
      </c>
      <c r="G5239" t="s">
        <v>417</v>
      </c>
      <c r="I5239" t="b">
        <v>1</v>
      </c>
      <c r="J5239" t="b">
        <v>1</v>
      </c>
      <c r="L5239" t="b">
        <v>1</v>
      </c>
      <c r="M5239" t="str">
        <f>HYPERLINK("https://arizona.app.box.com/file/389255808442")</f>
        <v>https://arizona.app.box.com/file/389255808442</v>
      </c>
      <c r="N5239" t="str">
        <f>HYPERLINK("https://arizona.app.box.com/file/389169839603")</f>
        <v>https://arizona.app.box.com/file/389169839603</v>
      </c>
    </row>
    <row r="5240" spans="1:25" x14ac:dyDescent="0.2">
      <c r="A5240">
        <v>4594</v>
      </c>
      <c r="B5240" t="s">
        <v>9321</v>
      </c>
      <c r="C5240" t="s">
        <v>18</v>
      </c>
      <c r="D5240" t="s">
        <v>9324</v>
      </c>
      <c r="E5240" t="s">
        <v>530</v>
      </c>
      <c r="F5240" t="s">
        <v>23</v>
      </c>
      <c r="G5240" t="s">
        <v>417</v>
      </c>
      <c r="I5240" t="b">
        <v>1</v>
      </c>
      <c r="J5240" t="b">
        <v>1</v>
      </c>
      <c r="L5240" t="b">
        <v>1</v>
      </c>
      <c r="M5240" t="str">
        <f>HYPERLINK("https://arizona.app.box.com/file/386242499139")</f>
        <v>https://arizona.app.box.com/file/386242499139</v>
      </c>
    </row>
    <row r="5241" spans="1:25" x14ac:dyDescent="0.2">
      <c r="A5241">
        <v>4595</v>
      </c>
      <c r="B5241" t="s">
        <v>9321</v>
      </c>
      <c r="C5241" t="s">
        <v>18</v>
      </c>
      <c r="D5241" t="s">
        <v>9325</v>
      </c>
      <c r="E5241" t="s">
        <v>9326</v>
      </c>
      <c r="F5241" t="s">
        <v>369</v>
      </c>
      <c r="G5241" t="s">
        <v>417</v>
      </c>
      <c r="I5241" t="b">
        <v>0</v>
      </c>
      <c r="J5241" t="b">
        <v>0</v>
      </c>
      <c r="L5241" t="b">
        <v>0</v>
      </c>
      <c r="M5241" t="str">
        <f>HYPERLINK("https://arizona.app.box.com/file/386213844329")</f>
        <v>https://arizona.app.box.com/file/386213844329</v>
      </c>
      <c r="N5241" t="str">
        <f>HYPERLINK("https://arizona.app.box.com/file/386229683897")</f>
        <v>https://arizona.app.box.com/file/386229683897</v>
      </c>
    </row>
    <row r="5242" spans="1:25" x14ac:dyDescent="0.2">
      <c r="A5242">
        <v>4596</v>
      </c>
      <c r="B5242" t="s">
        <v>9321</v>
      </c>
      <c r="C5242" t="s">
        <v>18</v>
      </c>
      <c r="D5242" t="s">
        <v>9327</v>
      </c>
      <c r="E5242" t="s">
        <v>6601</v>
      </c>
      <c r="F5242" t="s">
        <v>23</v>
      </c>
      <c r="G5242" t="s">
        <v>417</v>
      </c>
      <c r="I5242" t="b">
        <v>0</v>
      </c>
      <c r="J5242" t="b">
        <v>0</v>
      </c>
      <c r="L5242" t="b">
        <v>0</v>
      </c>
      <c r="M5242" t="str">
        <f>HYPERLINK("https://arizona.app.box.com/file/386245652345")</f>
        <v>https://arizona.app.box.com/file/386245652345</v>
      </c>
    </row>
    <row r="5243" spans="1:25" x14ac:dyDescent="0.2">
      <c r="A5243">
        <v>4597</v>
      </c>
      <c r="B5243" t="s">
        <v>9321</v>
      </c>
      <c r="C5243" t="s">
        <v>18</v>
      </c>
      <c r="D5243" t="s">
        <v>715</v>
      </c>
      <c r="E5243" t="s">
        <v>716</v>
      </c>
      <c r="F5243" t="s">
        <v>717</v>
      </c>
      <c r="G5243" t="s">
        <v>62</v>
      </c>
      <c r="I5243" t="b">
        <v>0</v>
      </c>
      <c r="J5243" t="b">
        <v>0</v>
      </c>
      <c r="L5243" t="b">
        <v>0</v>
      </c>
      <c r="M5243" t="str">
        <f>HYPERLINK("https://arizona.app.box.com/file/386242601503")</f>
        <v>https://arizona.app.box.com/file/386242601503</v>
      </c>
      <c r="N5243" t="str">
        <f>HYPERLINK("https://arizona.app.box.com/file/386229764355")</f>
        <v>https://arizona.app.box.com/file/386229764355</v>
      </c>
    </row>
    <row r="5245" spans="1:25" x14ac:dyDescent="0.2">
      <c r="A5245" s="2">
        <v>924</v>
      </c>
      <c r="B5245" s="2" t="s">
        <v>9328</v>
      </c>
      <c r="C5245" s="2" t="s">
        <v>13</v>
      </c>
      <c r="D5245" s="2" t="s">
        <v>4511</v>
      </c>
      <c r="E5245" s="2" t="s">
        <v>9329</v>
      </c>
      <c r="F5245" s="2" t="s">
        <v>122</v>
      </c>
      <c r="G5245" s="2" t="s">
        <v>502</v>
      </c>
      <c r="H5245" s="2"/>
      <c r="I5245" s="2"/>
      <c r="J5245" s="2"/>
      <c r="K5245" s="2"/>
      <c r="L5245" s="2"/>
      <c r="M5245" s="2"/>
      <c r="N5245" s="2"/>
      <c r="O5245" s="2"/>
      <c r="P5245" s="2"/>
      <c r="Q5245" s="2"/>
      <c r="R5245" s="2"/>
      <c r="S5245" s="2"/>
      <c r="T5245" s="2"/>
      <c r="U5245" s="2"/>
      <c r="V5245" s="2"/>
      <c r="W5245" s="2"/>
      <c r="X5245" s="2"/>
      <c r="Y5245" s="2"/>
    </row>
    <row r="5246" spans="1:25" x14ac:dyDescent="0.2">
      <c r="A5246">
        <v>925</v>
      </c>
      <c r="B5246" t="s">
        <v>9328</v>
      </c>
      <c r="C5246" t="s">
        <v>18</v>
      </c>
      <c r="D5246" t="s">
        <v>4511</v>
      </c>
      <c r="E5246" t="s">
        <v>4512</v>
      </c>
      <c r="F5246" t="s">
        <v>122</v>
      </c>
      <c r="G5246" t="s">
        <v>502</v>
      </c>
      <c r="I5246" t="b">
        <v>1</v>
      </c>
      <c r="J5246" t="b">
        <v>1</v>
      </c>
      <c r="L5246" t="b">
        <v>1</v>
      </c>
      <c r="M5246" t="str">
        <f>HYPERLINK("https://arizona.app.box.com/file/389257419779")</f>
        <v>https://arizona.app.box.com/file/389257419779</v>
      </c>
      <c r="N5246" t="str">
        <f>HYPERLINK("https://arizona.app.box.com/file/389164853256")</f>
        <v>https://arizona.app.box.com/file/389164853256</v>
      </c>
    </row>
    <row r="5247" spans="1:25" x14ac:dyDescent="0.2">
      <c r="A5247">
        <v>926</v>
      </c>
      <c r="B5247" t="s">
        <v>9328</v>
      </c>
      <c r="C5247" t="s">
        <v>18</v>
      </c>
      <c r="D5247" t="s">
        <v>9330</v>
      </c>
      <c r="E5247" t="s">
        <v>9331</v>
      </c>
      <c r="F5247" t="s">
        <v>122</v>
      </c>
      <c r="G5247" t="s">
        <v>502</v>
      </c>
      <c r="I5247" t="b">
        <v>0</v>
      </c>
      <c r="J5247" t="b">
        <v>0</v>
      </c>
      <c r="L5247" t="b">
        <v>0</v>
      </c>
      <c r="M5247" t="str">
        <f>HYPERLINK("https://arizona.app.box.com/file/386228092710")</f>
        <v>https://arizona.app.box.com/file/386228092710</v>
      </c>
    </row>
    <row r="5248" spans="1:25" x14ac:dyDescent="0.2">
      <c r="A5248">
        <v>927</v>
      </c>
      <c r="B5248" t="s">
        <v>9328</v>
      </c>
      <c r="C5248" t="s">
        <v>18</v>
      </c>
      <c r="D5248" t="s">
        <v>9332</v>
      </c>
      <c r="E5248" t="s">
        <v>9333</v>
      </c>
      <c r="F5248" t="s">
        <v>6173</v>
      </c>
      <c r="G5248" t="s">
        <v>502</v>
      </c>
      <c r="I5248" t="b">
        <v>0</v>
      </c>
      <c r="J5248" t="b">
        <v>0</v>
      </c>
      <c r="L5248" t="b">
        <v>0</v>
      </c>
    </row>
    <row r="5249" spans="1:25" x14ac:dyDescent="0.2">
      <c r="A5249">
        <v>928</v>
      </c>
      <c r="B5249" t="s">
        <v>9328</v>
      </c>
      <c r="C5249" t="s">
        <v>18</v>
      </c>
      <c r="D5249" t="s">
        <v>9334</v>
      </c>
      <c r="E5249" t="s">
        <v>9335</v>
      </c>
      <c r="F5249" t="s">
        <v>510</v>
      </c>
      <c r="G5249" t="s">
        <v>252</v>
      </c>
      <c r="I5249" t="b">
        <v>0</v>
      </c>
      <c r="J5249" t="b">
        <v>0</v>
      </c>
      <c r="L5249" t="b">
        <v>0</v>
      </c>
      <c r="M5249" t="str">
        <f>HYPERLINK("https://arizona.app.box.com/file/386244724716")</f>
        <v>https://arizona.app.box.com/file/386244724716</v>
      </c>
      <c r="N5249" t="str">
        <f>HYPERLINK("https://arizona.app.box.com/file/386246672638")</f>
        <v>https://arizona.app.box.com/file/386246672638</v>
      </c>
    </row>
    <row r="5250" spans="1:25" x14ac:dyDescent="0.2">
      <c r="A5250">
        <v>929</v>
      </c>
      <c r="B5250" t="s">
        <v>9328</v>
      </c>
      <c r="C5250" t="s">
        <v>18</v>
      </c>
      <c r="D5250" t="s">
        <v>6143</v>
      </c>
      <c r="E5250" t="s">
        <v>6144</v>
      </c>
      <c r="F5250" t="s">
        <v>6145</v>
      </c>
      <c r="G5250" t="s">
        <v>252</v>
      </c>
      <c r="I5250" t="b">
        <v>0</v>
      </c>
      <c r="J5250" t="b">
        <v>0</v>
      </c>
      <c r="L5250" t="b">
        <v>0</v>
      </c>
      <c r="M5250" t="str">
        <f>HYPERLINK("https://arizona.app.box.com/file/386239635537")</f>
        <v>https://arizona.app.box.com/file/386239635537</v>
      </c>
      <c r="N5250" t="str">
        <f>HYPERLINK("https://arizona.app.box.com/file/386241113911")</f>
        <v>https://arizona.app.box.com/file/386241113911</v>
      </c>
    </row>
    <row r="5252" spans="1:25" x14ac:dyDescent="0.2">
      <c r="A5252" s="2">
        <v>84</v>
      </c>
      <c r="B5252" s="2" t="s">
        <v>9336</v>
      </c>
      <c r="C5252" s="2" t="s">
        <v>13</v>
      </c>
      <c r="D5252" s="2" t="s">
        <v>9337</v>
      </c>
      <c r="E5252" s="2" t="s">
        <v>9338</v>
      </c>
      <c r="F5252" s="2" t="s">
        <v>23</v>
      </c>
      <c r="G5252" s="2" t="s">
        <v>62</v>
      </c>
      <c r="H5252" s="2"/>
      <c r="I5252" s="2"/>
      <c r="J5252" s="2"/>
      <c r="K5252" s="2"/>
      <c r="L5252" s="2"/>
      <c r="M5252" s="2"/>
      <c r="N5252" s="2"/>
      <c r="O5252" s="2"/>
      <c r="P5252" s="2"/>
      <c r="Q5252" s="2"/>
      <c r="R5252" s="2"/>
      <c r="S5252" s="2"/>
      <c r="T5252" s="2"/>
      <c r="U5252" s="2"/>
      <c r="V5252" s="2"/>
      <c r="W5252" s="2"/>
      <c r="X5252" s="2"/>
      <c r="Y5252" s="2"/>
    </row>
    <row r="5253" spans="1:25" x14ac:dyDescent="0.2">
      <c r="A5253">
        <v>85</v>
      </c>
      <c r="B5253" t="s">
        <v>9336</v>
      </c>
      <c r="C5253" t="s">
        <v>18</v>
      </c>
      <c r="D5253" t="s">
        <v>9337</v>
      </c>
      <c r="E5253" t="s">
        <v>9339</v>
      </c>
      <c r="F5253" t="s">
        <v>23</v>
      </c>
      <c r="G5253" t="s">
        <v>62</v>
      </c>
      <c r="I5253" t="b">
        <v>1</v>
      </c>
      <c r="J5253" t="b">
        <v>1</v>
      </c>
      <c r="L5253" t="b">
        <v>1</v>
      </c>
      <c r="M5253" t="str">
        <f>HYPERLINK("https://arizona.app.box.com/file/386235899227")</f>
        <v>https://arizona.app.box.com/file/386235899227</v>
      </c>
      <c r="N5253" t="str">
        <f>HYPERLINK("https://arizona.app.box.com/file/386215172792")</f>
        <v>https://arizona.app.box.com/file/386215172792</v>
      </c>
    </row>
    <row r="5254" spans="1:25" x14ac:dyDescent="0.2">
      <c r="A5254">
        <v>86</v>
      </c>
      <c r="B5254" t="s">
        <v>9336</v>
      </c>
      <c r="C5254" t="s">
        <v>18</v>
      </c>
      <c r="D5254" t="s">
        <v>9340</v>
      </c>
      <c r="E5254" t="s">
        <v>2361</v>
      </c>
      <c r="F5254" t="s">
        <v>23</v>
      </c>
      <c r="G5254" t="s">
        <v>62</v>
      </c>
      <c r="I5254" t="b">
        <v>1</v>
      </c>
      <c r="J5254" t="b">
        <v>0</v>
      </c>
      <c r="L5254" t="b">
        <v>1</v>
      </c>
      <c r="M5254" t="str">
        <f>HYPERLINK("https://arizona.app.box.com/file/386241929391")</f>
        <v>https://arizona.app.box.com/file/386241929391</v>
      </c>
    </row>
    <row r="5255" spans="1:25" x14ac:dyDescent="0.2">
      <c r="A5255">
        <v>87</v>
      </c>
      <c r="B5255" t="s">
        <v>9336</v>
      </c>
      <c r="C5255" t="s">
        <v>18</v>
      </c>
      <c r="D5255" t="s">
        <v>9341</v>
      </c>
      <c r="E5255" t="s">
        <v>9342</v>
      </c>
      <c r="F5255" t="s">
        <v>23</v>
      </c>
      <c r="G5255" t="s">
        <v>62</v>
      </c>
      <c r="I5255" t="b">
        <v>1</v>
      </c>
      <c r="J5255" t="b">
        <v>0</v>
      </c>
      <c r="L5255" t="b">
        <v>1</v>
      </c>
      <c r="M5255" t="str">
        <f>HYPERLINK("https://arizona.app.box.com/file/386229065560")</f>
        <v>https://arizona.app.box.com/file/386229065560</v>
      </c>
    </row>
    <row r="5256" spans="1:25" x14ac:dyDescent="0.2">
      <c r="A5256">
        <v>88</v>
      </c>
      <c r="B5256" t="s">
        <v>9336</v>
      </c>
      <c r="C5256" t="s">
        <v>18</v>
      </c>
      <c r="D5256" t="s">
        <v>3385</v>
      </c>
      <c r="E5256" t="s">
        <v>3386</v>
      </c>
      <c r="F5256" t="s">
        <v>2388</v>
      </c>
      <c r="G5256" t="s">
        <v>62</v>
      </c>
      <c r="I5256" t="b">
        <v>0</v>
      </c>
      <c r="J5256" t="b">
        <v>0</v>
      </c>
      <c r="L5256" t="b">
        <v>0</v>
      </c>
      <c r="M5256" t="str">
        <f>HYPERLINK("https://arizona.app.box.com/file/386241200100")</f>
        <v>https://arizona.app.box.com/file/386241200100</v>
      </c>
    </row>
    <row r="5257" spans="1:25" x14ac:dyDescent="0.2">
      <c r="A5257">
        <v>89</v>
      </c>
      <c r="B5257" t="s">
        <v>9336</v>
      </c>
      <c r="C5257" t="s">
        <v>18</v>
      </c>
      <c r="D5257" t="s">
        <v>3383</v>
      </c>
      <c r="E5257" t="s">
        <v>3384</v>
      </c>
      <c r="F5257" t="s">
        <v>2388</v>
      </c>
      <c r="G5257" t="s">
        <v>62</v>
      </c>
      <c r="I5257" t="b">
        <v>0</v>
      </c>
      <c r="J5257" t="b">
        <v>0</v>
      </c>
      <c r="L5257" t="b">
        <v>0</v>
      </c>
    </row>
    <row r="5259" spans="1:25" x14ac:dyDescent="0.2">
      <c r="A5259" s="2">
        <v>581</v>
      </c>
      <c r="B5259" s="2" t="s">
        <v>9343</v>
      </c>
      <c r="C5259" s="2" t="s">
        <v>13</v>
      </c>
      <c r="D5259" s="2" t="s">
        <v>9344</v>
      </c>
      <c r="E5259" s="2" t="s">
        <v>9345</v>
      </c>
      <c r="F5259" s="2" t="s">
        <v>168</v>
      </c>
      <c r="G5259" s="2" t="s">
        <v>17</v>
      </c>
      <c r="H5259" s="2"/>
      <c r="I5259" s="2"/>
      <c r="J5259" s="2"/>
      <c r="K5259" s="2"/>
      <c r="L5259" s="2"/>
      <c r="M5259" s="2"/>
      <c r="N5259" s="2"/>
      <c r="O5259" s="2"/>
      <c r="P5259" s="2"/>
      <c r="Q5259" s="2"/>
      <c r="R5259" s="2"/>
      <c r="S5259" s="2"/>
      <c r="T5259" s="2"/>
      <c r="U5259" s="2"/>
      <c r="V5259" s="2"/>
      <c r="W5259" s="2"/>
      <c r="X5259" s="2"/>
      <c r="Y5259" s="2"/>
    </row>
    <row r="5260" spans="1:25" x14ac:dyDescent="0.2">
      <c r="A5260">
        <v>582</v>
      </c>
      <c r="B5260" t="s">
        <v>9343</v>
      </c>
      <c r="C5260" t="s">
        <v>18</v>
      </c>
      <c r="D5260" t="s">
        <v>9344</v>
      </c>
      <c r="E5260" t="s">
        <v>9346</v>
      </c>
      <c r="F5260" t="s">
        <v>168</v>
      </c>
      <c r="G5260" t="s">
        <v>17</v>
      </c>
      <c r="I5260" t="b">
        <v>1</v>
      </c>
      <c r="J5260" t="b">
        <v>1</v>
      </c>
      <c r="L5260" t="b">
        <v>1</v>
      </c>
      <c r="M5260" t="str">
        <f>HYPERLINK("https://arizona.app.box.com/file/389163747051")</f>
        <v>https://arizona.app.box.com/file/389163747051</v>
      </c>
      <c r="N5260" t="str">
        <f>HYPERLINK("https://arizona.app.box.com/file/386241216191")</f>
        <v>https://arizona.app.box.com/file/386241216191</v>
      </c>
    </row>
    <row r="5261" spans="1:25" x14ac:dyDescent="0.2">
      <c r="A5261">
        <v>583</v>
      </c>
      <c r="B5261" t="s">
        <v>9343</v>
      </c>
      <c r="C5261" t="s">
        <v>18</v>
      </c>
      <c r="D5261" t="s">
        <v>9347</v>
      </c>
      <c r="E5261" t="s">
        <v>9348</v>
      </c>
      <c r="F5261" t="s">
        <v>168</v>
      </c>
      <c r="G5261" t="s">
        <v>17</v>
      </c>
      <c r="I5261" t="b">
        <v>1</v>
      </c>
      <c r="J5261" t="b">
        <v>1</v>
      </c>
      <c r="L5261" t="b">
        <v>1</v>
      </c>
      <c r="M5261" t="str">
        <f>HYPERLINK("https://arizona.app.box.com/file/389174218404")</f>
        <v>https://arizona.app.box.com/file/389174218404</v>
      </c>
      <c r="N5261" t="str">
        <f>HYPERLINK("https://arizona.app.box.com/file/386216318505")</f>
        <v>https://arizona.app.box.com/file/386216318505</v>
      </c>
    </row>
    <row r="5262" spans="1:25" x14ac:dyDescent="0.2">
      <c r="A5262">
        <v>584</v>
      </c>
      <c r="B5262" t="s">
        <v>9343</v>
      </c>
      <c r="C5262" t="s">
        <v>18</v>
      </c>
      <c r="D5262" t="s">
        <v>547</v>
      </c>
      <c r="E5262" t="s">
        <v>548</v>
      </c>
      <c r="F5262" t="s">
        <v>78</v>
      </c>
      <c r="G5262" t="s">
        <v>17</v>
      </c>
      <c r="I5262" t="b">
        <v>0</v>
      </c>
      <c r="J5262" t="b">
        <v>0</v>
      </c>
      <c r="L5262" t="b">
        <v>0</v>
      </c>
      <c r="M5262" t="str">
        <f>HYPERLINK("https://arizona.app.box.com/file/389267170499")</f>
        <v>https://arizona.app.box.com/file/389267170499</v>
      </c>
      <c r="N5262" t="str">
        <f>HYPERLINK("https://arizona.app.box.com/file/389265433672")</f>
        <v>https://arizona.app.box.com/file/389265433672</v>
      </c>
      <c r="O5262" t="str">
        <f>HYPERLINK("https://arizona.app.box.com/file/389152970720")</f>
        <v>https://arizona.app.box.com/file/389152970720</v>
      </c>
    </row>
    <row r="5263" spans="1:25" x14ac:dyDescent="0.2">
      <c r="A5263">
        <v>585</v>
      </c>
      <c r="B5263" t="s">
        <v>9343</v>
      </c>
      <c r="C5263" t="s">
        <v>18</v>
      </c>
      <c r="D5263" t="s">
        <v>9349</v>
      </c>
      <c r="E5263" t="s">
        <v>9350</v>
      </c>
      <c r="F5263" t="s">
        <v>369</v>
      </c>
      <c r="G5263" t="s">
        <v>88</v>
      </c>
      <c r="I5263" t="b">
        <v>0</v>
      </c>
      <c r="J5263" t="b">
        <v>0</v>
      </c>
      <c r="L5263" t="b">
        <v>0</v>
      </c>
      <c r="M5263" t="str">
        <f>HYPERLINK("https://arizona.app.box.com/file/389175033124")</f>
        <v>https://arizona.app.box.com/file/389175033124</v>
      </c>
      <c r="N5263" t="str">
        <f>HYPERLINK("https://arizona.app.box.com/file/386238844191")</f>
        <v>https://arizona.app.box.com/file/386238844191</v>
      </c>
    </row>
    <row r="5264" spans="1:25" x14ac:dyDescent="0.2">
      <c r="A5264">
        <v>586</v>
      </c>
      <c r="B5264" t="s">
        <v>9343</v>
      </c>
      <c r="C5264" t="s">
        <v>18</v>
      </c>
      <c r="D5264" t="s">
        <v>555</v>
      </c>
      <c r="E5264" t="s">
        <v>556</v>
      </c>
      <c r="F5264" t="s">
        <v>78</v>
      </c>
      <c r="G5264" t="s">
        <v>17</v>
      </c>
      <c r="I5264" t="b">
        <v>0</v>
      </c>
      <c r="J5264" t="b">
        <v>0</v>
      </c>
      <c r="L5264" t="b">
        <v>0</v>
      </c>
      <c r="M5264" t="str">
        <f>HYPERLINK("https://arizona.app.box.com/file/389263138828")</f>
        <v>https://arizona.app.box.com/file/389263138828</v>
      </c>
    </row>
    <row r="5266" spans="1:25" x14ac:dyDescent="0.2">
      <c r="A5266" s="2">
        <v>1134</v>
      </c>
      <c r="B5266" s="2" t="s">
        <v>9351</v>
      </c>
      <c r="C5266" s="2" t="s">
        <v>13</v>
      </c>
      <c r="D5266" s="2" t="s">
        <v>3500</v>
      </c>
      <c r="E5266" s="2" t="s">
        <v>9352</v>
      </c>
      <c r="F5266" s="2" t="s">
        <v>78</v>
      </c>
      <c r="G5266" s="2" t="s">
        <v>252</v>
      </c>
      <c r="H5266" s="2"/>
      <c r="I5266" s="2"/>
      <c r="J5266" s="2"/>
      <c r="K5266" s="2"/>
      <c r="L5266" s="2"/>
      <c r="M5266" s="2"/>
      <c r="N5266" s="2"/>
      <c r="O5266" s="2"/>
      <c r="P5266" s="2"/>
      <c r="Q5266" s="2"/>
      <c r="R5266" s="2"/>
      <c r="S5266" s="2"/>
      <c r="T5266" s="2"/>
      <c r="U5266" s="2"/>
      <c r="V5266" s="2"/>
      <c r="W5266" s="2"/>
      <c r="X5266" s="2"/>
      <c r="Y5266" s="2"/>
    </row>
    <row r="5267" spans="1:25" x14ac:dyDescent="0.2">
      <c r="A5267">
        <v>1135</v>
      </c>
      <c r="B5267" t="s">
        <v>9351</v>
      </c>
      <c r="C5267" t="s">
        <v>18</v>
      </c>
      <c r="D5267" t="s">
        <v>3500</v>
      </c>
      <c r="E5267" t="s">
        <v>3501</v>
      </c>
      <c r="F5267" t="s">
        <v>78</v>
      </c>
      <c r="G5267" t="s">
        <v>252</v>
      </c>
      <c r="I5267" t="b">
        <v>1</v>
      </c>
      <c r="J5267" t="b">
        <v>1</v>
      </c>
      <c r="L5267" t="b">
        <v>1</v>
      </c>
      <c r="M5267" t="str">
        <f>HYPERLINK("https://arizona.app.box.com/file/389268934785")</f>
        <v>https://arizona.app.box.com/file/389268934785</v>
      </c>
      <c r="N5267" t="str">
        <f>HYPERLINK("https://arizona.app.box.com/file/389153112707")</f>
        <v>https://arizona.app.box.com/file/389153112707</v>
      </c>
    </row>
    <row r="5268" spans="1:25" x14ac:dyDescent="0.2">
      <c r="A5268">
        <v>1136</v>
      </c>
      <c r="B5268" t="s">
        <v>9351</v>
      </c>
      <c r="C5268" t="s">
        <v>18</v>
      </c>
      <c r="D5268" t="s">
        <v>3497</v>
      </c>
      <c r="E5268" t="s">
        <v>1472</v>
      </c>
      <c r="F5268" t="s">
        <v>78</v>
      </c>
      <c r="G5268" t="s">
        <v>252</v>
      </c>
      <c r="I5268" t="b">
        <v>1</v>
      </c>
      <c r="J5268" t="b">
        <v>1</v>
      </c>
      <c r="L5268" t="b">
        <v>1</v>
      </c>
      <c r="M5268" t="str">
        <f>HYPERLINK("https://arizona.app.box.com/file/389264006612")</f>
        <v>https://arizona.app.box.com/file/389264006612</v>
      </c>
      <c r="N5268" t="str">
        <f>HYPERLINK("https://arizona.app.box.com/file/389162830913")</f>
        <v>https://arizona.app.box.com/file/389162830913</v>
      </c>
    </row>
    <row r="5269" spans="1:25" x14ac:dyDescent="0.2">
      <c r="A5269">
        <v>1137</v>
      </c>
      <c r="B5269" t="s">
        <v>9351</v>
      </c>
      <c r="C5269" t="s">
        <v>18</v>
      </c>
      <c r="D5269" t="s">
        <v>3494</v>
      </c>
      <c r="E5269" t="s">
        <v>209</v>
      </c>
      <c r="F5269" t="s">
        <v>420</v>
      </c>
      <c r="G5269" t="s">
        <v>252</v>
      </c>
      <c r="I5269" t="b">
        <v>0</v>
      </c>
      <c r="J5269" t="b">
        <v>0</v>
      </c>
      <c r="L5269" t="b">
        <v>0</v>
      </c>
      <c r="M5269" t="str">
        <f>HYPERLINK("https://arizona.app.box.com/file/389255941642")</f>
        <v>https://arizona.app.box.com/file/389255941642</v>
      </c>
      <c r="N5269" t="str">
        <f>HYPERLINK("https://arizona.app.box.com/file/389169161420")</f>
        <v>https://arizona.app.box.com/file/389169161420</v>
      </c>
    </row>
    <row r="5270" spans="1:25" x14ac:dyDescent="0.2">
      <c r="A5270">
        <v>1138</v>
      </c>
      <c r="B5270" t="s">
        <v>9351</v>
      </c>
      <c r="C5270" t="s">
        <v>18</v>
      </c>
      <c r="D5270" t="s">
        <v>4307</v>
      </c>
      <c r="E5270" t="s">
        <v>4308</v>
      </c>
      <c r="F5270" t="s">
        <v>420</v>
      </c>
      <c r="G5270" t="s">
        <v>252</v>
      </c>
      <c r="I5270" t="b">
        <v>0</v>
      </c>
      <c r="J5270" t="b">
        <v>0</v>
      </c>
      <c r="L5270" t="b">
        <v>0</v>
      </c>
      <c r="M5270" t="str">
        <f>HYPERLINK("https://arizona.app.box.com/file/389154072848")</f>
        <v>https://arizona.app.box.com/file/389154072848</v>
      </c>
      <c r="N5270" t="str">
        <f>HYPERLINK("https://arizona.app.box.com/file/386225521097")</f>
        <v>https://arizona.app.box.com/file/386225521097</v>
      </c>
    </row>
    <row r="5271" spans="1:25" x14ac:dyDescent="0.2">
      <c r="A5271">
        <v>1139</v>
      </c>
      <c r="B5271" t="s">
        <v>9351</v>
      </c>
      <c r="C5271" t="s">
        <v>18</v>
      </c>
      <c r="D5271" t="s">
        <v>9353</v>
      </c>
      <c r="E5271" t="s">
        <v>9354</v>
      </c>
      <c r="F5271" t="s">
        <v>420</v>
      </c>
      <c r="G5271" t="s">
        <v>252</v>
      </c>
      <c r="I5271" t="b">
        <v>0</v>
      </c>
      <c r="J5271" t="b">
        <v>0</v>
      </c>
      <c r="L5271" t="b">
        <v>0</v>
      </c>
      <c r="M5271" t="str">
        <f>HYPERLINK("https://arizona.app.box.com/file/389262186583")</f>
        <v>https://arizona.app.box.com/file/389262186583</v>
      </c>
      <c r="N5271" t="str">
        <f>HYPERLINK("https://arizona.app.box.com/file/389152363890")</f>
        <v>https://arizona.app.box.com/file/389152363890</v>
      </c>
    </row>
    <row r="5273" spans="1:25" x14ac:dyDescent="0.2">
      <c r="A5273" s="2">
        <v>5047</v>
      </c>
      <c r="B5273" s="2" t="s">
        <v>9355</v>
      </c>
      <c r="C5273" s="2" t="s">
        <v>13</v>
      </c>
      <c r="D5273" s="2" t="s">
        <v>6466</v>
      </c>
      <c r="E5273" s="2" t="s">
        <v>9356</v>
      </c>
      <c r="F5273" s="2" t="s">
        <v>159</v>
      </c>
      <c r="G5273" s="2" t="s">
        <v>280</v>
      </c>
      <c r="H5273" s="2"/>
      <c r="I5273" s="2"/>
      <c r="J5273" s="2"/>
      <c r="K5273" s="2"/>
      <c r="L5273" s="2"/>
      <c r="M5273" s="2"/>
      <c r="N5273" s="2"/>
      <c r="O5273" s="2"/>
      <c r="P5273" s="2"/>
      <c r="Q5273" s="2"/>
      <c r="R5273" s="2"/>
      <c r="S5273" s="2"/>
      <c r="T5273" s="2"/>
      <c r="U5273" s="2"/>
      <c r="V5273" s="2"/>
      <c r="W5273" s="2"/>
      <c r="X5273" s="2"/>
      <c r="Y5273" s="2"/>
    </row>
    <row r="5274" spans="1:25" x14ac:dyDescent="0.2">
      <c r="A5274">
        <v>5048</v>
      </c>
      <c r="B5274" t="s">
        <v>9355</v>
      </c>
      <c r="C5274" t="s">
        <v>18</v>
      </c>
      <c r="D5274" t="s">
        <v>6466</v>
      </c>
      <c r="E5274" t="s">
        <v>3085</v>
      </c>
      <c r="F5274" t="s">
        <v>159</v>
      </c>
      <c r="G5274" t="s">
        <v>280</v>
      </c>
      <c r="I5274" t="b">
        <v>1</v>
      </c>
      <c r="J5274" t="b">
        <v>1</v>
      </c>
      <c r="L5274" t="b">
        <v>1</v>
      </c>
      <c r="M5274" t="str">
        <f>HYPERLINK("https://arizona.app.box.com/file/389161880171")</f>
        <v>https://arizona.app.box.com/file/389161880171</v>
      </c>
    </row>
    <row r="5275" spans="1:25" x14ac:dyDescent="0.2">
      <c r="A5275">
        <v>5049</v>
      </c>
      <c r="B5275" t="s">
        <v>9355</v>
      </c>
      <c r="C5275" t="s">
        <v>18</v>
      </c>
      <c r="D5275" t="s">
        <v>4357</v>
      </c>
      <c r="E5275" t="s">
        <v>4358</v>
      </c>
      <c r="F5275" t="s">
        <v>82</v>
      </c>
      <c r="G5275" t="s">
        <v>280</v>
      </c>
      <c r="I5275" t="b">
        <v>1</v>
      </c>
      <c r="J5275" t="b">
        <v>0</v>
      </c>
      <c r="L5275" t="b">
        <v>1</v>
      </c>
      <c r="M5275" t="str">
        <f>HYPERLINK("https://arizona.app.box.com/file/389168099075")</f>
        <v>https://arizona.app.box.com/file/389168099075</v>
      </c>
    </row>
    <row r="5276" spans="1:25" x14ac:dyDescent="0.2">
      <c r="A5276">
        <v>5050</v>
      </c>
      <c r="B5276" t="s">
        <v>9355</v>
      </c>
      <c r="C5276" t="s">
        <v>18</v>
      </c>
      <c r="D5276" t="s">
        <v>9357</v>
      </c>
      <c r="E5276" t="s">
        <v>9358</v>
      </c>
      <c r="F5276" t="s">
        <v>159</v>
      </c>
      <c r="G5276" t="s">
        <v>280</v>
      </c>
      <c r="I5276" t="b">
        <v>0</v>
      </c>
      <c r="J5276" t="b">
        <v>0</v>
      </c>
      <c r="L5276" t="b">
        <v>0</v>
      </c>
      <c r="M5276" t="str">
        <f>HYPERLINK("https://arizona.app.box.com/file/389167115585")</f>
        <v>https://arizona.app.box.com/file/389167115585</v>
      </c>
      <c r="N5276" t="str">
        <f>HYPERLINK("https://arizona.app.box.com/file/389164742487")</f>
        <v>https://arizona.app.box.com/file/389164742487</v>
      </c>
    </row>
    <row r="5277" spans="1:25" x14ac:dyDescent="0.2">
      <c r="A5277">
        <v>5051</v>
      </c>
      <c r="B5277" t="s">
        <v>9355</v>
      </c>
      <c r="C5277" t="s">
        <v>18</v>
      </c>
      <c r="D5277" t="s">
        <v>9359</v>
      </c>
      <c r="E5277" t="s">
        <v>9360</v>
      </c>
      <c r="F5277" t="s">
        <v>654</v>
      </c>
      <c r="G5277" t="s">
        <v>280</v>
      </c>
      <c r="I5277" t="b">
        <v>0</v>
      </c>
      <c r="J5277" t="b">
        <v>0</v>
      </c>
      <c r="L5277" t="b">
        <v>0</v>
      </c>
      <c r="M5277" t="str">
        <f>HYPERLINK("https://arizona.app.box.com/file/389163050759")</f>
        <v>https://arizona.app.box.com/file/389163050759</v>
      </c>
      <c r="N5277" t="str">
        <f>HYPERLINK("https://arizona.app.box.com/file/389169066285")</f>
        <v>https://arizona.app.box.com/file/389169066285</v>
      </c>
    </row>
    <row r="5278" spans="1:25" x14ac:dyDescent="0.2">
      <c r="A5278">
        <v>5052</v>
      </c>
      <c r="B5278" t="s">
        <v>9355</v>
      </c>
      <c r="C5278" t="s">
        <v>18</v>
      </c>
      <c r="D5278" t="s">
        <v>4341</v>
      </c>
      <c r="E5278" t="s">
        <v>4343</v>
      </c>
      <c r="F5278" t="s">
        <v>248</v>
      </c>
      <c r="G5278" t="s">
        <v>280</v>
      </c>
      <c r="I5278" t="b">
        <v>0</v>
      </c>
      <c r="J5278" t="b">
        <v>0</v>
      </c>
      <c r="L5278" t="b">
        <v>0</v>
      </c>
      <c r="M5278" t="str">
        <f>HYPERLINK("https://arizona.app.box.com/file/389162940575")</f>
        <v>https://arizona.app.box.com/file/389162940575</v>
      </c>
      <c r="N5278" t="str">
        <f>HYPERLINK("https://arizona.app.box.com/file/389171969815")</f>
        <v>https://arizona.app.box.com/file/389171969815</v>
      </c>
    </row>
    <row r="5280" spans="1:25" x14ac:dyDescent="0.2">
      <c r="A5280" s="2">
        <v>5964</v>
      </c>
      <c r="B5280" s="2" t="s">
        <v>9361</v>
      </c>
      <c r="C5280" s="2" t="s">
        <v>13</v>
      </c>
      <c r="D5280" s="2" t="s">
        <v>430</v>
      </c>
      <c r="E5280" s="2" t="s">
        <v>9362</v>
      </c>
      <c r="F5280" s="2" t="s">
        <v>316</v>
      </c>
      <c r="G5280" s="2" t="s">
        <v>417</v>
      </c>
      <c r="H5280" s="2"/>
      <c r="I5280" s="2"/>
      <c r="J5280" s="2"/>
      <c r="K5280" s="2"/>
      <c r="L5280" s="2"/>
      <c r="M5280" s="2"/>
      <c r="N5280" s="2"/>
      <c r="O5280" s="2"/>
      <c r="P5280" s="2"/>
      <c r="Q5280" s="2"/>
      <c r="R5280" s="2"/>
      <c r="S5280" s="2"/>
      <c r="T5280" s="2"/>
      <c r="U5280" s="2"/>
      <c r="V5280" s="2"/>
      <c r="W5280" s="2"/>
      <c r="X5280" s="2"/>
      <c r="Y5280" s="2"/>
    </row>
    <row r="5281" spans="1:25" x14ac:dyDescent="0.2">
      <c r="A5281">
        <v>5965</v>
      </c>
      <c r="B5281" t="s">
        <v>9361</v>
      </c>
      <c r="C5281" t="s">
        <v>18</v>
      </c>
      <c r="D5281" t="s">
        <v>430</v>
      </c>
      <c r="E5281" t="s">
        <v>431</v>
      </c>
      <c r="F5281" t="s">
        <v>316</v>
      </c>
      <c r="G5281" t="s">
        <v>417</v>
      </c>
      <c r="I5281" t="b">
        <v>1</v>
      </c>
      <c r="J5281" t="b">
        <v>1</v>
      </c>
      <c r="L5281" t="b">
        <v>1</v>
      </c>
      <c r="M5281" t="str">
        <f>HYPERLINK("https://arizona.app.box.com/file/389263789899")</f>
        <v>https://arizona.app.box.com/file/389263789899</v>
      </c>
      <c r="N5281" t="str">
        <f>HYPERLINK("https://arizona.app.box.com/file/386218508025")</f>
        <v>https://arizona.app.box.com/file/386218508025</v>
      </c>
    </row>
    <row r="5282" spans="1:25" x14ac:dyDescent="0.2">
      <c r="A5282">
        <v>5966</v>
      </c>
      <c r="B5282" t="s">
        <v>9361</v>
      </c>
      <c r="C5282" t="s">
        <v>18</v>
      </c>
      <c r="D5282" t="s">
        <v>9363</v>
      </c>
      <c r="E5282" t="s">
        <v>489</v>
      </c>
      <c r="F5282" t="s">
        <v>316</v>
      </c>
      <c r="G5282" t="s">
        <v>417</v>
      </c>
      <c r="I5282" t="b">
        <v>1</v>
      </c>
      <c r="J5282" t="b">
        <v>1</v>
      </c>
      <c r="L5282" t="b">
        <v>1</v>
      </c>
      <c r="M5282" t="str">
        <f>HYPERLINK("https://arizona.app.box.com/file/386243267503")</f>
        <v>https://arizona.app.box.com/file/386243267503</v>
      </c>
    </row>
    <row r="5283" spans="1:25" x14ac:dyDescent="0.2">
      <c r="A5283">
        <v>5967</v>
      </c>
      <c r="B5283" t="s">
        <v>9361</v>
      </c>
      <c r="C5283" t="s">
        <v>18</v>
      </c>
      <c r="D5283" t="s">
        <v>9364</v>
      </c>
      <c r="E5283" t="s">
        <v>9365</v>
      </c>
      <c r="F5283" t="s">
        <v>316</v>
      </c>
      <c r="G5283" t="s">
        <v>1290</v>
      </c>
      <c r="I5283" t="b">
        <v>0</v>
      </c>
      <c r="J5283" t="b">
        <v>0</v>
      </c>
      <c r="L5283" t="b">
        <v>0</v>
      </c>
    </row>
    <row r="5284" spans="1:25" x14ac:dyDescent="0.2">
      <c r="A5284">
        <v>5968</v>
      </c>
      <c r="B5284" t="s">
        <v>9361</v>
      </c>
      <c r="C5284" t="s">
        <v>18</v>
      </c>
      <c r="D5284" t="s">
        <v>9366</v>
      </c>
      <c r="E5284" t="s">
        <v>9367</v>
      </c>
      <c r="F5284" t="s">
        <v>316</v>
      </c>
      <c r="G5284" t="s">
        <v>1290</v>
      </c>
      <c r="I5284" t="b">
        <v>0</v>
      </c>
      <c r="J5284" t="b">
        <v>0</v>
      </c>
      <c r="L5284" t="b">
        <v>0</v>
      </c>
    </row>
    <row r="5285" spans="1:25" x14ac:dyDescent="0.2">
      <c r="A5285">
        <v>5969</v>
      </c>
      <c r="B5285" t="s">
        <v>9361</v>
      </c>
      <c r="C5285" t="s">
        <v>18</v>
      </c>
      <c r="D5285" t="s">
        <v>9368</v>
      </c>
      <c r="E5285" t="s">
        <v>9369</v>
      </c>
      <c r="F5285" t="s">
        <v>316</v>
      </c>
      <c r="G5285" t="s">
        <v>1290</v>
      </c>
      <c r="I5285" t="b">
        <v>0</v>
      </c>
      <c r="J5285" t="b">
        <v>0</v>
      </c>
      <c r="L5285" t="b">
        <v>0</v>
      </c>
    </row>
    <row r="5287" spans="1:25" x14ac:dyDescent="0.2">
      <c r="A5287" s="2">
        <v>6286</v>
      </c>
      <c r="B5287" s="2" t="s">
        <v>9370</v>
      </c>
      <c r="C5287" s="2" t="s">
        <v>13</v>
      </c>
      <c r="D5287" s="2" t="s">
        <v>9371</v>
      </c>
      <c r="E5287" s="2" t="s">
        <v>9372</v>
      </c>
      <c r="F5287" s="2" t="s">
        <v>78</v>
      </c>
      <c r="G5287" s="2" t="s">
        <v>88</v>
      </c>
      <c r="H5287" s="2"/>
      <c r="I5287" s="2"/>
      <c r="J5287" s="2"/>
      <c r="K5287" s="2"/>
      <c r="L5287" s="2"/>
      <c r="M5287" s="2"/>
      <c r="N5287" s="2"/>
      <c r="O5287" s="2"/>
      <c r="P5287" s="2"/>
      <c r="Q5287" s="2"/>
      <c r="R5287" s="2"/>
      <c r="S5287" s="2"/>
      <c r="T5287" s="2"/>
      <c r="U5287" s="2"/>
      <c r="V5287" s="2"/>
      <c r="W5287" s="2"/>
      <c r="X5287" s="2"/>
      <c r="Y5287" s="2"/>
    </row>
    <row r="5288" spans="1:25" x14ac:dyDescent="0.2">
      <c r="A5288">
        <v>6287</v>
      </c>
      <c r="B5288" t="s">
        <v>9370</v>
      </c>
      <c r="C5288" t="s">
        <v>18</v>
      </c>
      <c r="D5288" t="s">
        <v>9371</v>
      </c>
      <c r="E5288" t="s">
        <v>9372</v>
      </c>
      <c r="F5288" t="s">
        <v>78</v>
      </c>
      <c r="G5288" t="s">
        <v>88</v>
      </c>
      <c r="I5288" t="b">
        <v>1</v>
      </c>
      <c r="J5288" t="b">
        <v>1</v>
      </c>
      <c r="L5288" t="b">
        <v>1</v>
      </c>
      <c r="M5288" t="str">
        <f>HYPERLINK("https://arizona.app.box.com/file/386260995962")</f>
        <v>https://arizona.app.box.com/file/386260995962</v>
      </c>
      <c r="N5288" t="str">
        <f>HYPERLINK("https://arizona.app.box.com/file/386264873598")</f>
        <v>https://arizona.app.box.com/file/386264873598</v>
      </c>
    </row>
    <row r="5289" spans="1:25" x14ac:dyDescent="0.2">
      <c r="A5289">
        <v>6288</v>
      </c>
      <c r="B5289" t="s">
        <v>9370</v>
      </c>
      <c r="C5289" t="s">
        <v>18</v>
      </c>
      <c r="D5289" t="s">
        <v>7771</v>
      </c>
      <c r="E5289" t="s">
        <v>7772</v>
      </c>
      <c r="F5289" t="s">
        <v>78</v>
      </c>
      <c r="G5289" t="s">
        <v>88</v>
      </c>
      <c r="I5289" t="b">
        <v>0</v>
      </c>
      <c r="J5289" t="b">
        <v>0</v>
      </c>
      <c r="L5289" t="b">
        <v>0</v>
      </c>
      <c r="M5289" t="str">
        <f>HYPERLINK("https://arizona.app.box.com/file/386243596012")</f>
        <v>https://arizona.app.box.com/file/386243596012</v>
      </c>
      <c r="N5289" t="str">
        <f>HYPERLINK("https://arizona.app.box.com/file/386247657407")</f>
        <v>https://arizona.app.box.com/file/386247657407</v>
      </c>
    </row>
    <row r="5290" spans="1:25" x14ac:dyDescent="0.2">
      <c r="A5290">
        <v>6289</v>
      </c>
      <c r="B5290" t="s">
        <v>9370</v>
      </c>
      <c r="C5290" t="s">
        <v>18</v>
      </c>
      <c r="D5290" t="s">
        <v>9373</v>
      </c>
      <c r="E5290" t="s">
        <v>9374</v>
      </c>
      <c r="F5290" t="s">
        <v>420</v>
      </c>
      <c r="G5290" t="s">
        <v>88</v>
      </c>
      <c r="I5290" t="b">
        <v>0</v>
      </c>
      <c r="J5290" t="b">
        <v>0</v>
      </c>
      <c r="L5290" t="b">
        <v>0</v>
      </c>
      <c r="M5290" t="str">
        <f>HYPERLINK("https://arizona.app.box.com/file/386240517636")</f>
        <v>https://arizona.app.box.com/file/386240517636</v>
      </c>
      <c r="N5290" t="str">
        <f>HYPERLINK("https://arizona.app.box.com/file/386244929700")</f>
        <v>https://arizona.app.box.com/file/386244929700</v>
      </c>
    </row>
    <row r="5291" spans="1:25" x14ac:dyDescent="0.2">
      <c r="A5291">
        <v>6290</v>
      </c>
      <c r="B5291" t="s">
        <v>9370</v>
      </c>
      <c r="C5291" t="s">
        <v>18</v>
      </c>
      <c r="D5291" t="s">
        <v>9375</v>
      </c>
      <c r="E5291" t="s">
        <v>9376</v>
      </c>
      <c r="F5291" t="s">
        <v>420</v>
      </c>
      <c r="G5291" t="s">
        <v>88</v>
      </c>
      <c r="I5291" t="b">
        <v>0</v>
      </c>
      <c r="J5291" t="b">
        <v>0</v>
      </c>
      <c r="L5291" t="b">
        <v>0</v>
      </c>
    </row>
    <row r="5292" spans="1:25" x14ac:dyDescent="0.2">
      <c r="A5292">
        <v>6291</v>
      </c>
      <c r="B5292" t="s">
        <v>9370</v>
      </c>
      <c r="C5292" t="s">
        <v>18</v>
      </c>
      <c r="D5292" t="s">
        <v>1438</v>
      </c>
      <c r="E5292" t="s">
        <v>299</v>
      </c>
      <c r="F5292" t="s">
        <v>654</v>
      </c>
      <c r="G5292" t="s">
        <v>88</v>
      </c>
      <c r="I5292" t="b">
        <v>0</v>
      </c>
      <c r="J5292" t="b">
        <v>0</v>
      </c>
      <c r="L5292" t="b">
        <v>0</v>
      </c>
      <c r="M5292" t="str">
        <f>HYPERLINK("https://arizona.app.box.com/file/389174225428")</f>
        <v>https://arizona.app.box.com/file/389174225428</v>
      </c>
      <c r="N5292" t="str">
        <f>HYPERLINK("https://arizona.app.box.com/file/386241580210")</f>
        <v>https://arizona.app.box.com/file/386241580210</v>
      </c>
    </row>
    <row r="5294" spans="1:25" x14ac:dyDescent="0.2">
      <c r="A5294" s="2">
        <v>427</v>
      </c>
      <c r="B5294" s="2" t="s">
        <v>9377</v>
      </c>
      <c r="C5294" s="2" t="s">
        <v>13</v>
      </c>
      <c r="D5294" s="2" t="s">
        <v>9378</v>
      </c>
      <c r="E5294" s="2" t="s">
        <v>9379</v>
      </c>
      <c r="F5294" s="2" t="s">
        <v>159</v>
      </c>
      <c r="G5294" s="2" t="s">
        <v>879</v>
      </c>
      <c r="H5294" s="2"/>
      <c r="I5294" s="2"/>
      <c r="J5294" s="2"/>
      <c r="K5294" s="2"/>
      <c r="L5294" s="2"/>
      <c r="M5294" s="2"/>
      <c r="N5294" s="2"/>
      <c r="O5294" s="2"/>
      <c r="P5294" s="2"/>
      <c r="Q5294" s="2"/>
      <c r="R5294" s="2"/>
      <c r="S5294" s="2"/>
      <c r="T5294" s="2"/>
      <c r="U5294" s="2"/>
      <c r="V5294" s="2"/>
      <c r="W5294" s="2"/>
      <c r="X5294" s="2"/>
      <c r="Y5294" s="2"/>
    </row>
    <row r="5295" spans="1:25" x14ac:dyDescent="0.2">
      <c r="A5295">
        <v>428</v>
      </c>
      <c r="B5295" t="s">
        <v>9377</v>
      </c>
      <c r="C5295" t="s">
        <v>18</v>
      </c>
      <c r="D5295" t="s">
        <v>9378</v>
      </c>
      <c r="E5295" t="s">
        <v>365</v>
      </c>
      <c r="F5295" t="s">
        <v>159</v>
      </c>
      <c r="G5295" t="s">
        <v>879</v>
      </c>
      <c r="I5295" t="b">
        <v>1</v>
      </c>
      <c r="J5295" t="b">
        <v>1</v>
      </c>
      <c r="L5295" t="b">
        <v>1</v>
      </c>
      <c r="M5295" t="str">
        <f>HYPERLINK("https://arizona.app.box.com/file/389176939367")</f>
        <v>https://arizona.app.box.com/file/389176939367</v>
      </c>
      <c r="N5295" t="str">
        <f>HYPERLINK("https://arizona.app.box.com/file/386234605408")</f>
        <v>https://arizona.app.box.com/file/386234605408</v>
      </c>
    </row>
    <row r="5296" spans="1:25" x14ac:dyDescent="0.2">
      <c r="A5296">
        <v>429</v>
      </c>
      <c r="B5296" t="s">
        <v>9377</v>
      </c>
      <c r="C5296" t="s">
        <v>18</v>
      </c>
      <c r="D5296" t="s">
        <v>9380</v>
      </c>
      <c r="E5296" t="s">
        <v>4204</v>
      </c>
      <c r="F5296" t="s">
        <v>159</v>
      </c>
      <c r="G5296" t="s">
        <v>879</v>
      </c>
      <c r="I5296" t="b">
        <v>1</v>
      </c>
      <c r="J5296" t="b">
        <v>1</v>
      </c>
      <c r="L5296" t="b">
        <v>1</v>
      </c>
      <c r="M5296" t="str">
        <f>HYPERLINK("https://arizona.app.box.com/file/389173875044")</f>
        <v>https://arizona.app.box.com/file/389173875044</v>
      </c>
      <c r="N5296" t="str">
        <f>HYPERLINK("https://arizona.app.box.com/file/386244350510")</f>
        <v>https://arizona.app.box.com/file/386244350510</v>
      </c>
    </row>
    <row r="5297" spans="1:25" x14ac:dyDescent="0.2">
      <c r="A5297">
        <v>430</v>
      </c>
      <c r="B5297" t="s">
        <v>9377</v>
      </c>
      <c r="C5297" t="s">
        <v>18</v>
      </c>
      <c r="D5297" t="s">
        <v>2398</v>
      </c>
      <c r="E5297" t="s">
        <v>2399</v>
      </c>
      <c r="F5297" t="s">
        <v>144</v>
      </c>
      <c r="G5297" t="s">
        <v>879</v>
      </c>
      <c r="I5297" t="b">
        <v>0</v>
      </c>
      <c r="J5297" t="b">
        <v>0</v>
      </c>
      <c r="L5297" t="b">
        <v>0</v>
      </c>
      <c r="M5297" t="str">
        <f>HYPERLINK("https://arizona.app.box.com/file/389264066670")</f>
        <v>https://arizona.app.box.com/file/389264066670</v>
      </c>
      <c r="N5297" t="str">
        <f>HYPERLINK("https://arizona.app.box.com/file/389159540067")</f>
        <v>https://arizona.app.box.com/file/389159540067</v>
      </c>
    </row>
    <row r="5298" spans="1:25" x14ac:dyDescent="0.2">
      <c r="A5298">
        <v>431</v>
      </c>
      <c r="B5298" t="s">
        <v>9377</v>
      </c>
      <c r="C5298" t="s">
        <v>18</v>
      </c>
      <c r="D5298" t="s">
        <v>2041</v>
      </c>
      <c r="E5298" t="s">
        <v>2043</v>
      </c>
      <c r="F5298" t="s">
        <v>78</v>
      </c>
      <c r="G5298" t="s">
        <v>879</v>
      </c>
      <c r="I5298" t="b">
        <v>0</v>
      </c>
      <c r="J5298" t="b">
        <v>0</v>
      </c>
      <c r="L5298" t="b">
        <v>0</v>
      </c>
      <c r="M5298" t="str">
        <f>HYPERLINK("https://arizona.app.box.com/file/389267630814")</f>
        <v>https://arizona.app.box.com/file/389267630814</v>
      </c>
      <c r="N5298" t="str">
        <f>HYPERLINK("https://arizona.app.box.com/file/389169927500")</f>
        <v>https://arizona.app.box.com/file/389169927500</v>
      </c>
    </row>
    <row r="5299" spans="1:25" x14ac:dyDescent="0.2">
      <c r="A5299">
        <v>432</v>
      </c>
      <c r="B5299" t="s">
        <v>9377</v>
      </c>
      <c r="C5299" t="s">
        <v>18</v>
      </c>
      <c r="D5299" t="s">
        <v>2048</v>
      </c>
      <c r="E5299" t="s">
        <v>2049</v>
      </c>
      <c r="F5299" t="s">
        <v>78</v>
      </c>
      <c r="G5299" t="s">
        <v>2050</v>
      </c>
      <c r="I5299" t="b">
        <v>0</v>
      </c>
      <c r="J5299" t="b">
        <v>0</v>
      </c>
      <c r="L5299" t="b">
        <v>0</v>
      </c>
      <c r="M5299" t="str">
        <f>HYPERLINK("https://arizona.app.box.com/file/389263937128")</f>
        <v>https://arizona.app.box.com/file/389263937128</v>
      </c>
    </row>
    <row r="5301" spans="1:25" x14ac:dyDescent="0.2">
      <c r="A5301" s="2">
        <v>6608</v>
      </c>
      <c r="B5301" s="2" t="s">
        <v>9381</v>
      </c>
      <c r="C5301" s="2" t="s">
        <v>13</v>
      </c>
      <c r="D5301" s="2" t="s">
        <v>9382</v>
      </c>
      <c r="E5301" s="2" t="s">
        <v>9383</v>
      </c>
      <c r="F5301" s="2" t="s">
        <v>670</v>
      </c>
      <c r="G5301" s="2" t="s">
        <v>24</v>
      </c>
      <c r="H5301" s="2"/>
      <c r="I5301" s="2"/>
      <c r="J5301" s="2"/>
      <c r="K5301" s="2"/>
      <c r="L5301" s="2"/>
      <c r="M5301" s="2"/>
      <c r="N5301" s="2"/>
      <c r="O5301" s="2"/>
      <c r="P5301" s="2"/>
      <c r="Q5301" s="2"/>
      <c r="R5301" s="2"/>
      <c r="S5301" s="2"/>
      <c r="T5301" s="2"/>
      <c r="U5301" s="2"/>
      <c r="V5301" s="2"/>
      <c r="W5301" s="2"/>
      <c r="X5301" s="2"/>
      <c r="Y5301" s="2"/>
    </row>
    <row r="5302" spans="1:25" x14ac:dyDescent="0.2">
      <c r="A5302">
        <v>6609</v>
      </c>
      <c r="B5302" t="s">
        <v>9381</v>
      </c>
      <c r="C5302" t="s">
        <v>18</v>
      </c>
      <c r="D5302" t="s">
        <v>9384</v>
      </c>
      <c r="E5302" t="s">
        <v>416</v>
      </c>
      <c r="F5302" t="s">
        <v>670</v>
      </c>
      <c r="G5302" t="s">
        <v>24</v>
      </c>
      <c r="I5302" t="b">
        <v>1</v>
      </c>
      <c r="J5302" t="b">
        <v>1</v>
      </c>
      <c r="L5302" t="b">
        <v>1</v>
      </c>
      <c r="M5302" t="str">
        <f>HYPERLINK("https://arizona.app.box.com/file/389176033704")</f>
        <v>https://arizona.app.box.com/file/389176033704</v>
      </c>
      <c r="N5302" t="str">
        <f>HYPERLINK("https://arizona.app.box.com/file/386213344262")</f>
        <v>https://arizona.app.box.com/file/386213344262</v>
      </c>
    </row>
    <row r="5303" spans="1:25" x14ac:dyDescent="0.2">
      <c r="A5303">
        <v>6610</v>
      </c>
      <c r="B5303" t="s">
        <v>9381</v>
      </c>
      <c r="C5303" t="s">
        <v>18</v>
      </c>
      <c r="D5303" t="s">
        <v>9385</v>
      </c>
      <c r="E5303" t="s">
        <v>9386</v>
      </c>
      <c r="F5303" t="s">
        <v>670</v>
      </c>
      <c r="G5303" t="s">
        <v>24</v>
      </c>
      <c r="I5303" t="b">
        <v>1</v>
      </c>
      <c r="J5303" t="b">
        <v>1</v>
      </c>
      <c r="L5303" t="b">
        <v>1</v>
      </c>
    </row>
    <row r="5304" spans="1:25" x14ac:dyDescent="0.2">
      <c r="A5304">
        <v>6611</v>
      </c>
      <c r="B5304" t="s">
        <v>9381</v>
      </c>
      <c r="C5304" t="s">
        <v>18</v>
      </c>
      <c r="D5304" t="s">
        <v>9387</v>
      </c>
      <c r="E5304" t="s">
        <v>9388</v>
      </c>
      <c r="F5304" t="s">
        <v>670</v>
      </c>
      <c r="G5304" t="s">
        <v>252</v>
      </c>
      <c r="I5304" t="b">
        <v>0</v>
      </c>
      <c r="J5304" t="b">
        <v>0</v>
      </c>
      <c r="L5304" t="b">
        <v>0</v>
      </c>
    </row>
    <row r="5305" spans="1:25" x14ac:dyDescent="0.2">
      <c r="A5305">
        <v>6612</v>
      </c>
      <c r="B5305" t="s">
        <v>9381</v>
      </c>
      <c r="C5305" t="s">
        <v>18</v>
      </c>
      <c r="D5305" t="s">
        <v>5822</v>
      </c>
      <c r="E5305" t="s">
        <v>5823</v>
      </c>
      <c r="F5305" t="s">
        <v>670</v>
      </c>
      <c r="G5305" t="s">
        <v>24</v>
      </c>
      <c r="I5305" t="b">
        <v>0</v>
      </c>
      <c r="J5305" t="b">
        <v>0</v>
      </c>
      <c r="L5305" t="b">
        <v>0</v>
      </c>
      <c r="M5305" t="str">
        <f>HYPERLINK("https://arizona.app.box.com/file/389268100242")</f>
        <v>https://arizona.app.box.com/file/389268100242</v>
      </c>
      <c r="N5305" t="str">
        <f>HYPERLINK("https://arizona.app.box.com/file/389153863520")</f>
        <v>https://arizona.app.box.com/file/389153863520</v>
      </c>
    </row>
    <row r="5306" spans="1:25" x14ac:dyDescent="0.2">
      <c r="A5306">
        <v>6613</v>
      </c>
      <c r="B5306" t="s">
        <v>9381</v>
      </c>
      <c r="C5306" t="s">
        <v>18</v>
      </c>
      <c r="D5306" t="s">
        <v>5642</v>
      </c>
      <c r="E5306" t="s">
        <v>5644</v>
      </c>
      <c r="F5306" t="s">
        <v>670</v>
      </c>
      <c r="G5306" t="s">
        <v>24</v>
      </c>
      <c r="I5306" t="b">
        <v>0</v>
      </c>
      <c r="J5306" t="b">
        <v>0</v>
      </c>
      <c r="L5306" t="b">
        <v>0</v>
      </c>
      <c r="M5306" t="str">
        <f>HYPERLINK("https://arizona.app.box.com/file/386238948451")</f>
        <v>https://arizona.app.box.com/file/386238948451</v>
      </c>
      <c r="N5306" t="str">
        <f>HYPERLINK("https://arizona.app.box.com/file/386227363587")</f>
        <v>https://arizona.app.box.com/file/386227363587</v>
      </c>
    </row>
    <row r="5308" spans="1:25" x14ac:dyDescent="0.2">
      <c r="A5308" s="2">
        <v>1736</v>
      </c>
      <c r="B5308" s="2" t="s">
        <v>9389</v>
      </c>
      <c r="C5308" s="2" t="s">
        <v>13</v>
      </c>
      <c r="D5308" s="2" t="s">
        <v>3020</v>
      </c>
      <c r="E5308" s="2" t="s">
        <v>3021</v>
      </c>
      <c r="F5308" s="2" t="s">
        <v>159</v>
      </c>
      <c r="G5308" s="2" t="s">
        <v>101</v>
      </c>
      <c r="H5308" s="2"/>
      <c r="I5308" s="2"/>
      <c r="J5308" s="2"/>
      <c r="K5308" s="2"/>
      <c r="L5308" s="2"/>
      <c r="M5308" s="2"/>
      <c r="N5308" s="2"/>
      <c r="O5308" s="2"/>
      <c r="P5308" s="2"/>
      <c r="Q5308" s="2"/>
      <c r="R5308" s="2"/>
      <c r="S5308" s="2"/>
      <c r="T5308" s="2"/>
      <c r="U5308" s="2"/>
      <c r="V5308" s="2"/>
      <c r="W5308" s="2"/>
      <c r="X5308" s="2"/>
      <c r="Y5308" s="2"/>
    </row>
    <row r="5309" spans="1:25" x14ac:dyDescent="0.2">
      <c r="A5309">
        <v>1737</v>
      </c>
      <c r="B5309" t="s">
        <v>9389</v>
      </c>
      <c r="C5309" t="s">
        <v>18</v>
      </c>
      <c r="D5309" t="s">
        <v>3020</v>
      </c>
      <c r="E5309" t="s">
        <v>3021</v>
      </c>
      <c r="F5309" t="s">
        <v>82</v>
      </c>
      <c r="G5309" t="s">
        <v>101</v>
      </c>
      <c r="I5309" t="b">
        <v>1</v>
      </c>
      <c r="J5309" t="b">
        <v>1</v>
      </c>
      <c r="L5309" t="b">
        <v>1</v>
      </c>
      <c r="M5309" t="str">
        <f>HYPERLINK("https://arizona.app.box.com/file/386240704387")</f>
        <v>https://arizona.app.box.com/file/386240704387</v>
      </c>
      <c r="N5309" t="str">
        <f>HYPERLINK("https://arizona.app.box.com/file/386213497088")</f>
        <v>https://arizona.app.box.com/file/386213497088</v>
      </c>
    </row>
    <row r="5310" spans="1:25" x14ac:dyDescent="0.2">
      <c r="A5310">
        <v>1738</v>
      </c>
      <c r="B5310" t="s">
        <v>9389</v>
      </c>
      <c r="C5310" t="s">
        <v>18</v>
      </c>
      <c r="D5310" t="s">
        <v>3017</v>
      </c>
      <c r="E5310" t="s">
        <v>3018</v>
      </c>
      <c r="F5310" t="s">
        <v>71</v>
      </c>
      <c r="G5310" t="s">
        <v>101</v>
      </c>
      <c r="I5310" t="b">
        <v>0</v>
      </c>
      <c r="J5310" t="b">
        <v>0</v>
      </c>
      <c r="L5310" t="b">
        <v>0</v>
      </c>
      <c r="M5310" t="str">
        <f>HYPERLINK("https://arizona.app.box.com/file/386232171887")</f>
        <v>https://arizona.app.box.com/file/386232171887</v>
      </c>
    </row>
    <row r="5311" spans="1:25" x14ac:dyDescent="0.2">
      <c r="A5311">
        <v>1739</v>
      </c>
      <c r="B5311" t="s">
        <v>9389</v>
      </c>
      <c r="C5311" t="s">
        <v>18</v>
      </c>
      <c r="D5311" t="s">
        <v>3011</v>
      </c>
      <c r="E5311" t="s">
        <v>3012</v>
      </c>
      <c r="F5311" t="s">
        <v>159</v>
      </c>
      <c r="G5311" t="s">
        <v>101</v>
      </c>
      <c r="I5311" t="b">
        <v>0</v>
      </c>
      <c r="J5311" t="b">
        <v>0</v>
      </c>
      <c r="L5311" t="b">
        <v>0</v>
      </c>
      <c r="M5311" t="str">
        <f>HYPERLINK("https://arizona.app.box.com/file/386227158568")</f>
        <v>https://arizona.app.box.com/file/386227158568</v>
      </c>
    </row>
    <row r="5312" spans="1:25" x14ac:dyDescent="0.2">
      <c r="A5312">
        <v>1740</v>
      </c>
      <c r="B5312" t="s">
        <v>9389</v>
      </c>
      <c r="C5312" t="s">
        <v>18</v>
      </c>
      <c r="D5312" t="s">
        <v>9390</v>
      </c>
      <c r="E5312" t="s">
        <v>9391</v>
      </c>
      <c r="F5312" t="s">
        <v>151</v>
      </c>
      <c r="G5312" t="s">
        <v>8918</v>
      </c>
      <c r="I5312" t="b">
        <v>0</v>
      </c>
      <c r="J5312" t="b">
        <v>0</v>
      </c>
      <c r="L5312" t="b">
        <v>0</v>
      </c>
      <c r="M5312" t="str">
        <f>HYPERLINK("https://arizona.app.box.com/file/386212990090")</f>
        <v>https://arizona.app.box.com/file/386212990090</v>
      </c>
      <c r="N5312" t="str">
        <f>HYPERLINK("https://arizona.app.box.com/file/386245873562")</f>
        <v>https://arizona.app.box.com/file/386245873562</v>
      </c>
    </row>
    <row r="5313" spans="1:25" x14ac:dyDescent="0.2">
      <c r="A5313">
        <v>1741</v>
      </c>
      <c r="B5313" t="s">
        <v>9389</v>
      </c>
      <c r="C5313" t="s">
        <v>18</v>
      </c>
      <c r="D5313" t="s">
        <v>3014</v>
      </c>
      <c r="E5313" t="s">
        <v>3015</v>
      </c>
      <c r="F5313" t="s">
        <v>159</v>
      </c>
      <c r="G5313" t="s">
        <v>101</v>
      </c>
      <c r="I5313" t="b">
        <v>0</v>
      </c>
      <c r="J5313" t="b">
        <v>0</v>
      </c>
      <c r="L5313" t="b">
        <v>0</v>
      </c>
      <c r="M5313" t="str">
        <f>HYPERLINK("https://arizona.app.box.com/file/386240250145")</f>
        <v>https://arizona.app.box.com/file/386240250145</v>
      </c>
    </row>
    <row r="5315" spans="1:25" x14ac:dyDescent="0.2">
      <c r="A5315" s="2">
        <v>0</v>
      </c>
      <c r="B5315" s="2" t="s">
        <v>9392</v>
      </c>
      <c r="C5315" s="2" t="s">
        <v>13</v>
      </c>
      <c r="D5315" s="2" t="s">
        <v>8418</v>
      </c>
      <c r="E5315" s="2" t="s">
        <v>8419</v>
      </c>
      <c r="F5315" s="2" t="s">
        <v>6670</v>
      </c>
      <c r="G5315" s="2" t="s">
        <v>1867</v>
      </c>
      <c r="H5315" s="2"/>
      <c r="I5315" s="2"/>
      <c r="J5315" s="2"/>
      <c r="K5315" s="2"/>
      <c r="L5315" s="2"/>
      <c r="M5315" s="2"/>
      <c r="N5315" s="2"/>
      <c r="O5315" s="2"/>
      <c r="P5315" s="2"/>
      <c r="Q5315" s="2"/>
      <c r="R5315" s="2"/>
      <c r="S5315" s="2"/>
      <c r="T5315" s="2"/>
      <c r="U5315" s="2"/>
      <c r="V5315" s="2"/>
      <c r="W5315" s="2"/>
      <c r="X5315" s="2"/>
      <c r="Y5315" s="2"/>
    </row>
    <row r="5316" spans="1:25" x14ac:dyDescent="0.2">
      <c r="A5316">
        <v>1</v>
      </c>
      <c r="B5316" t="s">
        <v>9392</v>
      </c>
      <c r="C5316" t="s">
        <v>18</v>
      </c>
      <c r="D5316" t="s">
        <v>8418</v>
      </c>
      <c r="E5316" t="s">
        <v>8419</v>
      </c>
      <c r="F5316" t="s">
        <v>6670</v>
      </c>
      <c r="G5316" t="s">
        <v>8420</v>
      </c>
      <c r="I5316" t="b">
        <v>1</v>
      </c>
      <c r="J5316" t="b">
        <v>1</v>
      </c>
      <c r="L5316" t="b">
        <v>1</v>
      </c>
      <c r="M5316" t="str">
        <f>HYPERLINK("https://arizona.app.box.com/file/386245919928")</f>
        <v>https://arizona.app.box.com/file/386245919928</v>
      </c>
      <c r="N5316" t="str">
        <f>HYPERLINK("https://arizona.app.box.com/file/386214445499")</f>
        <v>https://arizona.app.box.com/file/386214445499</v>
      </c>
    </row>
    <row r="5317" spans="1:25" x14ac:dyDescent="0.2">
      <c r="A5317">
        <v>2</v>
      </c>
      <c r="B5317" t="s">
        <v>9392</v>
      </c>
      <c r="C5317" t="s">
        <v>18</v>
      </c>
      <c r="D5317" t="s">
        <v>8416</v>
      </c>
      <c r="E5317" t="s">
        <v>5834</v>
      </c>
      <c r="F5317" t="s">
        <v>78</v>
      </c>
      <c r="G5317" t="s">
        <v>1867</v>
      </c>
      <c r="I5317" t="b">
        <v>0</v>
      </c>
      <c r="J5317" t="b">
        <v>0</v>
      </c>
      <c r="L5317" t="b">
        <v>0</v>
      </c>
      <c r="M5317" t="str">
        <f>HYPERLINK("https://arizona.app.box.com/file/389262716739")</f>
        <v>https://arizona.app.box.com/file/389262716739</v>
      </c>
    </row>
    <row r="5318" spans="1:25" x14ac:dyDescent="0.2">
      <c r="A5318">
        <v>3</v>
      </c>
      <c r="B5318" t="s">
        <v>9392</v>
      </c>
      <c r="C5318" t="s">
        <v>18</v>
      </c>
      <c r="D5318" t="s">
        <v>8421</v>
      </c>
      <c r="E5318" t="s">
        <v>8422</v>
      </c>
      <c r="F5318" t="s">
        <v>596</v>
      </c>
      <c r="G5318" t="s">
        <v>1867</v>
      </c>
      <c r="I5318" t="b">
        <v>0</v>
      </c>
      <c r="J5318" t="b">
        <v>0</v>
      </c>
      <c r="L5318" t="b">
        <v>0</v>
      </c>
      <c r="M5318" t="str">
        <f>HYPERLINK("https://arizona.app.box.com/file/386248510871")</f>
        <v>https://arizona.app.box.com/file/386248510871</v>
      </c>
      <c r="N5318" t="str">
        <f>HYPERLINK("https://arizona.app.box.com/file/386265660382")</f>
        <v>https://arizona.app.box.com/file/386265660382</v>
      </c>
    </row>
    <row r="5319" spans="1:25" x14ac:dyDescent="0.2">
      <c r="A5319">
        <v>4</v>
      </c>
      <c r="B5319" t="s">
        <v>9392</v>
      </c>
      <c r="C5319" t="s">
        <v>18</v>
      </c>
      <c r="D5319" t="s">
        <v>9393</v>
      </c>
      <c r="E5319" t="s">
        <v>9394</v>
      </c>
      <c r="F5319" t="s">
        <v>148</v>
      </c>
      <c r="G5319" t="s">
        <v>1867</v>
      </c>
      <c r="I5319" t="b">
        <v>0</v>
      </c>
      <c r="J5319" t="b">
        <v>0</v>
      </c>
      <c r="L5319" t="b">
        <v>0</v>
      </c>
    </row>
    <row r="5320" spans="1:25" x14ac:dyDescent="0.2">
      <c r="A5320">
        <v>5</v>
      </c>
      <c r="B5320" t="s">
        <v>9392</v>
      </c>
      <c r="C5320" t="s">
        <v>18</v>
      </c>
      <c r="D5320" t="s">
        <v>8417</v>
      </c>
      <c r="E5320" t="s">
        <v>4353</v>
      </c>
      <c r="F5320" t="s">
        <v>78</v>
      </c>
      <c r="G5320" t="s">
        <v>1867</v>
      </c>
      <c r="I5320" t="b">
        <v>0</v>
      </c>
      <c r="J5320" t="b">
        <v>0</v>
      </c>
      <c r="L5320" t="b">
        <v>0</v>
      </c>
      <c r="M5320" t="str">
        <f>HYPERLINK("https://arizona.app.box.com/file/386247605253")</f>
        <v>https://arizona.app.box.com/file/386247605253</v>
      </c>
    </row>
    <row r="5322" spans="1:25" x14ac:dyDescent="0.2">
      <c r="A5322" s="2">
        <v>2422</v>
      </c>
      <c r="B5322" s="2" t="s">
        <v>9395</v>
      </c>
      <c r="C5322" s="2" t="s">
        <v>13</v>
      </c>
      <c r="D5322" s="2" t="s">
        <v>5693</v>
      </c>
      <c r="E5322" s="2" t="s">
        <v>5694</v>
      </c>
      <c r="F5322" s="2" t="s">
        <v>654</v>
      </c>
      <c r="G5322" s="2" t="s">
        <v>62</v>
      </c>
      <c r="H5322" s="2"/>
      <c r="I5322" s="2"/>
      <c r="J5322" s="2"/>
      <c r="K5322" s="2"/>
      <c r="L5322" s="2"/>
      <c r="M5322" s="2"/>
      <c r="N5322" s="2"/>
      <c r="O5322" s="2"/>
      <c r="P5322" s="2"/>
      <c r="Q5322" s="2"/>
      <c r="R5322" s="2"/>
      <c r="S5322" s="2"/>
      <c r="T5322" s="2"/>
      <c r="U5322" s="2"/>
      <c r="V5322" s="2"/>
      <c r="W5322" s="2"/>
      <c r="X5322" s="2"/>
      <c r="Y5322" s="2"/>
    </row>
    <row r="5323" spans="1:25" x14ac:dyDescent="0.2">
      <c r="A5323">
        <v>2423</v>
      </c>
      <c r="B5323" t="s">
        <v>9395</v>
      </c>
      <c r="C5323" t="s">
        <v>18</v>
      </c>
      <c r="D5323" t="s">
        <v>5693</v>
      </c>
      <c r="E5323" t="s">
        <v>5694</v>
      </c>
      <c r="F5323" t="s">
        <v>654</v>
      </c>
      <c r="G5323" t="s">
        <v>62</v>
      </c>
      <c r="I5323" t="b">
        <v>1</v>
      </c>
      <c r="J5323" t="b">
        <v>1</v>
      </c>
      <c r="L5323" t="b">
        <v>1</v>
      </c>
      <c r="M5323" t="str">
        <f>HYPERLINK("https://arizona.app.box.com/file/386247919839")</f>
        <v>https://arizona.app.box.com/file/386247919839</v>
      </c>
      <c r="N5323" t="str">
        <f>HYPERLINK("https://arizona.app.box.com/file/386247579334")</f>
        <v>https://arizona.app.box.com/file/386247579334</v>
      </c>
    </row>
    <row r="5324" spans="1:25" x14ac:dyDescent="0.2">
      <c r="A5324">
        <v>2424</v>
      </c>
      <c r="B5324" t="s">
        <v>9395</v>
      </c>
      <c r="C5324" t="s">
        <v>18</v>
      </c>
      <c r="D5324" t="s">
        <v>9396</v>
      </c>
      <c r="E5324" t="s">
        <v>9397</v>
      </c>
      <c r="F5324" t="s">
        <v>654</v>
      </c>
      <c r="G5324" t="s">
        <v>62</v>
      </c>
      <c r="I5324" t="b">
        <v>0</v>
      </c>
      <c r="J5324" t="b">
        <v>0</v>
      </c>
      <c r="L5324" t="b">
        <v>0</v>
      </c>
      <c r="M5324" t="str">
        <f>HYPERLINK("https://arizona.app.box.com/file/386216909659")</f>
        <v>https://arizona.app.box.com/file/386216909659</v>
      </c>
      <c r="N5324" t="str">
        <f>HYPERLINK("https://arizona.app.box.com/file/386250051266")</f>
        <v>https://arizona.app.box.com/file/386250051266</v>
      </c>
    </row>
    <row r="5325" spans="1:25" x14ac:dyDescent="0.2">
      <c r="A5325">
        <v>2425</v>
      </c>
      <c r="B5325" t="s">
        <v>9395</v>
      </c>
      <c r="C5325" t="s">
        <v>18</v>
      </c>
      <c r="D5325" t="s">
        <v>9398</v>
      </c>
      <c r="E5325" t="s">
        <v>9399</v>
      </c>
      <c r="F5325" t="s">
        <v>654</v>
      </c>
      <c r="G5325" t="s">
        <v>62</v>
      </c>
      <c r="I5325" t="b">
        <v>0</v>
      </c>
      <c r="J5325" t="b">
        <v>0</v>
      </c>
      <c r="L5325" t="b">
        <v>0</v>
      </c>
    </row>
    <row r="5326" spans="1:25" x14ac:dyDescent="0.2">
      <c r="A5326">
        <v>2426</v>
      </c>
      <c r="B5326" t="s">
        <v>9395</v>
      </c>
      <c r="C5326" t="s">
        <v>18</v>
      </c>
      <c r="D5326" t="s">
        <v>9400</v>
      </c>
      <c r="E5326" t="s">
        <v>9401</v>
      </c>
      <c r="F5326" t="s">
        <v>654</v>
      </c>
      <c r="G5326" t="s">
        <v>62</v>
      </c>
      <c r="I5326" t="b">
        <v>0</v>
      </c>
      <c r="J5326" t="b">
        <v>0</v>
      </c>
      <c r="L5326" t="b">
        <v>0</v>
      </c>
    </row>
    <row r="5327" spans="1:25" x14ac:dyDescent="0.2">
      <c r="A5327">
        <v>2427</v>
      </c>
      <c r="B5327" t="s">
        <v>9395</v>
      </c>
      <c r="C5327" t="s">
        <v>18</v>
      </c>
      <c r="D5327" t="s">
        <v>5678</v>
      </c>
      <c r="E5327" t="s">
        <v>5679</v>
      </c>
      <c r="F5327" t="s">
        <v>654</v>
      </c>
      <c r="G5327" t="s">
        <v>417</v>
      </c>
      <c r="I5327" t="b">
        <v>0</v>
      </c>
      <c r="J5327" t="b">
        <v>0</v>
      </c>
      <c r="L5327" t="b">
        <v>0</v>
      </c>
      <c r="M5327" t="str">
        <f>HYPERLINK("https://arizona.app.box.com/file/386243699620")</f>
        <v>https://arizona.app.box.com/file/386243699620</v>
      </c>
      <c r="N5327" t="str">
        <f>HYPERLINK("https://arizona.app.box.com/file/386230185779")</f>
        <v>https://arizona.app.box.com/file/386230185779</v>
      </c>
    </row>
    <row r="5329" spans="1:25" x14ac:dyDescent="0.2">
      <c r="A5329" s="2">
        <v>2611</v>
      </c>
      <c r="B5329" s="2" t="s">
        <v>9402</v>
      </c>
      <c r="C5329" s="2" t="s">
        <v>13</v>
      </c>
      <c r="D5329" s="2" t="s">
        <v>8873</v>
      </c>
      <c r="E5329" s="2" t="s">
        <v>8874</v>
      </c>
      <c r="F5329" s="2" t="s">
        <v>2924</v>
      </c>
      <c r="G5329" s="2" t="s">
        <v>8528</v>
      </c>
      <c r="H5329" s="2"/>
      <c r="I5329" s="2"/>
      <c r="J5329" s="2"/>
      <c r="K5329" s="2"/>
      <c r="L5329" s="2"/>
      <c r="M5329" s="2"/>
      <c r="N5329" s="2"/>
      <c r="O5329" s="2"/>
      <c r="P5329" s="2"/>
      <c r="Q5329" s="2"/>
      <c r="R5329" s="2"/>
      <c r="S5329" s="2"/>
      <c r="T5329" s="2"/>
      <c r="U5329" s="2"/>
      <c r="V5329" s="2"/>
      <c r="W5329" s="2"/>
      <c r="X5329" s="2"/>
      <c r="Y5329" s="2"/>
    </row>
    <row r="5330" spans="1:25" x14ac:dyDescent="0.2">
      <c r="A5330">
        <v>2612</v>
      </c>
      <c r="B5330" t="s">
        <v>9402</v>
      </c>
      <c r="C5330" t="s">
        <v>18</v>
      </c>
      <c r="D5330" t="s">
        <v>8873</v>
      </c>
      <c r="E5330" t="s">
        <v>8874</v>
      </c>
      <c r="F5330" t="s">
        <v>82</v>
      </c>
      <c r="G5330" t="s">
        <v>8528</v>
      </c>
      <c r="I5330" t="b">
        <v>1</v>
      </c>
      <c r="J5330" t="b">
        <v>1</v>
      </c>
      <c r="L5330" t="b">
        <v>1</v>
      </c>
      <c r="M5330" t="str">
        <f>HYPERLINK("https://arizona.app.box.com/file/386237375862")</f>
        <v>https://arizona.app.box.com/file/386237375862</v>
      </c>
      <c r="N5330" t="str">
        <f>HYPERLINK("https://arizona.app.box.com/file/386237555103")</f>
        <v>https://arizona.app.box.com/file/386237555103</v>
      </c>
    </row>
    <row r="5331" spans="1:25" x14ac:dyDescent="0.2">
      <c r="A5331">
        <v>2613</v>
      </c>
      <c r="B5331" t="s">
        <v>9402</v>
      </c>
      <c r="C5331" t="s">
        <v>18</v>
      </c>
      <c r="D5331" t="s">
        <v>8532</v>
      </c>
      <c r="E5331" t="s">
        <v>8533</v>
      </c>
      <c r="F5331" t="s">
        <v>82</v>
      </c>
      <c r="G5331" t="s">
        <v>8528</v>
      </c>
      <c r="I5331" t="b">
        <v>0</v>
      </c>
      <c r="J5331" t="b">
        <v>0</v>
      </c>
      <c r="L5331" t="b">
        <v>0</v>
      </c>
      <c r="M5331" t="str">
        <f>HYPERLINK("https://arizona.app.box.com/file/386241839269")</f>
        <v>https://arizona.app.box.com/file/386241839269</v>
      </c>
    </row>
    <row r="5332" spans="1:25" x14ac:dyDescent="0.2">
      <c r="A5332">
        <v>2614</v>
      </c>
      <c r="B5332" t="s">
        <v>9402</v>
      </c>
      <c r="C5332" t="s">
        <v>18</v>
      </c>
      <c r="D5332" t="s">
        <v>8534</v>
      </c>
      <c r="E5332" t="s">
        <v>2780</v>
      </c>
      <c r="F5332" t="s">
        <v>82</v>
      </c>
      <c r="G5332" t="s">
        <v>8528</v>
      </c>
      <c r="I5332" t="b">
        <v>0</v>
      </c>
      <c r="J5332" t="b">
        <v>0</v>
      </c>
      <c r="L5332" t="b">
        <v>0</v>
      </c>
      <c r="M5332" t="str">
        <f>HYPERLINK("https://arizona.app.box.com/file/386213864858")</f>
        <v>https://arizona.app.box.com/file/386213864858</v>
      </c>
    </row>
    <row r="5333" spans="1:25" x14ac:dyDescent="0.2">
      <c r="A5333">
        <v>2615</v>
      </c>
      <c r="B5333" t="s">
        <v>9402</v>
      </c>
      <c r="C5333" t="s">
        <v>18</v>
      </c>
      <c r="D5333" t="s">
        <v>8530</v>
      </c>
      <c r="E5333" t="s">
        <v>8531</v>
      </c>
      <c r="F5333" t="s">
        <v>82</v>
      </c>
      <c r="G5333" t="s">
        <v>8528</v>
      </c>
      <c r="I5333" t="b">
        <v>0</v>
      </c>
      <c r="J5333" t="b">
        <v>0</v>
      </c>
      <c r="L5333" t="b">
        <v>0</v>
      </c>
      <c r="M5333" t="str">
        <f>HYPERLINK("https://arizona.app.box.com/file/389256137017")</f>
        <v>https://arizona.app.box.com/file/389256137017</v>
      </c>
      <c r="N5333" t="str">
        <f>HYPERLINK("https://arizona.app.box.com/file/389159129676")</f>
        <v>https://arizona.app.box.com/file/389159129676</v>
      </c>
      <c r="O5333" t="str">
        <f>HYPERLINK("https://arizona.app.box.com/file/386241113911")</f>
        <v>https://arizona.app.box.com/file/386241113911</v>
      </c>
    </row>
    <row r="5334" spans="1:25" x14ac:dyDescent="0.2">
      <c r="A5334">
        <v>2616</v>
      </c>
      <c r="B5334" t="s">
        <v>9402</v>
      </c>
      <c r="C5334" t="s">
        <v>18</v>
      </c>
      <c r="D5334" t="s">
        <v>8525</v>
      </c>
      <c r="E5334" t="s">
        <v>4071</v>
      </c>
      <c r="F5334" t="s">
        <v>8527</v>
      </c>
      <c r="G5334" t="s">
        <v>8528</v>
      </c>
      <c r="I5334" t="b">
        <v>0</v>
      </c>
      <c r="J5334" t="b">
        <v>0</v>
      </c>
      <c r="L5334" t="b">
        <v>0</v>
      </c>
      <c r="M5334" t="str">
        <f>HYPERLINK("https://arizona.app.box.com/file/389164695934")</f>
        <v>https://arizona.app.box.com/file/389164695934</v>
      </c>
      <c r="N5334" t="str">
        <f>HYPERLINK("https://arizona.app.box.com/file/386244382224")</f>
        <v>https://arizona.app.box.com/file/386244382224</v>
      </c>
    </row>
    <row r="5336" spans="1:25" x14ac:dyDescent="0.2">
      <c r="A5336" s="2">
        <v>7553</v>
      </c>
      <c r="B5336" s="2" t="s">
        <v>9403</v>
      </c>
      <c r="C5336" s="2" t="s">
        <v>13</v>
      </c>
      <c r="D5336" s="2" t="s">
        <v>9404</v>
      </c>
      <c r="E5336" s="2" t="s">
        <v>9405</v>
      </c>
      <c r="F5336" s="2" t="s">
        <v>717</v>
      </c>
      <c r="G5336" s="2" t="s">
        <v>62</v>
      </c>
      <c r="H5336" s="2"/>
      <c r="I5336" s="2"/>
      <c r="J5336" s="2"/>
      <c r="K5336" s="2"/>
      <c r="L5336" s="2"/>
      <c r="M5336" s="2"/>
      <c r="N5336" s="2"/>
      <c r="O5336" s="2"/>
      <c r="P5336" s="2"/>
      <c r="Q5336" s="2"/>
      <c r="R5336" s="2"/>
      <c r="S5336" s="2"/>
      <c r="T5336" s="2"/>
      <c r="U5336" s="2"/>
      <c r="V5336" s="2"/>
      <c r="W5336" s="2"/>
      <c r="X5336" s="2"/>
      <c r="Y5336" s="2"/>
    </row>
    <row r="5337" spans="1:25" x14ac:dyDescent="0.2">
      <c r="A5337">
        <v>7554</v>
      </c>
      <c r="B5337" t="s">
        <v>9403</v>
      </c>
      <c r="C5337" t="s">
        <v>18</v>
      </c>
      <c r="D5337" t="s">
        <v>9406</v>
      </c>
      <c r="E5337" t="s">
        <v>5749</v>
      </c>
      <c r="F5337" t="s">
        <v>717</v>
      </c>
      <c r="G5337" t="s">
        <v>62</v>
      </c>
      <c r="I5337" t="b">
        <v>1</v>
      </c>
      <c r="J5337" t="b">
        <v>1</v>
      </c>
      <c r="L5337" t="b">
        <v>1</v>
      </c>
      <c r="M5337" t="str">
        <f>HYPERLINK("https://arizona.app.box.com/file/389171842504")</f>
        <v>https://arizona.app.box.com/file/389171842504</v>
      </c>
    </row>
    <row r="5338" spans="1:25" s="4" customFormat="1" x14ac:dyDescent="0.2">
      <c r="A5338" s="4">
        <v>7555</v>
      </c>
      <c r="B5338" s="4" t="s">
        <v>9403</v>
      </c>
      <c r="C5338" s="4" t="s">
        <v>18</v>
      </c>
      <c r="D5338" s="4" t="s">
        <v>9407</v>
      </c>
      <c r="E5338" s="4" t="s">
        <v>8076</v>
      </c>
      <c r="F5338" s="4" t="s">
        <v>717</v>
      </c>
      <c r="G5338" s="4" t="s">
        <v>62</v>
      </c>
      <c r="I5338" s="4" t="b">
        <v>0</v>
      </c>
      <c r="J5338" s="4" t="b">
        <v>1</v>
      </c>
      <c r="L5338" s="4" t="s">
        <v>66</v>
      </c>
      <c r="M5338" s="4" t="str">
        <f>HYPERLINK("https://arizona.app.box.com/file/386252547295")</f>
        <v>https://arizona.app.box.com/file/386252547295</v>
      </c>
    </row>
    <row r="5339" spans="1:25" x14ac:dyDescent="0.2">
      <c r="A5339">
        <v>7556</v>
      </c>
      <c r="B5339" t="s">
        <v>9403</v>
      </c>
      <c r="C5339" t="s">
        <v>18</v>
      </c>
      <c r="D5339" t="s">
        <v>9408</v>
      </c>
      <c r="E5339" t="s">
        <v>9409</v>
      </c>
      <c r="F5339" t="s">
        <v>717</v>
      </c>
      <c r="G5339" t="s">
        <v>62</v>
      </c>
      <c r="I5339" t="b">
        <v>0</v>
      </c>
      <c r="J5339" t="b">
        <v>0</v>
      </c>
      <c r="L5339" t="b">
        <v>0</v>
      </c>
    </row>
    <row r="5340" spans="1:25" x14ac:dyDescent="0.2">
      <c r="A5340">
        <v>7557</v>
      </c>
      <c r="B5340" t="s">
        <v>9403</v>
      </c>
      <c r="C5340" t="s">
        <v>18</v>
      </c>
      <c r="D5340" t="s">
        <v>9410</v>
      </c>
      <c r="E5340" t="s">
        <v>9411</v>
      </c>
      <c r="F5340" t="s">
        <v>717</v>
      </c>
      <c r="G5340" t="s">
        <v>62</v>
      </c>
      <c r="I5340" t="b">
        <v>0</v>
      </c>
      <c r="J5340" t="b">
        <v>0</v>
      </c>
      <c r="L5340" t="b">
        <v>0</v>
      </c>
    </row>
    <row r="5341" spans="1:25" x14ac:dyDescent="0.2">
      <c r="A5341">
        <v>7558</v>
      </c>
      <c r="B5341" t="s">
        <v>9403</v>
      </c>
      <c r="C5341" t="s">
        <v>18</v>
      </c>
      <c r="D5341" t="s">
        <v>4825</v>
      </c>
      <c r="E5341" t="s">
        <v>4826</v>
      </c>
      <c r="F5341" t="s">
        <v>174</v>
      </c>
      <c r="G5341" t="s">
        <v>62</v>
      </c>
      <c r="I5341" t="b">
        <v>0</v>
      </c>
      <c r="J5341" t="b">
        <v>0</v>
      </c>
      <c r="L5341" t="b">
        <v>0</v>
      </c>
    </row>
    <row r="5343" spans="1:25" x14ac:dyDescent="0.2">
      <c r="A5343" s="2">
        <v>4641</v>
      </c>
      <c r="B5343" s="2" t="s">
        <v>9412</v>
      </c>
      <c r="C5343" s="2" t="s">
        <v>13</v>
      </c>
      <c r="D5343" s="2" t="s">
        <v>9413</v>
      </c>
      <c r="E5343" s="2" t="s">
        <v>9414</v>
      </c>
      <c r="F5343" s="2" t="s">
        <v>159</v>
      </c>
      <c r="G5343" s="2" t="s">
        <v>87</v>
      </c>
      <c r="H5343" s="2"/>
      <c r="I5343" s="2"/>
      <c r="J5343" s="2"/>
      <c r="K5343" s="2"/>
      <c r="L5343" s="2"/>
      <c r="M5343" s="2"/>
      <c r="N5343" s="2"/>
      <c r="O5343" s="2"/>
      <c r="P5343" s="2"/>
      <c r="Q5343" s="2"/>
      <c r="R5343" s="2"/>
      <c r="S5343" s="2"/>
      <c r="T5343" s="2"/>
      <c r="U5343" s="2"/>
      <c r="V5343" s="2"/>
      <c r="W5343" s="2"/>
      <c r="X5343" s="2"/>
      <c r="Y5343" s="2"/>
    </row>
    <row r="5344" spans="1:25" x14ac:dyDescent="0.2">
      <c r="A5344">
        <v>4642</v>
      </c>
      <c r="B5344" t="s">
        <v>9412</v>
      </c>
      <c r="C5344" t="s">
        <v>18</v>
      </c>
      <c r="D5344" t="s">
        <v>9415</v>
      </c>
      <c r="E5344" t="s">
        <v>1057</v>
      </c>
      <c r="F5344" t="s">
        <v>78</v>
      </c>
      <c r="G5344" t="s">
        <v>87</v>
      </c>
      <c r="I5344" t="b">
        <v>0</v>
      </c>
      <c r="J5344" t="b">
        <v>0</v>
      </c>
      <c r="L5344" t="b">
        <v>0</v>
      </c>
      <c r="M5344" t="str">
        <f>HYPERLINK("https://arizona.app.box.com/file/389180044604")</f>
        <v>https://arizona.app.box.com/file/389180044604</v>
      </c>
    </row>
    <row r="5345" spans="1:25" x14ac:dyDescent="0.2">
      <c r="A5345">
        <v>4643</v>
      </c>
      <c r="B5345" t="s">
        <v>9412</v>
      </c>
      <c r="C5345" t="s">
        <v>18</v>
      </c>
      <c r="D5345" t="s">
        <v>9416</v>
      </c>
      <c r="E5345" t="s">
        <v>9417</v>
      </c>
      <c r="F5345" t="s">
        <v>574</v>
      </c>
      <c r="G5345" t="s">
        <v>88</v>
      </c>
      <c r="I5345" t="b">
        <v>0</v>
      </c>
      <c r="J5345" t="b">
        <v>0</v>
      </c>
      <c r="L5345" t="b">
        <v>0</v>
      </c>
      <c r="M5345" t="str">
        <f>HYPERLINK("https://arizona.app.box.com/file/386248729145")</f>
        <v>https://arizona.app.box.com/file/386248729145</v>
      </c>
    </row>
    <row r="5346" spans="1:25" x14ac:dyDescent="0.2">
      <c r="A5346">
        <v>4644</v>
      </c>
      <c r="B5346" t="s">
        <v>9412</v>
      </c>
      <c r="C5346" t="s">
        <v>18</v>
      </c>
      <c r="D5346" t="s">
        <v>9418</v>
      </c>
      <c r="E5346" t="s">
        <v>9419</v>
      </c>
      <c r="F5346" t="s">
        <v>574</v>
      </c>
      <c r="G5346" t="s">
        <v>88</v>
      </c>
      <c r="I5346" t="b">
        <v>0</v>
      </c>
      <c r="J5346" t="b">
        <v>0</v>
      </c>
      <c r="L5346" t="b">
        <v>0</v>
      </c>
    </row>
    <row r="5347" spans="1:25" x14ac:dyDescent="0.2">
      <c r="A5347">
        <v>4645</v>
      </c>
      <c r="B5347" t="s">
        <v>9412</v>
      </c>
      <c r="C5347" t="s">
        <v>18</v>
      </c>
      <c r="D5347" t="s">
        <v>9420</v>
      </c>
      <c r="E5347" t="s">
        <v>782</v>
      </c>
      <c r="F5347" t="s">
        <v>82</v>
      </c>
      <c r="G5347" t="s">
        <v>17</v>
      </c>
      <c r="I5347" t="b">
        <v>0</v>
      </c>
      <c r="J5347" t="b">
        <v>0</v>
      </c>
      <c r="L5347" t="b">
        <v>0</v>
      </c>
    </row>
    <row r="5348" spans="1:25" x14ac:dyDescent="0.2">
      <c r="A5348">
        <v>4646</v>
      </c>
      <c r="B5348" t="s">
        <v>9412</v>
      </c>
      <c r="C5348" t="s">
        <v>18</v>
      </c>
      <c r="D5348" t="s">
        <v>2018</v>
      </c>
      <c r="E5348" t="s">
        <v>2019</v>
      </c>
      <c r="F5348" t="s">
        <v>78</v>
      </c>
      <c r="G5348" t="s">
        <v>74</v>
      </c>
      <c r="I5348" t="b">
        <v>0</v>
      </c>
      <c r="J5348" t="b">
        <v>0</v>
      </c>
      <c r="L5348" t="b">
        <v>0</v>
      </c>
      <c r="M5348" t="str">
        <f>HYPERLINK("https://arizona.app.box.com/file/386241984331")</f>
        <v>https://arizona.app.box.com/file/386241984331</v>
      </c>
      <c r="N5348" t="str">
        <f>HYPERLINK("https://arizona.app.box.com/file/386213645216")</f>
        <v>https://arizona.app.box.com/file/386213645216</v>
      </c>
    </row>
    <row r="5350" spans="1:25" x14ac:dyDescent="0.2">
      <c r="A5350" s="2">
        <v>1372</v>
      </c>
      <c r="B5350" s="2" t="s">
        <v>9421</v>
      </c>
      <c r="C5350" s="2" t="s">
        <v>13</v>
      </c>
      <c r="D5350" s="2" t="s">
        <v>831</v>
      </c>
      <c r="E5350" s="2" t="s">
        <v>832</v>
      </c>
      <c r="F5350" s="2" t="s">
        <v>31</v>
      </c>
      <c r="G5350" s="2" t="s">
        <v>17</v>
      </c>
      <c r="H5350" s="2"/>
      <c r="I5350" s="2"/>
      <c r="J5350" s="2"/>
      <c r="K5350" s="2"/>
      <c r="L5350" s="2"/>
      <c r="M5350" s="2"/>
      <c r="N5350" s="2"/>
      <c r="O5350" s="2"/>
      <c r="P5350" s="2"/>
      <c r="Q5350" s="2"/>
      <c r="R5350" s="2"/>
      <c r="S5350" s="2"/>
      <c r="T5350" s="2"/>
      <c r="U5350" s="2"/>
      <c r="V5350" s="2"/>
      <c r="W5350" s="2"/>
      <c r="X5350" s="2"/>
      <c r="Y5350" s="2"/>
    </row>
    <row r="5351" spans="1:25" x14ac:dyDescent="0.2">
      <c r="A5351">
        <v>1373</v>
      </c>
      <c r="B5351" t="s">
        <v>9421</v>
      </c>
      <c r="C5351" t="s">
        <v>18</v>
      </c>
      <c r="D5351" t="s">
        <v>831</v>
      </c>
      <c r="E5351" t="s">
        <v>832</v>
      </c>
      <c r="F5351" t="s">
        <v>31</v>
      </c>
      <c r="G5351" t="s">
        <v>17</v>
      </c>
      <c r="I5351" t="b">
        <v>1</v>
      </c>
      <c r="J5351" t="b">
        <v>1</v>
      </c>
      <c r="L5351" t="b">
        <v>1</v>
      </c>
      <c r="M5351" t="str">
        <f>HYPERLINK("https://arizona.app.box.com/file/389267407185")</f>
        <v>https://arizona.app.box.com/file/389267407185</v>
      </c>
      <c r="N5351" t="str">
        <f>HYPERLINK("https://arizona.app.box.com/file/389166979478")</f>
        <v>https://arizona.app.box.com/file/389166979478</v>
      </c>
      <c r="O5351" t="str">
        <f>HYPERLINK("https://arizona.app.box.com/file/389169192933")</f>
        <v>https://arizona.app.box.com/file/389169192933</v>
      </c>
    </row>
    <row r="5352" spans="1:25" x14ac:dyDescent="0.2">
      <c r="A5352">
        <v>1374</v>
      </c>
      <c r="B5352" t="s">
        <v>9421</v>
      </c>
      <c r="C5352" t="s">
        <v>18</v>
      </c>
      <c r="D5352" t="s">
        <v>818</v>
      </c>
      <c r="E5352" t="s">
        <v>819</v>
      </c>
      <c r="F5352" t="s">
        <v>78</v>
      </c>
      <c r="G5352" t="s">
        <v>17</v>
      </c>
      <c r="I5352" t="b">
        <v>0</v>
      </c>
      <c r="J5352" t="b">
        <v>0</v>
      </c>
      <c r="L5352" t="b">
        <v>0</v>
      </c>
      <c r="M5352" t="str">
        <f>HYPERLINK("https://arizona.app.box.com/file/389172555982")</f>
        <v>https://arizona.app.box.com/file/389172555982</v>
      </c>
      <c r="N5352" t="str">
        <f>HYPERLINK("https://arizona.app.box.com/file/386237346429")</f>
        <v>https://arizona.app.box.com/file/386237346429</v>
      </c>
      <c r="O5352" t="str">
        <f>HYPERLINK("https://arizona.app.box.com/file/389174877698")</f>
        <v>https://arizona.app.box.com/file/389174877698</v>
      </c>
    </row>
    <row r="5353" spans="1:25" x14ac:dyDescent="0.2">
      <c r="A5353">
        <v>1375</v>
      </c>
      <c r="B5353" t="s">
        <v>9421</v>
      </c>
      <c r="C5353" t="s">
        <v>18</v>
      </c>
      <c r="D5353" t="s">
        <v>823</v>
      </c>
      <c r="E5353" t="s">
        <v>643</v>
      </c>
      <c r="F5353" t="s">
        <v>78</v>
      </c>
      <c r="G5353" t="s">
        <v>17</v>
      </c>
      <c r="I5353" t="b">
        <v>0</v>
      </c>
      <c r="J5353" t="b">
        <v>0</v>
      </c>
      <c r="L5353" t="b">
        <v>0</v>
      </c>
      <c r="M5353" t="str">
        <f>HYPERLINK("https://arizona.app.box.com/file/389261089613")</f>
        <v>https://arizona.app.box.com/file/389261089613</v>
      </c>
      <c r="N5353" t="str">
        <f>HYPERLINK("https://arizona.app.box.com/file/389167486206")</f>
        <v>https://arizona.app.box.com/file/389167486206</v>
      </c>
    </row>
    <row r="5354" spans="1:25" x14ac:dyDescent="0.2">
      <c r="A5354">
        <v>1376</v>
      </c>
      <c r="B5354" t="s">
        <v>9421</v>
      </c>
      <c r="C5354" t="s">
        <v>18</v>
      </c>
      <c r="D5354" t="s">
        <v>1696</v>
      </c>
      <c r="E5354" t="s">
        <v>1698</v>
      </c>
      <c r="F5354" t="s">
        <v>31</v>
      </c>
      <c r="G5354" t="s">
        <v>17</v>
      </c>
      <c r="I5354" t="b">
        <v>0</v>
      </c>
      <c r="J5354" t="b">
        <v>0</v>
      </c>
      <c r="L5354" t="b">
        <v>0</v>
      </c>
      <c r="M5354" t="str">
        <f>HYPERLINK("https://arizona.app.box.com/file/389153576695")</f>
        <v>https://arizona.app.box.com/file/389153576695</v>
      </c>
    </row>
    <row r="5355" spans="1:25" x14ac:dyDescent="0.2">
      <c r="A5355">
        <v>1377</v>
      </c>
      <c r="B5355" t="s">
        <v>9421</v>
      </c>
      <c r="C5355" t="s">
        <v>18</v>
      </c>
      <c r="D5355" t="s">
        <v>8548</v>
      </c>
      <c r="E5355" t="s">
        <v>8549</v>
      </c>
      <c r="F5355" t="s">
        <v>78</v>
      </c>
      <c r="G5355" t="s">
        <v>17</v>
      </c>
      <c r="I5355" t="b">
        <v>0</v>
      </c>
      <c r="J5355" t="b">
        <v>0</v>
      </c>
      <c r="L5355" t="b">
        <v>0</v>
      </c>
      <c r="M5355" t="str">
        <f>HYPERLINK("https://arizona.app.box.com/file/389165706278")</f>
        <v>https://arizona.app.box.com/file/389165706278</v>
      </c>
    </row>
    <row r="5357" spans="1:25" x14ac:dyDescent="0.2">
      <c r="A5357" s="2">
        <v>4739</v>
      </c>
      <c r="B5357" s="2" t="s">
        <v>9422</v>
      </c>
      <c r="C5357" s="2" t="s">
        <v>13</v>
      </c>
      <c r="D5357" s="2" t="s">
        <v>8720</v>
      </c>
      <c r="E5357" s="2" t="s">
        <v>8721</v>
      </c>
      <c r="F5357" s="2" t="s">
        <v>159</v>
      </c>
      <c r="G5357" s="2" t="s">
        <v>17</v>
      </c>
      <c r="H5357" s="2"/>
      <c r="I5357" s="2"/>
      <c r="J5357" s="2"/>
      <c r="K5357" s="2"/>
      <c r="L5357" s="2"/>
      <c r="M5357" s="2"/>
      <c r="N5357" s="2"/>
      <c r="O5357" s="2"/>
      <c r="P5357" s="2"/>
      <c r="Q5357" s="2"/>
      <c r="R5357" s="2"/>
      <c r="S5357" s="2"/>
      <c r="T5357" s="2"/>
      <c r="U5357" s="2"/>
      <c r="V5357" s="2"/>
      <c r="W5357" s="2"/>
      <c r="X5357" s="2"/>
      <c r="Y5357" s="2"/>
    </row>
    <row r="5358" spans="1:25" x14ac:dyDescent="0.2">
      <c r="A5358">
        <v>4740</v>
      </c>
      <c r="B5358" t="s">
        <v>9422</v>
      </c>
      <c r="C5358" t="s">
        <v>18</v>
      </c>
      <c r="D5358" t="s">
        <v>8720</v>
      </c>
      <c r="E5358" t="s">
        <v>8721</v>
      </c>
      <c r="F5358" t="s">
        <v>82</v>
      </c>
      <c r="G5358" t="s">
        <v>17</v>
      </c>
      <c r="I5358" t="b">
        <v>1</v>
      </c>
      <c r="J5358" t="b">
        <v>1</v>
      </c>
      <c r="L5358" t="b">
        <v>1</v>
      </c>
      <c r="M5358" t="str">
        <f>HYPERLINK("https://arizona.app.box.com/file/389151484307")</f>
        <v>https://arizona.app.box.com/file/389151484307</v>
      </c>
      <c r="N5358" t="str">
        <f>HYPERLINK("https://arizona.app.box.com/file/389159487981")</f>
        <v>https://arizona.app.box.com/file/389159487981</v>
      </c>
    </row>
    <row r="5359" spans="1:25" x14ac:dyDescent="0.2">
      <c r="A5359">
        <v>4741</v>
      </c>
      <c r="B5359" t="s">
        <v>9422</v>
      </c>
      <c r="C5359" t="s">
        <v>18</v>
      </c>
      <c r="D5359" t="s">
        <v>9423</v>
      </c>
      <c r="E5359" t="s">
        <v>9424</v>
      </c>
      <c r="F5359" t="s">
        <v>9425</v>
      </c>
      <c r="G5359" t="s">
        <v>17</v>
      </c>
      <c r="I5359" t="b">
        <v>0</v>
      </c>
      <c r="J5359" t="b">
        <v>0</v>
      </c>
      <c r="L5359" t="b">
        <v>0</v>
      </c>
      <c r="M5359" t="str">
        <f>HYPERLINK("https://arizona.app.box.com/file/389150260295")</f>
        <v>https://arizona.app.box.com/file/389150260295</v>
      </c>
      <c r="N5359" t="str">
        <f>HYPERLINK("https://arizona.app.box.com/file/389163479874")</f>
        <v>https://arizona.app.box.com/file/389163479874</v>
      </c>
    </row>
    <row r="5360" spans="1:25" x14ac:dyDescent="0.2">
      <c r="A5360">
        <v>4742</v>
      </c>
      <c r="B5360" t="s">
        <v>9422</v>
      </c>
      <c r="C5360" t="s">
        <v>18</v>
      </c>
      <c r="D5360" t="s">
        <v>9426</v>
      </c>
      <c r="E5360" t="s">
        <v>9427</v>
      </c>
      <c r="F5360" t="s">
        <v>82</v>
      </c>
      <c r="G5360" t="s">
        <v>8528</v>
      </c>
      <c r="I5360" t="b">
        <v>0</v>
      </c>
      <c r="J5360" t="b">
        <v>0</v>
      </c>
      <c r="L5360" t="b">
        <v>0</v>
      </c>
    </row>
    <row r="5361" spans="1:25" x14ac:dyDescent="0.2">
      <c r="A5361">
        <v>4743</v>
      </c>
      <c r="B5361" t="s">
        <v>9422</v>
      </c>
      <c r="C5361" t="s">
        <v>18</v>
      </c>
      <c r="D5361" t="s">
        <v>2741</v>
      </c>
      <c r="E5361" t="s">
        <v>2742</v>
      </c>
      <c r="F5361" t="s">
        <v>2738</v>
      </c>
      <c r="G5361" t="s">
        <v>17</v>
      </c>
      <c r="I5361" t="b">
        <v>0</v>
      </c>
      <c r="J5361" t="b">
        <v>0</v>
      </c>
      <c r="L5361" t="b">
        <v>0</v>
      </c>
      <c r="M5361" t="str">
        <f>HYPERLINK("https://arizona.app.box.com/file/389257440413")</f>
        <v>https://arizona.app.box.com/file/389257440413</v>
      </c>
    </row>
    <row r="5362" spans="1:25" x14ac:dyDescent="0.2">
      <c r="A5362">
        <v>4744</v>
      </c>
      <c r="B5362" t="s">
        <v>9422</v>
      </c>
      <c r="C5362" t="s">
        <v>18</v>
      </c>
      <c r="D5362" t="s">
        <v>9428</v>
      </c>
      <c r="E5362" t="s">
        <v>9429</v>
      </c>
      <c r="F5362" t="s">
        <v>20</v>
      </c>
      <c r="G5362" t="s">
        <v>17</v>
      </c>
      <c r="I5362" t="b">
        <v>0</v>
      </c>
      <c r="J5362" t="b">
        <v>0</v>
      </c>
      <c r="L5362" t="b">
        <v>0</v>
      </c>
      <c r="M5362" t="str">
        <f>HYPERLINK("https://arizona.app.box.com/file/389152112683")</f>
        <v>https://arizona.app.box.com/file/389152112683</v>
      </c>
      <c r="N5362" t="str">
        <f>HYPERLINK("https://arizona.app.box.com/file/389157808966")</f>
        <v>https://arizona.app.box.com/file/389157808966</v>
      </c>
    </row>
    <row r="5364" spans="1:25" x14ac:dyDescent="0.2">
      <c r="A5364" s="2">
        <v>525</v>
      </c>
      <c r="B5364" s="2" t="s">
        <v>9430</v>
      </c>
      <c r="C5364" s="2" t="s">
        <v>13</v>
      </c>
      <c r="D5364" s="2" t="s">
        <v>9431</v>
      </c>
      <c r="E5364" s="2" t="s">
        <v>9432</v>
      </c>
      <c r="F5364" s="2" t="s">
        <v>670</v>
      </c>
      <c r="G5364" s="2" t="s">
        <v>1867</v>
      </c>
      <c r="H5364" s="2"/>
      <c r="I5364" s="2"/>
      <c r="J5364" s="2"/>
      <c r="K5364" s="2"/>
      <c r="L5364" s="2"/>
      <c r="M5364" s="2"/>
      <c r="N5364" s="2"/>
      <c r="O5364" s="2"/>
      <c r="P5364" s="2"/>
      <c r="Q5364" s="2"/>
      <c r="R5364" s="2"/>
      <c r="S5364" s="2"/>
      <c r="T5364" s="2"/>
      <c r="U5364" s="2"/>
      <c r="V5364" s="2"/>
      <c r="W5364" s="2"/>
      <c r="X5364" s="2"/>
      <c r="Y5364" s="2"/>
    </row>
    <row r="5365" spans="1:25" x14ac:dyDescent="0.2">
      <c r="A5365">
        <v>526</v>
      </c>
      <c r="B5365" t="s">
        <v>9430</v>
      </c>
      <c r="C5365" t="s">
        <v>18</v>
      </c>
      <c r="D5365" t="s">
        <v>9431</v>
      </c>
      <c r="E5365" t="s">
        <v>9432</v>
      </c>
      <c r="F5365" t="s">
        <v>670</v>
      </c>
      <c r="G5365" t="s">
        <v>1867</v>
      </c>
      <c r="I5365" t="b">
        <v>1</v>
      </c>
      <c r="J5365" t="b">
        <v>1</v>
      </c>
      <c r="L5365" t="b">
        <v>1</v>
      </c>
      <c r="M5365" t="str">
        <f>HYPERLINK("https://arizona.app.box.com/file/386265611522")</f>
        <v>https://arizona.app.box.com/file/386265611522</v>
      </c>
      <c r="N5365" t="str">
        <f>HYPERLINK("https://arizona.app.box.com/file/386256027728")</f>
        <v>https://arizona.app.box.com/file/386256027728</v>
      </c>
    </row>
    <row r="5366" spans="1:25" x14ac:dyDescent="0.2">
      <c r="A5366">
        <v>527</v>
      </c>
      <c r="B5366" t="s">
        <v>9430</v>
      </c>
      <c r="C5366" t="s">
        <v>18</v>
      </c>
      <c r="D5366" t="s">
        <v>9433</v>
      </c>
      <c r="E5366" t="s">
        <v>9434</v>
      </c>
      <c r="F5366" t="s">
        <v>670</v>
      </c>
      <c r="G5366" t="s">
        <v>1867</v>
      </c>
      <c r="I5366" t="b">
        <v>0</v>
      </c>
      <c r="J5366" t="b">
        <v>0</v>
      </c>
      <c r="L5366" t="b">
        <v>0</v>
      </c>
    </row>
    <row r="5367" spans="1:25" x14ac:dyDescent="0.2">
      <c r="A5367">
        <v>528</v>
      </c>
      <c r="B5367" t="s">
        <v>9430</v>
      </c>
      <c r="C5367" t="s">
        <v>18</v>
      </c>
      <c r="D5367" t="s">
        <v>9435</v>
      </c>
      <c r="E5367" t="s">
        <v>9436</v>
      </c>
      <c r="F5367" t="s">
        <v>670</v>
      </c>
      <c r="G5367" t="s">
        <v>1867</v>
      </c>
      <c r="I5367" t="b">
        <v>0</v>
      </c>
      <c r="J5367" t="b">
        <v>0</v>
      </c>
      <c r="L5367" t="b">
        <v>0</v>
      </c>
      <c r="M5367" t="str">
        <f>HYPERLINK("https://arizona.app.box.com/file/386246593095")</f>
        <v>https://arizona.app.box.com/file/386246593095</v>
      </c>
      <c r="N5367" t="str">
        <f>HYPERLINK("https://arizona.app.box.com/file/386232332614")</f>
        <v>https://arizona.app.box.com/file/386232332614</v>
      </c>
    </row>
    <row r="5368" spans="1:25" x14ac:dyDescent="0.2">
      <c r="A5368">
        <v>529</v>
      </c>
      <c r="B5368" t="s">
        <v>9430</v>
      </c>
      <c r="C5368" t="s">
        <v>18</v>
      </c>
      <c r="D5368" t="s">
        <v>9437</v>
      </c>
      <c r="E5368" t="s">
        <v>9438</v>
      </c>
      <c r="F5368" t="s">
        <v>82</v>
      </c>
      <c r="G5368" t="s">
        <v>279</v>
      </c>
      <c r="I5368" t="b">
        <v>0</v>
      </c>
      <c r="J5368" t="b">
        <v>0</v>
      </c>
      <c r="L5368" t="b">
        <v>0</v>
      </c>
    </row>
    <row r="5369" spans="1:25" x14ac:dyDescent="0.2">
      <c r="A5369">
        <v>530</v>
      </c>
      <c r="B5369" t="s">
        <v>9430</v>
      </c>
      <c r="C5369" t="s">
        <v>18</v>
      </c>
      <c r="D5369" t="s">
        <v>5654</v>
      </c>
      <c r="E5369" t="s">
        <v>5655</v>
      </c>
      <c r="F5369" t="s">
        <v>670</v>
      </c>
      <c r="G5369" t="s">
        <v>130</v>
      </c>
      <c r="I5369" t="b">
        <v>0</v>
      </c>
      <c r="J5369" t="b">
        <v>0</v>
      </c>
      <c r="L5369" t="b">
        <v>0</v>
      </c>
    </row>
    <row r="5371" spans="1:25" x14ac:dyDescent="0.2">
      <c r="A5371" s="2">
        <v>2443</v>
      </c>
      <c r="B5371" s="2" t="s">
        <v>9439</v>
      </c>
      <c r="C5371" s="2" t="s">
        <v>13</v>
      </c>
      <c r="D5371" s="2" t="s">
        <v>3309</v>
      </c>
      <c r="E5371" s="2" t="s">
        <v>9440</v>
      </c>
      <c r="F5371" s="2" t="s">
        <v>654</v>
      </c>
      <c r="G5371" s="2" t="s">
        <v>1405</v>
      </c>
      <c r="H5371" s="2"/>
      <c r="I5371" s="2"/>
      <c r="J5371" s="2"/>
      <c r="K5371" s="2"/>
      <c r="L5371" s="2"/>
      <c r="M5371" s="2"/>
      <c r="N5371" s="2"/>
      <c r="O5371" s="2"/>
      <c r="P5371" s="2"/>
      <c r="Q5371" s="2"/>
      <c r="R5371" s="2"/>
      <c r="S5371" s="2"/>
      <c r="T5371" s="2"/>
      <c r="U5371" s="2"/>
      <c r="V5371" s="2"/>
      <c r="W5371" s="2"/>
      <c r="X5371" s="2"/>
      <c r="Y5371" s="2"/>
    </row>
    <row r="5372" spans="1:25" x14ac:dyDescent="0.2">
      <c r="A5372">
        <v>2444</v>
      </c>
      <c r="B5372" t="s">
        <v>9439</v>
      </c>
      <c r="C5372" t="s">
        <v>18</v>
      </c>
      <c r="D5372" t="s">
        <v>3309</v>
      </c>
      <c r="E5372" t="s">
        <v>1214</v>
      </c>
      <c r="F5372" t="s">
        <v>654</v>
      </c>
      <c r="G5372" t="s">
        <v>1406</v>
      </c>
      <c r="I5372" t="b">
        <v>1</v>
      </c>
      <c r="J5372" t="b">
        <v>1</v>
      </c>
      <c r="L5372" t="b">
        <v>1</v>
      </c>
      <c r="M5372" t="str">
        <f>HYPERLINK("https://arizona.app.box.com/file/386245260353")</f>
        <v>https://arizona.app.box.com/file/386245260353</v>
      </c>
    </row>
    <row r="5373" spans="1:25" x14ac:dyDescent="0.2">
      <c r="A5373">
        <v>2445</v>
      </c>
      <c r="B5373" t="s">
        <v>9439</v>
      </c>
      <c r="C5373" t="s">
        <v>18</v>
      </c>
      <c r="D5373" t="s">
        <v>3311</v>
      </c>
      <c r="E5373" t="s">
        <v>231</v>
      </c>
      <c r="F5373" t="s">
        <v>654</v>
      </c>
      <c r="G5373" t="s">
        <v>1406</v>
      </c>
      <c r="I5373" t="b">
        <v>1</v>
      </c>
      <c r="J5373" t="b">
        <v>1</v>
      </c>
      <c r="L5373" t="b">
        <v>1</v>
      </c>
      <c r="M5373" t="str">
        <f>HYPERLINK("https://arizona.app.box.com/file/386219282654")</f>
        <v>https://arizona.app.box.com/file/386219282654</v>
      </c>
    </row>
    <row r="5374" spans="1:25" x14ac:dyDescent="0.2">
      <c r="A5374">
        <v>2446</v>
      </c>
      <c r="B5374" t="s">
        <v>9439</v>
      </c>
      <c r="C5374" t="s">
        <v>18</v>
      </c>
      <c r="D5374" t="s">
        <v>9441</v>
      </c>
      <c r="E5374" t="s">
        <v>9442</v>
      </c>
      <c r="F5374" t="s">
        <v>1077</v>
      </c>
      <c r="G5374" t="s">
        <v>1406</v>
      </c>
      <c r="I5374" t="b">
        <v>0</v>
      </c>
      <c r="J5374" t="b">
        <v>0</v>
      </c>
      <c r="L5374" t="b">
        <v>0</v>
      </c>
      <c r="M5374" t="str">
        <f>HYPERLINK("https://arizona.app.box.com/file/386245048950")</f>
        <v>https://arizona.app.box.com/file/386245048950</v>
      </c>
      <c r="N5374" t="str">
        <f>HYPERLINK("https://arizona.app.box.com/file/386248877661")</f>
        <v>https://arizona.app.box.com/file/386248877661</v>
      </c>
    </row>
    <row r="5375" spans="1:25" x14ac:dyDescent="0.2">
      <c r="A5375">
        <v>2447</v>
      </c>
      <c r="B5375" t="s">
        <v>9439</v>
      </c>
      <c r="C5375" t="s">
        <v>18</v>
      </c>
      <c r="D5375" t="s">
        <v>9443</v>
      </c>
      <c r="E5375" t="s">
        <v>3308</v>
      </c>
      <c r="F5375" t="s">
        <v>1077</v>
      </c>
      <c r="G5375" t="s">
        <v>32</v>
      </c>
      <c r="I5375" t="b">
        <v>0</v>
      </c>
      <c r="J5375" t="b">
        <v>0</v>
      </c>
      <c r="L5375" t="b">
        <v>0</v>
      </c>
      <c r="M5375" t="str">
        <f>HYPERLINK("https://arizona.app.box.com/file/386243123084")</f>
        <v>https://arizona.app.box.com/file/386243123084</v>
      </c>
    </row>
    <row r="5376" spans="1:25" x14ac:dyDescent="0.2">
      <c r="A5376">
        <v>2448</v>
      </c>
      <c r="B5376" t="s">
        <v>9439</v>
      </c>
      <c r="C5376" t="s">
        <v>18</v>
      </c>
      <c r="D5376" t="s">
        <v>3313</v>
      </c>
      <c r="E5376" t="s">
        <v>3314</v>
      </c>
      <c r="F5376" t="s">
        <v>45</v>
      </c>
      <c r="G5376" t="s">
        <v>1406</v>
      </c>
      <c r="I5376" t="b">
        <v>0</v>
      </c>
      <c r="J5376" t="b">
        <v>0</v>
      </c>
      <c r="L5376" t="b">
        <v>0</v>
      </c>
      <c r="M5376" t="str">
        <f>HYPERLINK("https://arizona.app.box.com/file/386244019539")</f>
        <v>https://arizona.app.box.com/file/386244019539</v>
      </c>
    </row>
    <row r="5378" spans="1:25" x14ac:dyDescent="0.2">
      <c r="A5378" s="2">
        <v>5138</v>
      </c>
      <c r="B5378" s="2" t="s">
        <v>9444</v>
      </c>
      <c r="C5378" s="2" t="s">
        <v>13</v>
      </c>
      <c r="D5378" s="2" t="s">
        <v>1826</v>
      </c>
      <c r="E5378" s="2" t="s">
        <v>9445</v>
      </c>
      <c r="F5378" s="2" t="s">
        <v>174</v>
      </c>
      <c r="G5378" s="2" t="s">
        <v>24</v>
      </c>
      <c r="H5378" s="2"/>
      <c r="I5378" s="2"/>
      <c r="J5378" s="2"/>
      <c r="K5378" s="2"/>
      <c r="L5378" s="2"/>
      <c r="M5378" s="2"/>
      <c r="N5378" s="2"/>
      <c r="O5378" s="2"/>
      <c r="P5378" s="2"/>
      <c r="Q5378" s="2"/>
      <c r="R5378" s="2"/>
      <c r="S5378" s="2"/>
      <c r="T5378" s="2"/>
      <c r="U5378" s="2"/>
      <c r="V5378" s="2"/>
      <c r="W5378" s="2"/>
      <c r="X5378" s="2"/>
      <c r="Y5378" s="2"/>
    </row>
    <row r="5379" spans="1:25" x14ac:dyDescent="0.2">
      <c r="A5379">
        <v>5139</v>
      </c>
      <c r="B5379" t="s">
        <v>9444</v>
      </c>
      <c r="C5379" t="s">
        <v>18</v>
      </c>
      <c r="D5379" t="s">
        <v>1826</v>
      </c>
      <c r="E5379" t="s">
        <v>381</v>
      </c>
      <c r="F5379" t="s">
        <v>174</v>
      </c>
      <c r="G5379" t="s">
        <v>24</v>
      </c>
      <c r="I5379" t="b">
        <v>1</v>
      </c>
      <c r="J5379" t="b">
        <v>1</v>
      </c>
      <c r="L5379" t="b">
        <v>1</v>
      </c>
      <c r="M5379" t="str">
        <f>HYPERLINK("https://arizona.app.box.com/file/389153263907")</f>
        <v>https://arizona.app.box.com/file/389153263907</v>
      </c>
      <c r="N5379" t="str">
        <f>HYPERLINK("https://arizona.app.box.com/file/386211877715")</f>
        <v>https://arizona.app.box.com/file/386211877715</v>
      </c>
    </row>
    <row r="5380" spans="1:25" x14ac:dyDescent="0.2">
      <c r="A5380">
        <v>5140</v>
      </c>
      <c r="B5380" t="s">
        <v>9444</v>
      </c>
      <c r="C5380" t="s">
        <v>18</v>
      </c>
      <c r="D5380" t="s">
        <v>1824</v>
      </c>
      <c r="E5380" t="s">
        <v>381</v>
      </c>
      <c r="F5380" t="s">
        <v>159</v>
      </c>
      <c r="G5380" t="s">
        <v>24</v>
      </c>
      <c r="I5380" t="b">
        <v>0</v>
      </c>
      <c r="J5380" t="b">
        <v>0</v>
      </c>
      <c r="L5380" t="b">
        <v>0</v>
      </c>
      <c r="M5380" t="str">
        <f>HYPERLINK("https://arizona.app.box.com/file/389168655793")</f>
        <v>https://arizona.app.box.com/file/389168655793</v>
      </c>
    </row>
    <row r="5381" spans="1:25" x14ac:dyDescent="0.2">
      <c r="A5381">
        <v>5141</v>
      </c>
      <c r="B5381" t="s">
        <v>9444</v>
      </c>
      <c r="C5381" t="s">
        <v>18</v>
      </c>
      <c r="D5381" t="s">
        <v>1822</v>
      </c>
      <c r="E5381" t="s">
        <v>381</v>
      </c>
      <c r="F5381" t="s">
        <v>16</v>
      </c>
      <c r="G5381" t="s">
        <v>24</v>
      </c>
      <c r="I5381" t="b">
        <v>0</v>
      </c>
      <c r="J5381" t="b">
        <v>0</v>
      </c>
      <c r="L5381" t="b">
        <v>0</v>
      </c>
    </row>
    <row r="5382" spans="1:25" x14ac:dyDescent="0.2">
      <c r="A5382">
        <v>5142</v>
      </c>
      <c r="B5382" t="s">
        <v>9444</v>
      </c>
      <c r="C5382" t="s">
        <v>18</v>
      </c>
      <c r="D5382" t="s">
        <v>1831</v>
      </c>
      <c r="E5382" t="s">
        <v>381</v>
      </c>
      <c r="F5382" t="s">
        <v>369</v>
      </c>
      <c r="G5382" t="s">
        <v>24</v>
      </c>
      <c r="I5382" t="b">
        <v>0</v>
      </c>
      <c r="J5382" t="b">
        <v>0</v>
      </c>
      <c r="L5382" t="b">
        <v>0</v>
      </c>
      <c r="M5382" t="str">
        <f>HYPERLINK("https://arizona.app.box.com/file/389173265304")</f>
        <v>https://arizona.app.box.com/file/389173265304</v>
      </c>
    </row>
    <row r="5383" spans="1:25" x14ac:dyDescent="0.2">
      <c r="A5383">
        <v>5143</v>
      </c>
      <c r="B5383" t="s">
        <v>9444</v>
      </c>
      <c r="C5383" t="s">
        <v>18</v>
      </c>
      <c r="D5383" t="s">
        <v>8377</v>
      </c>
      <c r="E5383" t="s">
        <v>381</v>
      </c>
      <c r="F5383" t="s">
        <v>159</v>
      </c>
      <c r="G5383" t="s">
        <v>24</v>
      </c>
      <c r="I5383" t="b">
        <v>0</v>
      </c>
      <c r="J5383" t="b">
        <v>0</v>
      </c>
      <c r="L5383" t="b">
        <v>0</v>
      </c>
      <c r="M5383" t="str">
        <f>HYPERLINK("https://arizona.app.box.com/file/389172268888")</f>
        <v>https://arizona.app.box.com/file/389172268888</v>
      </c>
    </row>
    <row r="5385" spans="1:25" x14ac:dyDescent="0.2">
      <c r="A5385" s="2">
        <v>630</v>
      </c>
      <c r="B5385" s="2" t="s">
        <v>9446</v>
      </c>
      <c r="C5385" s="2" t="s">
        <v>13</v>
      </c>
      <c r="D5385" s="2" t="s">
        <v>9447</v>
      </c>
      <c r="E5385" s="2" t="s">
        <v>9448</v>
      </c>
      <c r="F5385" s="2" t="s">
        <v>159</v>
      </c>
      <c r="G5385" s="2" t="s">
        <v>292</v>
      </c>
      <c r="H5385" s="2"/>
      <c r="I5385" s="2"/>
      <c r="J5385" s="2"/>
      <c r="K5385" s="2"/>
      <c r="L5385" s="2"/>
      <c r="M5385" s="2"/>
      <c r="N5385" s="2"/>
      <c r="O5385" s="2"/>
      <c r="P5385" s="2"/>
      <c r="Q5385" s="2"/>
      <c r="R5385" s="2"/>
      <c r="S5385" s="2"/>
      <c r="T5385" s="2"/>
      <c r="U5385" s="2"/>
      <c r="V5385" s="2"/>
      <c r="W5385" s="2"/>
      <c r="X5385" s="2"/>
      <c r="Y5385" s="2"/>
    </row>
    <row r="5386" spans="1:25" x14ac:dyDescent="0.2">
      <c r="A5386">
        <v>631</v>
      </c>
      <c r="B5386" t="s">
        <v>9446</v>
      </c>
      <c r="C5386" t="s">
        <v>18</v>
      </c>
      <c r="D5386" t="s">
        <v>9449</v>
      </c>
      <c r="E5386" t="s">
        <v>9448</v>
      </c>
      <c r="F5386" t="s">
        <v>4815</v>
      </c>
      <c r="G5386" t="s">
        <v>292</v>
      </c>
      <c r="I5386" t="b">
        <v>1</v>
      </c>
      <c r="J5386" t="b">
        <v>1</v>
      </c>
      <c r="L5386" t="b">
        <v>1</v>
      </c>
      <c r="M5386" t="str">
        <f>HYPERLINK("https://arizona.app.box.com/file/386240382148")</f>
        <v>https://arizona.app.box.com/file/386240382148</v>
      </c>
      <c r="N5386" t="str">
        <f>HYPERLINK("https://arizona.app.box.com/file/386241113911")</f>
        <v>https://arizona.app.box.com/file/386241113911</v>
      </c>
    </row>
    <row r="5387" spans="1:25" x14ac:dyDescent="0.2">
      <c r="A5387">
        <v>632</v>
      </c>
      <c r="B5387" t="s">
        <v>9446</v>
      </c>
      <c r="C5387" t="s">
        <v>18</v>
      </c>
      <c r="D5387" t="s">
        <v>7956</v>
      </c>
      <c r="E5387" t="s">
        <v>7958</v>
      </c>
      <c r="F5387" t="s">
        <v>248</v>
      </c>
      <c r="G5387" t="s">
        <v>17</v>
      </c>
      <c r="I5387" t="b">
        <v>0</v>
      </c>
      <c r="J5387" t="b">
        <v>0</v>
      </c>
      <c r="L5387" t="b">
        <v>0</v>
      </c>
      <c r="M5387" t="str">
        <f>HYPERLINK("https://arizona.app.box.com/file/389260686661")</f>
        <v>https://arizona.app.box.com/file/389260686661</v>
      </c>
      <c r="N5387" t="str">
        <f>HYPERLINK("https://arizona.app.box.com/file/389152623883")</f>
        <v>https://arizona.app.box.com/file/389152623883</v>
      </c>
    </row>
    <row r="5388" spans="1:25" x14ac:dyDescent="0.2">
      <c r="A5388">
        <v>633</v>
      </c>
      <c r="B5388" t="s">
        <v>9446</v>
      </c>
      <c r="C5388" t="s">
        <v>18</v>
      </c>
      <c r="D5388" t="s">
        <v>9450</v>
      </c>
      <c r="E5388" t="s">
        <v>9451</v>
      </c>
      <c r="F5388" t="s">
        <v>45</v>
      </c>
      <c r="G5388" t="s">
        <v>252</v>
      </c>
      <c r="I5388" t="b">
        <v>0</v>
      </c>
      <c r="J5388" t="b">
        <v>0</v>
      </c>
      <c r="L5388" t="b">
        <v>0</v>
      </c>
      <c r="M5388" t="str">
        <f>HYPERLINK("https://arizona.app.box.com/file/386230716214")</f>
        <v>https://arizona.app.box.com/file/386230716214</v>
      </c>
      <c r="N5388" t="str">
        <f>HYPERLINK("https://arizona.app.box.com/file/386241113911")</f>
        <v>https://arizona.app.box.com/file/386241113911</v>
      </c>
    </row>
    <row r="5389" spans="1:25" x14ac:dyDescent="0.2">
      <c r="A5389">
        <v>634</v>
      </c>
      <c r="B5389" t="s">
        <v>9446</v>
      </c>
      <c r="C5389" t="s">
        <v>18</v>
      </c>
      <c r="D5389" t="s">
        <v>7593</v>
      </c>
      <c r="E5389" t="s">
        <v>7594</v>
      </c>
      <c r="F5389" t="s">
        <v>78</v>
      </c>
      <c r="G5389" t="s">
        <v>1047</v>
      </c>
      <c r="I5389" t="b">
        <v>0</v>
      </c>
      <c r="J5389" t="b">
        <v>0</v>
      </c>
      <c r="L5389" t="b">
        <v>0</v>
      </c>
      <c r="M5389" t="str">
        <f>HYPERLINK("https://arizona.app.box.com/file/389173764815")</f>
        <v>https://arizona.app.box.com/file/389173764815</v>
      </c>
      <c r="N5389" t="str">
        <f>HYPERLINK("https://arizona.app.box.com/file/386214251567")</f>
        <v>https://arizona.app.box.com/file/386214251567</v>
      </c>
      <c r="O5389" t="str">
        <f>HYPERLINK("https://arizona.app.box.com/file/389170469336")</f>
        <v>https://arizona.app.box.com/file/389170469336</v>
      </c>
      <c r="P5389" t="str">
        <f>HYPERLINK("https://arizona.app.box.com/file/386225489986")</f>
        <v>https://arizona.app.box.com/file/386225489986</v>
      </c>
    </row>
    <row r="5390" spans="1:25" x14ac:dyDescent="0.2">
      <c r="A5390">
        <v>635</v>
      </c>
      <c r="B5390" t="s">
        <v>9446</v>
      </c>
      <c r="C5390" t="s">
        <v>18</v>
      </c>
      <c r="D5390" t="s">
        <v>9452</v>
      </c>
      <c r="E5390" t="s">
        <v>9453</v>
      </c>
      <c r="F5390" t="s">
        <v>45</v>
      </c>
      <c r="G5390" t="s">
        <v>32</v>
      </c>
      <c r="I5390" t="b">
        <v>0</v>
      </c>
      <c r="J5390" t="b">
        <v>0</v>
      </c>
      <c r="L5390" t="b">
        <v>0</v>
      </c>
    </row>
    <row r="5392" spans="1:25" x14ac:dyDescent="0.2">
      <c r="A5392" s="2">
        <v>3164</v>
      </c>
      <c r="B5392" s="2" t="s">
        <v>9454</v>
      </c>
      <c r="C5392" s="2" t="s">
        <v>13</v>
      </c>
      <c r="D5392" s="2" t="s">
        <v>4223</v>
      </c>
      <c r="E5392" s="2" t="s">
        <v>4224</v>
      </c>
      <c r="F5392" s="2" t="s">
        <v>78</v>
      </c>
      <c r="G5392" s="2" t="s">
        <v>17</v>
      </c>
      <c r="H5392" s="2"/>
      <c r="I5392" s="2"/>
      <c r="J5392" s="2"/>
      <c r="K5392" s="2"/>
      <c r="L5392" s="2"/>
      <c r="M5392" s="2"/>
      <c r="N5392" s="2"/>
      <c r="O5392" s="2"/>
      <c r="P5392" s="2"/>
      <c r="Q5392" s="2"/>
      <c r="R5392" s="2"/>
      <c r="S5392" s="2"/>
      <c r="T5392" s="2"/>
      <c r="U5392" s="2"/>
      <c r="V5392" s="2"/>
      <c r="W5392" s="2"/>
      <c r="X5392" s="2"/>
      <c r="Y5392" s="2"/>
    </row>
    <row r="5393" spans="1:25" x14ac:dyDescent="0.2">
      <c r="A5393">
        <v>3165</v>
      </c>
      <c r="B5393" t="s">
        <v>9454</v>
      </c>
      <c r="C5393" t="s">
        <v>18</v>
      </c>
      <c r="D5393" t="s">
        <v>4223</v>
      </c>
      <c r="E5393" t="s">
        <v>4224</v>
      </c>
      <c r="F5393" t="s">
        <v>78</v>
      </c>
      <c r="G5393" t="s">
        <v>17</v>
      </c>
      <c r="I5393" t="b">
        <v>1</v>
      </c>
      <c r="J5393" t="b">
        <v>1</v>
      </c>
      <c r="L5393" t="b">
        <v>1</v>
      </c>
      <c r="M5393" t="str">
        <f>HYPERLINK("https://arizona.app.box.com/file/389168502801")</f>
        <v>https://arizona.app.box.com/file/389168502801</v>
      </c>
      <c r="N5393" t="str">
        <f>HYPERLINK("https://arizona.app.box.com/file/386239289620")</f>
        <v>https://arizona.app.box.com/file/386239289620</v>
      </c>
      <c r="O5393" t="str">
        <f>HYPERLINK("https://arizona.app.box.com/file/389174375348")</f>
        <v>https://arizona.app.box.com/file/389174375348</v>
      </c>
    </row>
    <row r="5394" spans="1:25" x14ac:dyDescent="0.2">
      <c r="A5394">
        <v>3166</v>
      </c>
      <c r="B5394" t="s">
        <v>9454</v>
      </c>
      <c r="C5394" t="s">
        <v>18</v>
      </c>
      <c r="D5394" t="s">
        <v>4218</v>
      </c>
      <c r="E5394" t="s">
        <v>4219</v>
      </c>
      <c r="F5394" t="s">
        <v>31</v>
      </c>
      <c r="G5394" t="s">
        <v>17</v>
      </c>
      <c r="I5394" t="b">
        <v>0</v>
      </c>
      <c r="J5394" t="b">
        <v>0</v>
      </c>
      <c r="L5394" t="b">
        <v>0</v>
      </c>
      <c r="M5394" t="str">
        <f>HYPERLINK("https://arizona.app.box.com/file/389174554307")</f>
        <v>https://arizona.app.box.com/file/389174554307</v>
      </c>
      <c r="N5394" t="str">
        <f>HYPERLINK("https://arizona.app.box.com/file/386244012142")</f>
        <v>https://arizona.app.box.com/file/386244012142</v>
      </c>
      <c r="O5394" t="str">
        <f>HYPERLINK("https://arizona.app.box.com/file/389170584146")</f>
        <v>https://arizona.app.box.com/file/389170584146</v>
      </c>
    </row>
    <row r="5395" spans="1:25" x14ac:dyDescent="0.2">
      <c r="A5395">
        <v>3167</v>
      </c>
      <c r="B5395" t="s">
        <v>9454</v>
      </c>
      <c r="C5395" t="s">
        <v>18</v>
      </c>
      <c r="D5395" t="s">
        <v>4212</v>
      </c>
      <c r="E5395" t="s">
        <v>4214</v>
      </c>
      <c r="F5395" t="s">
        <v>78</v>
      </c>
      <c r="G5395" t="s">
        <v>17</v>
      </c>
      <c r="I5395" t="b">
        <v>0</v>
      </c>
      <c r="J5395" t="b">
        <v>0</v>
      </c>
      <c r="L5395" t="b">
        <v>0</v>
      </c>
      <c r="M5395" t="str">
        <f>HYPERLINK("https://arizona.app.box.com/file/389264601663")</f>
        <v>https://arizona.app.box.com/file/389264601663</v>
      </c>
      <c r="N5395" t="str">
        <f>HYPERLINK("https://arizona.app.box.com/file/389166490484")</f>
        <v>https://arizona.app.box.com/file/389166490484</v>
      </c>
      <c r="O5395" t="str">
        <f>HYPERLINK("https://arizona.app.box.com/file/389172371236")</f>
        <v>https://arizona.app.box.com/file/389172371236</v>
      </c>
    </row>
    <row r="5396" spans="1:25" x14ac:dyDescent="0.2">
      <c r="A5396">
        <v>3168</v>
      </c>
      <c r="B5396" t="s">
        <v>9454</v>
      </c>
      <c r="C5396" t="s">
        <v>18</v>
      </c>
      <c r="D5396" t="s">
        <v>9455</v>
      </c>
      <c r="E5396" t="s">
        <v>3787</v>
      </c>
      <c r="F5396" t="s">
        <v>174</v>
      </c>
      <c r="G5396" t="s">
        <v>17</v>
      </c>
      <c r="I5396" t="b">
        <v>0</v>
      </c>
      <c r="J5396" t="b">
        <v>0</v>
      </c>
      <c r="L5396" t="b">
        <v>0</v>
      </c>
      <c r="M5396" t="str">
        <f>HYPERLINK("https://arizona.app.box.com/file/389164604422")</f>
        <v>https://arizona.app.box.com/file/389164604422</v>
      </c>
      <c r="N5396" t="str">
        <f>HYPERLINK("https://arizona.app.box.com/file/386241441010")</f>
        <v>https://arizona.app.box.com/file/386241441010</v>
      </c>
    </row>
    <row r="5397" spans="1:25" x14ac:dyDescent="0.2">
      <c r="A5397">
        <v>3169</v>
      </c>
      <c r="B5397" t="s">
        <v>9454</v>
      </c>
      <c r="C5397" t="s">
        <v>18</v>
      </c>
      <c r="D5397" t="s">
        <v>2535</v>
      </c>
      <c r="E5397" t="s">
        <v>2536</v>
      </c>
      <c r="F5397" t="s">
        <v>168</v>
      </c>
      <c r="G5397" t="s">
        <v>17</v>
      </c>
      <c r="I5397" t="b">
        <v>0</v>
      </c>
      <c r="J5397" t="b">
        <v>0</v>
      </c>
      <c r="L5397" t="b">
        <v>0</v>
      </c>
      <c r="M5397" t="str">
        <f>HYPERLINK("https://arizona.app.box.com/file/389260294867")</f>
        <v>https://arizona.app.box.com/file/389260294867</v>
      </c>
      <c r="N5397" t="str">
        <f>HYPERLINK("https://arizona.app.box.com/file/389138293492")</f>
        <v>https://arizona.app.box.com/file/389138293492</v>
      </c>
      <c r="O5397" t="str">
        <f>HYPERLINK("https://arizona.app.box.com/file/389175690285")</f>
        <v>https://arizona.app.box.com/file/389175690285</v>
      </c>
      <c r="P5397" t="str">
        <f>HYPERLINK("https://arizona.app.box.com/file/386216748323")</f>
        <v>https://arizona.app.box.com/file/386216748323</v>
      </c>
      <c r="Q5397" t="str">
        <f>HYPERLINK("https://arizona.app.box.com/file/389173430706")</f>
        <v>https://arizona.app.box.com/file/389173430706</v>
      </c>
      <c r="R5397" t="str">
        <f>HYPERLINK("https://arizona.app.box.com/file/386242983334_x000D_
")</f>
        <v xml:space="preserve">https://arizona.app.box.com/file/386242983334_x000D_
</v>
      </c>
    </row>
    <row r="5399" spans="1:25" x14ac:dyDescent="0.2">
      <c r="A5399" s="2">
        <v>4564</v>
      </c>
      <c r="B5399" s="2" t="s">
        <v>9456</v>
      </c>
      <c r="C5399" s="2" t="s">
        <v>13</v>
      </c>
      <c r="D5399" s="2" t="s">
        <v>9457</v>
      </c>
      <c r="E5399" s="2" t="s">
        <v>9458</v>
      </c>
      <c r="F5399" s="2" t="s">
        <v>174</v>
      </c>
      <c r="G5399" s="2" t="s">
        <v>17</v>
      </c>
      <c r="H5399" s="2"/>
      <c r="I5399" s="2"/>
      <c r="J5399" s="2"/>
      <c r="K5399" s="2"/>
      <c r="L5399" s="2"/>
      <c r="M5399" s="2"/>
      <c r="N5399" s="2"/>
      <c r="O5399" s="2"/>
      <c r="P5399" s="2"/>
      <c r="Q5399" s="2"/>
      <c r="R5399" s="2"/>
      <c r="S5399" s="2"/>
      <c r="T5399" s="2"/>
      <c r="U5399" s="2"/>
      <c r="V5399" s="2"/>
      <c r="W5399" s="2"/>
      <c r="X5399" s="2"/>
      <c r="Y5399" s="2"/>
    </row>
    <row r="5400" spans="1:25" x14ac:dyDescent="0.2">
      <c r="A5400">
        <v>4565</v>
      </c>
      <c r="B5400" t="s">
        <v>9456</v>
      </c>
      <c r="C5400" t="s">
        <v>18</v>
      </c>
      <c r="D5400" t="s">
        <v>9457</v>
      </c>
      <c r="E5400" t="s">
        <v>1859</v>
      </c>
      <c r="F5400" t="s">
        <v>174</v>
      </c>
      <c r="G5400" t="s">
        <v>17</v>
      </c>
      <c r="I5400" t="b">
        <v>1</v>
      </c>
      <c r="J5400" t="b">
        <v>1</v>
      </c>
      <c r="L5400" t="b">
        <v>1</v>
      </c>
      <c r="M5400" t="str">
        <f>HYPERLINK("https://arizona.app.box.com/file/389265176196")</f>
        <v>https://arizona.app.box.com/file/389265176196</v>
      </c>
    </row>
    <row r="5401" spans="1:25" x14ac:dyDescent="0.2">
      <c r="A5401">
        <v>4566</v>
      </c>
      <c r="B5401" t="s">
        <v>9456</v>
      </c>
      <c r="C5401" t="s">
        <v>18</v>
      </c>
      <c r="D5401" t="s">
        <v>175</v>
      </c>
      <c r="E5401" t="s">
        <v>176</v>
      </c>
      <c r="F5401" t="s">
        <v>174</v>
      </c>
      <c r="G5401" t="s">
        <v>17</v>
      </c>
      <c r="I5401" t="b">
        <v>1</v>
      </c>
      <c r="J5401" t="b">
        <v>1</v>
      </c>
      <c r="L5401" t="b">
        <v>1</v>
      </c>
      <c r="M5401" t="str">
        <f>HYPERLINK("https://arizona.app.box.com/file/389255017609")</f>
        <v>https://arizona.app.box.com/file/389255017609</v>
      </c>
      <c r="N5401" t="str">
        <f>HYPERLINK("https://arizona.app.box.com/file/389164327013")</f>
        <v>https://arizona.app.box.com/file/389164327013</v>
      </c>
    </row>
    <row r="5402" spans="1:25" x14ac:dyDescent="0.2">
      <c r="A5402">
        <v>4567</v>
      </c>
      <c r="B5402" t="s">
        <v>9456</v>
      </c>
      <c r="C5402" t="s">
        <v>18</v>
      </c>
      <c r="D5402" t="s">
        <v>5273</v>
      </c>
      <c r="E5402" t="s">
        <v>5274</v>
      </c>
      <c r="F5402" t="s">
        <v>369</v>
      </c>
      <c r="G5402" t="s">
        <v>17</v>
      </c>
      <c r="I5402" t="b">
        <v>0</v>
      </c>
      <c r="J5402" t="b">
        <v>0</v>
      </c>
      <c r="L5402" t="b">
        <v>0</v>
      </c>
      <c r="M5402" t="str">
        <f>HYPERLINK("https://arizona.app.box.com/file/389177819504")</f>
        <v>https://arizona.app.box.com/file/389177819504</v>
      </c>
      <c r="N5402" t="str">
        <f>HYPERLINK("https://arizona.app.box.com/file/386237832466")</f>
        <v>https://arizona.app.box.com/file/386237832466</v>
      </c>
    </row>
    <row r="5403" spans="1:25" x14ac:dyDescent="0.2">
      <c r="A5403">
        <v>4568</v>
      </c>
      <c r="B5403" t="s">
        <v>9456</v>
      </c>
      <c r="C5403" t="s">
        <v>18</v>
      </c>
      <c r="D5403" t="s">
        <v>9459</v>
      </c>
      <c r="E5403" t="s">
        <v>9460</v>
      </c>
      <c r="F5403" t="s">
        <v>174</v>
      </c>
      <c r="G5403" t="s">
        <v>17</v>
      </c>
      <c r="I5403" t="b">
        <v>0</v>
      </c>
      <c r="J5403" t="b">
        <v>0</v>
      </c>
      <c r="L5403" t="b">
        <v>0</v>
      </c>
    </row>
    <row r="5404" spans="1:25" x14ac:dyDescent="0.2">
      <c r="A5404">
        <v>4569</v>
      </c>
      <c r="B5404" t="s">
        <v>9456</v>
      </c>
      <c r="C5404" t="s">
        <v>18</v>
      </c>
      <c r="D5404" t="s">
        <v>9461</v>
      </c>
      <c r="E5404" t="s">
        <v>9462</v>
      </c>
      <c r="F5404" t="s">
        <v>78</v>
      </c>
      <c r="G5404" t="s">
        <v>17</v>
      </c>
      <c r="I5404" t="b">
        <v>0</v>
      </c>
      <c r="J5404" t="b">
        <v>0</v>
      </c>
      <c r="L5404" t="b">
        <v>0</v>
      </c>
    </row>
    <row r="5406" spans="1:25" x14ac:dyDescent="0.2">
      <c r="A5406" s="2">
        <v>4669</v>
      </c>
      <c r="B5406" s="2" t="s">
        <v>9463</v>
      </c>
      <c r="C5406" s="2" t="s">
        <v>13</v>
      </c>
      <c r="D5406" s="2" t="s">
        <v>9464</v>
      </c>
      <c r="E5406" s="2" t="s">
        <v>9465</v>
      </c>
      <c r="F5406" s="2" t="s">
        <v>8527</v>
      </c>
      <c r="G5406" s="2" t="s">
        <v>134</v>
      </c>
      <c r="H5406" s="2"/>
      <c r="I5406" s="2"/>
      <c r="J5406" s="2"/>
      <c r="K5406" s="2"/>
      <c r="L5406" s="2"/>
      <c r="M5406" s="2"/>
      <c r="N5406" s="2"/>
      <c r="O5406" s="2"/>
      <c r="P5406" s="2"/>
      <c r="Q5406" s="2"/>
      <c r="R5406" s="2"/>
      <c r="S5406" s="2"/>
      <c r="T5406" s="2"/>
      <c r="U5406" s="2"/>
      <c r="V5406" s="2"/>
      <c r="W5406" s="2"/>
      <c r="X5406" s="2"/>
      <c r="Y5406" s="2"/>
    </row>
    <row r="5407" spans="1:25" x14ac:dyDescent="0.2">
      <c r="A5407">
        <v>4670</v>
      </c>
      <c r="B5407" t="s">
        <v>9463</v>
      </c>
      <c r="C5407" t="s">
        <v>18</v>
      </c>
      <c r="D5407" t="s">
        <v>9466</v>
      </c>
      <c r="E5407" t="s">
        <v>8845</v>
      </c>
      <c r="F5407" t="s">
        <v>159</v>
      </c>
      <c r="G5407" t="s">
        <v>134</v>
      </c>
      <c r="I5407" t="b">
        <v>1</v>
      </c>
      <c r="J5407" t="b">
        <v>1</v>
      </c>
      <c r="L5407" t="b">
        <v>1</v>
      </c>
      <c r="M5407" t="str">
        <f>HYPERLINK("https://arizona.app.box.com/file/389173871128")</f>
        <v>https://arizona.app.box.com/file/389173871128</v>
      </c>
      <c r="N5407" t="str">
        <f>HYPERLINK("https://arizona.app.box.com/file/386254304563")</f>
        <v>https://arizona.app.box.com/file/386254304563</v>
      </c>
    </row>
    <row r="5408" spans="1:25" x14ac:dyDescent="0.2">
      <c r="A5408">
        <v>4671</v>
      </c>
      <c r="B5408" t="s">
        <v>9463</v>
      </c>
      <c r="C5408" t="s">
        <v>18</v>
      </c>
      <c r="D5408" t="s">
        <v>9467</v>
      </c>
      <c r="E5408" t="s">
        <v>4498</v>
      </c>
      <c r="F5408" t="s">
        <v>159</v>
      </c>
      <c r="G5408" t="s">
        <v>252</v>
      </c>
      <c r="I5408" t="b">
        <v>0</v>
      </c>
      <c r="J5408" t="b">
        <v>0</v>
      </c>
      <c r="L5408" t="b">
        <v>0</v>
      </c>
      <c r="M5408" t="str">
        <f>HYPERLINK("https://arizona.app.box.com/file/389170880707")</f>
        <v>https://arizona.app.box.com/file/389170880707</v>
      </c>
      <c r="N5408" t="str">
        <f>HYPERLINK("https://arizona.app.box.com/file/386213369869")</f>
        <v>https://arizona.app.box.com/file/386213369869</v>
      </c>
    </row>
    <row r="5409" spans="1:25" x14ac:dyDescent="0.2">
      <c r="A5409">
        <v>4672</v>
      </c>
      <c r="B5409" t="s">
        <v>9463</v>
      </c>
      <c r="C5409" t="s">
        <v>18</v>
      </c>
      <c r="D5409" t="s">
        <v>5333</v>
      </c>
      <c r="E5409" t="s">
        <v>5334</v>
      </c>
      <c r="F5409" t="s">
        <v>248</v>
      </c>
      <c r="G5409" t="s">
        <v>134</v>
      </c>
      <c r="I5409" t="b">
        <v>0</v>
      </c>
      <c r="J5409" t="b">
        <v>0</v>
      </c>
      <c r="L5409" t="b">
        <v>0</v>
      </c>
    </row>
    <row r="5410" spans="1:25" x14ac:dyDescent="0.2">
      <c r="A5410">
        <v>4673</v>
      </c>
      <c r="B5410" t="s">
        <v>9463</v>
      </c>
      <c r="C5410" t="s">
        <v>18</v>
      </c>
      <c r="D5410" t="s">
        <v>964</v>
      </c>
      <c r="E5410" t="s">
        <v>965</v>
      </c>
      <c r="F5410" t="s">
        <v>122</v>
      </c>
      <c r="G5410" t="s">
        <v>17</v>
      </c>
      <c r="I5410" t="b">
        <v>0</v>
      </c>
      <c r="J5410" t="b">
        <v>0</v>
      </c>
      <c r="L5410" t="b">
        <v>0</v>
      </c>
      <c r="M5410" t="str">
        <f>HYPERLINK("https://arizona.app.box.com/file/389152140808")</f>
        <v>https://arizona.app.box.com/file/389152140808</v>
      </c>
    </row>
    <row r="5411" spans="1:25" x14ac:dyDescent="0.2">
      <c r="A5411">
        <v>4674</v>
      </c>
      <c r="B5411" t="s">
        <v>9463</v>
      </c>
      <c r="C5411" t="s">
        <v>18</v>
      </c>
      <c r="D5411" t="s">
        <v>9468</v>
      </c>
      <c r="E5411" t="s">
        <v>9469</v>
      </c>
      <c r="F5411" t="s">
        <v>82</v>
      </c>
      <c r="G5411" t="s">
        <v>345</v>
      </c>
      <c r="I5411" t="b">
        <v>0</v>
      </c>
      <c r="J5411" t="b">
        <v>0</v>
      </c>
      <c r="L5411" t="b">
        <v>0</v>
      </c>
    </row>
    <row r="5413" spans="1:25" x14ac:dyDescent="0.2">
      <c r="A5413" s="2">
        <v>7028</v>
      </c>
      <c r="B5413" s="2" t="s">
        <v>9470</v>
      </c>
      <c r="C5413" s="2" t="s">
        <v>13</v>
      </c>
      <c r="D5413" s="2" t="s">
        <v>5191</v>
      </c>
      <c r="E5413" s="2" t="s">
        <v>9471</v>
      </c>
      <c r="F5413" s="2" t="s">
        <v>45</v>
      </c>
      <c r="G5413" s="2" t="s">
        <v>24</v>
      </c>
      <c r="H5413" s="2"/>
      <c r="I5413" s="2"/>
      <c r="J5413" s="2"/>
      <c r="K5413" s="2"/>
      <c r="L5413" s="2"/>
      <c r="M5413" s="2"/>
      <c r="N5413" s="2"/>
      <c r="O5413" s="2"/>
      <c r="P5413" s="2"/>
      <c r="Q5413" s="2"/>
      <c r="R5413" s="2"/>
      <c r="S5413" s="2"/>
      <c r="T5413" s="2"/>
      <c r="U5413" s="2"/>
      <c r="V5413" s="2"/>
      <c r="W5413" s="2"/>
      <c r="X5413" s="2"/>
      <c r="Y5413" s="2"/>
    </row>
    <row r="5414" spans="1:25" x14ac:dyDescent="0.2">
      <c r="A5414">
        <v>7029</v>
      </c>
      <c r="B5414" t="s">
        <v>9470</v>
      </c>
      <c r="C5414" t="s">
        <v>18</v>
      </c>
      <c r="D5414" t="s">
        <v>5191</v>
      </c>
      <c r="E5414" t="s">
        <v>5192</v>
      </c>
      <c r="F5414" t="s">
        <v>45</v>
      </c>
      <c r="G5414" t="s">
        <v>24</v>
      </c>
      <c r="I5414" t="b">
        <v>1</v>
      </c>
      <c r="J5414" t="b">
        <v>1</v>
      </c>
      <c r="L5414" t="b">
        <v>1</v>
      </c>
      <c r="M5414" t="str">
        <f>HYPERLINK("https://arizona.app.box.com/file/386216701677")</f>
        <v>https://arizona.app.box.com/file/386216701677</v>
      </c>
      <c r="N5414" t="str">
        <f>HYPERLINK("https://arizona.app.box.com/file/386241113911")</f>
        <v>https://arizona.app.box.com/file/386241113911</v>
      </c>
    </row>
    <row r="5415" spans="1:25" x14ac:dyDescent="0.2">
      <c r="A5415">
        <v>7030</v>
      </c>
      <c r="B5415" t="s">
        <v>9470</v>
      </c>
      <c r="C5415" t="s">
        <v>18</v>
      </c>
      <c r="D5415" t="s">
        <v>5190</v>
      </c>
      <c r="E5415" t="s">
        <v>2573</v>
      </c>
      <c r="F5415" t="s">
        <v>45</v>
      </c>
      <c r="G5415" t="s">
        <v>24</v>
      </c>
      <c r="I5415" t="b">
        <v>0</v>
      </c>
      <c r="J5415" t="b">
        <v>0</v>
      </c>
      <c r="L5415" t="b">
        <v>0</v>
      </c>
    </row>
    <row r="5416" spans="1:25" x14ac:dyDescent="0.2">
      <c r="A5416">
        <v>7031</v>
      </c>
      <c r="B5416" t="s">
        <v>9470</v>
      </c>
      <c r="C5416" t="s">
        <v>18</v>
      </c>
      <c r="D5416" t="s">
        <v>9472</v>
      </c>
      <c r="E5416" t="s">
        <v>1336</v>
      </c>
      <c r="F5416" t="s">
        <v>45</v>
      </c>
      <c r="G5416" t="s">
        <v>24</v>
      </c>
      <c r="I5416" t="b">
        <v>0</v>
      </c>
      <c r="J5416" t="b">
        <v>0</v>
      </c>
      <c r="L5416" t="b">
        <v>0</v>
      </c>
    </row>
    <row r="5417" spans="1:25" x14ac:dyDescent="0.2">
      <c r="A5417">
        <v>7032</v>
      </c>
      <c r="B5417" t="s">
        <v>9470</v>
      </c>
      <c r="C5417" t="s">
        <v>18</v>
      </c>
      <c r="D5417" t="s">
        <v>9473</v>
      </c>
      <c r="E5417" t="s">
        <v>9474</v>
      </c>
      <c r="F5417" t="s">
        <v>45</v>
      </c>
      <c r="G5417" t="s">
        <v>17</v>
      </c>
      <c r="I5417" t="b">
        <v>0</v>
      </c>
      <c r="J5417" t="b">
        <v>0</v>
      </c>
      <c r="L5417" t="b">
        <v>0</v>
      </c>
    </row>
    <row r="5418" spans="1:25" x14ac:dyDescent="0.2">
      <c r="A5418">
        <v>7033</v>
      </c>
      <c r="B5418" t="s">
        <v>9470</v>
      </c>
      <c r="C5418" t="s">
        <v>18</v>
      </c>
      <c r="D5418" t="s">
        <v>8145</v>
      </c>
      <c r="E5418" t="s">
        <v>8146</v>
      </c>
      <c r="F5418" t="s">
        <v>45</v>
      </c>
      <c r="G5418" t="s">
        <v>17</v>
      </c>
      <c r="I5418" t="b">
        <v>0</v>
      </c>
      <c r="J5418" t="b">
        <v>0</v>
      </c>
      <c r="L5418" t="b">
        <v>0</v>
      </c>
      <c r="M5418" t="str">
        <f>HYPERLINK("https://arizona.app.box.com/file/386257196845")</f>
        <v>https://arizona.app.box.com/file/386257196845</v>
      </c>
      <c r="N5418" t="str">
        <f>HYPERLINK("https://arizona.app.box.com/file/389161313462")</f>
        <v>https://arizona.app.box.com/file/389161313462</v>
      </c>
    </row>
    <row r="5420" spans="1:25" x14ac:dyDescent="0.2">
      <c r="A5420" s="2">
        <v>1841</v>
      </c>
      <c r="B5420" s="2" t="s">
        <v>9475</v>
      </c>
      <c r="C5420" s="2" t="s">
        <v>13</v>
      </c>
      <c r="D5420" s="2" t="s">
        <v>9476</v>
      </c>
      <c r="E5420" s="2" t="s">
        <v>9477</v>
      </c>
      <c r="F5420" s="2" t="s">
        <v>78</v>
      </c>
      <c r="G5420" s="2" t="s">
        <v>411</v>
      </c>
      <c r="H5420" s="2"/>
      <c r="I5420" s="2"/>
      <c r="J5420" s="2"/>
      <c r="K5420" s="2"/>
      <c r="L5420" s="2"/>
      <c r="M5420" s="2"/>
      <c r="N5420" s="2"/>
      <c r="O5420" s="2"/>
      <c r="P5420" s="2"/>
      <c r="Q5420" s="2"/>
      <c r="R5420" s="2"/>
      <c r="S5420" s="2"/>
      <c r="T5420" s="2"/>
      <c r="U5420" s="2"/>
      <c r="V5420" s="2"/>
      <c r="W5420" s="2"/>
      <c r="X5420" s="2"/>
      <c r="Y5420" s="2"/>
    </row>
    <row r="5421" spans="1:25" x14ac:dyDescent="0.2">
      <c r="A5421">
        <v>1842</v>
      </c>
      <c r="B5421" t="s">
        <v>9475</v>
      </c>
      <c r="C5421" t="s">
        <v>18</v>
      </c>
      <c r="D5421" t="s">
        <v>9478</v>
      </c>
      <c r="E5421" t="s">
        <v>7381</v>
      </c>
      <c r="F5421" t="s">
        <v>78</v>
      </c>
      <c r="G5421" t="s">
        <v>411</v>
      </c>
      <c r="I5421" t="b">
        <v>1</v>
      </c>
      <c r="J5421" t="b">
        <v>1</v>
      </c>
      <c r="L5421" t="b">
        <v>1</v>
      </c>
      <c r="M5421" t="str">
        <f>HYPERLINK("https://arizona.app.box.com/file/389261875456")</f>
        <v>https://arizona.app.box.com/file/389261875456</v>
      </c>
      <c r="N5421" t="str">
        <f>HYPERLINK("https://arizona.app.box.com/file/389165535643")</f>
        <v>https://arizona.app.box.com/file/389165535643</v>
      </c>
    </row>
    <row r="5422" spans="1:25" x14ac:dyDescent="0.2">
      <c r="A5422">
        <v>1843</v>
      </c>
      <c r="B5422" t="s">
        <v>9475</v>
      </c>
      <c r="C5422" t="s">
        <v>18</v>
      </c>
      <c r="D5422" t="s">
        <v>2905</v>
      </c>
      <c r="E5422" t="s">
        <v>2906</v>
      </c>
      <c r="F5422" t="s">
        <v>174</v>
      </c>
      <c r="G5422" t="s">
        <v>17</v>
      </c>
      <c r="I5422" t="b">
        <v>0</v>
      </c>
      <c r="J5422" t="b">
        <v>0</v>
      </c>
      <c r="L5422" t="b">
        <v>0</v>
      </c>
      <c r="M5422" t="str">
        <f>HYPERLINK("https://arizona.app.box.com/file/389171583505")</f>
        <v>https://arizona.app.box.com/file/389171583505</v>
      </c>
      <c r="N5422" t="str">
        <f>HYPERLINK("https://arizona.app.box.com/file/386216611536")</f>
        <v>https://arizona.app.box.com/file/386216611536</v>
      </c>
    </row>
    <row r="5423" spans="1:25" x14ac:dyDescent="0.2">
      <c r="A5423">
        <v>1844</v>
      </c>
      <c r="B5423" t="s">
        <v>9475</v>
      </c>
      <c r="C5423" t="s">
        <v>18</v>
      </c>
      <c r="D5423" t="s">
        <v>5167</v>
      </c>
      <c r="E5423" t="s">
        <v>3101</v>
      </c>
      <c r="F5423" t="s">
        <v>78</v>
      </c>
      <c r="G5423" t="s">
        <v>17</v>
      </c>
      <c r="I5423" t="b">
        <v>0</v>
      </c>
      <c r="J5423" t="b">
        <v>0</v>
      </c>
      <c r="L5423" t="b">
        <v>0</v>
      </c>
      <c r="M5423" t="str">
        <f>HYPERLINK("https://arizona.app.box.com/file/389255221327")</f>
        <v>https://arizona.app.box.com/file/389255221327</v>
      </c>
    </row>
    <row r="5424" spans="1:25" x14ac:dyDescent="0.2">
      <c r="A5424">
        <v>1845</v>
      </c>
      <c r="B5424" t="s">
        <v>9475</v>
      </c>
      <c r="C5424" t="s">
        <v>18</v>
      </c>
      <c r="D5424" t="s">
        <v>5164</v>
      </c>
      <c r="E5424" t="s">
        <v>323</v>
      </c>
      <c r="F5424" t="s">
        <v>78</v>
      </c>
      <c r="G5424" t="s">
        <v>17</v>
      </c>
      <c r="I5424" t="b">
        <v>0</v>
      </c>
      <c r="J5424" t="b">
        <v>0</v>
      </c>
      <c r="L5424" t="b">
        <v>0</v>
      </c>
      <c r="M5424" t="str">
        <f>HYPERLINK("https://arizona.app.box.com/file/389266966562")</f>
        <v>https://arizona.app.box.com/file/389266966562</v>
      </c>
      <c r="N5424" t="str">
        <f>HYPERLINK("https://arizona.app.box.com/file/389162206398")</f>
        <v>https://arizona.app.box.com/file/389162206398</v>
      </c>
    </row>
    <row r="5425" spans="1:25" x14ac:dyDescent="0.2">
      <c r="A5425">
        <v>1846</v>
      </c>
      <c r="B5425" t="s">
        <v>9475</v>
      </c>
      <c r="C5425" t="s">
        <v>18</v>
      </c>
      <c r="D5425" t="s">
        <v>7946</v>
      </c>
      <c r="E5425" t="s">
        <v>2709</v>
      </c>
      <c r="F5425" t="s">
        <v>205</v>
      </c>
      <c r="G5425" t="s">
        <v>88</v>
      </c>
      <c r="I5425" t="b">
        <v>0</v>
      </c>
      <c r="J5425" t="b">
        <v>0</v>
      </c>
      <c r="L5425" t="b">
        <v>0</v>
      </c>
      <c r="M5425" t="str">
        <f>HYPERLINK("https://arizona.app.box.com/file/389163122207")</f>
        <v>https://arizona.app.box.com/file/389163122207</v>
      </c>
      <c r="N5425" t="str">
        <f>HYPERLINK("https://arizona.app.box.com/file/386237325692")</f>
        <v>https://arizona.app.box.com/file/386237325692</v>
      </c>
    </row>
    <row r="5427" spans="1:25" x14ac:dyDescent="0.2">
      <c r="A5427" s="2">
        <v>2457</v>
      </c>
      <c r="B5427" s="2" t="s">
        <v>9479</v>
      </c>
      <c r="C5427" s="2" t="s">
        <v>13</v>
      </c>
      <c r="D5427" s="2" t="s">
        <v>9480</v>
      </c>
      <c r="E5427" s="2" t="s">
        <v>9481</v>
      </c>
      <c r="F5427" s="2" t="s">
        <v>264</v>
      </c>
      <c r="G5427" s="2" t="s">
        <v>1405</v>
      </c>
      <c r="H5427" s="2"/>
      <c r="I5427" s="2"/>
      <c r="J5427" s="2"/>
      <c r="K5427" s="2"/>
      <c r="L5427" s="2"/>
      <c r="M5427" s="2"/>
      <c r="N5427" s="2"/>
      <c r="O5427" s="2"/>
      <c r="P5427" s="2"/>
      <c r="Q5427" s="2"/>
      <c r="R5427" s="2"/>
      <c r="S5427" s="2"/>
      <c r="T5427" s="2"/>
      <c r="U5427" s="2"/>
      <c r="V5427" s="2"/>
      <c r="W5427" s="2"/>
      <c r="X5427" s="2"/>
      <c r="Y5427" s="2"/>
    </row>
    <row r="5428" spans="1:25" x14ac:dyDescent="0.2">
      <c r="A5428">
        <v>2458</v>
      </c>
      <c r="B5428" t="s">
        <v>9479</v>
      </c>
      <c r="C5428" t="s">
        <v>18</v>
      </c>
      <c r="D5428" t="s">
        <v>9480</v>
      </c>
      <c r="E5428" t="s">
        <v>9481</v>
      </c>
      <c r="F5428" t="s">
        <v>264</v>
      </c>
      <c r="G5428" t="s">
        <v>1406</v>
      </c>
      <c r="I5428" t="b">
        <v>1</v>
      </c>
      <c r="J5428" t="b">
        <v>1</v>
      </c>
      <c r="L5428" t="b">
        <v>1</v>
      </c>
      <c r="M5428" t="str">
        <f>HYPERLINK("https://arizona.app.box.com/file/386231428885")</f>
        <v>https://arizona.app.box.com/file/386231428885</v>
      </c>
      <c r="N5428" t="str">
        <f>HYPERLINK("https://arizona.app.box.com/file/386231140772")</f>
        <v>https://arizona.app.box.com/file/386231140772</v>
      </c>
    </row>
    <row r="5429" spans="1:25" x14ac:dyDescent="0.2">
      <c r="A5429">
        <v>2459</v>
      </c>
      <c r="B5429" t="s">
        <v>9479</v>
      </c>
      <c r="C5429" t="s">
        <v>18</v>
      </c>
      <c r="D5429" t="s">
        <v>3971</v>
      </c>
      <c r="E5429" t="s">
        <v>2608</v>
      </c>
      <c r="F5429" t="s">
        <v>82</v>
      </c>
      <c r="G5429" t="s">
        <v>1406</v>
      </c>
      <c r="I5429" t="b">
        <v>0</v>
      </c>
      <c r="J5429" t="b">
        <v>0</v>
      </c>
      <c r="L5429" t="b">
        <v>0</v>
      </c>
      <c r="M5429" t="str">
        <f>HYPERLINK("https://arizona.app.box.com/file/389267219327")</f>
        <v>https://arizona.app.box.com/file/389267219327</v>
      </c>
    </row>
    <row r="5430" spans="1:25" x14ac:dyDescent="0.2">
      <c r="A5430">
        <v>2460</v>
      </c>
      <c r="B5430" t="s">
        <v>9479</v>
      </c>
      <c r="C5430" t="s">
        <v>18</v>
      </c>
      <c r="D5430" t="s">
        <v>9482</v>
      </c>
      <c r="E5430" t="s">
        <v>9483</v>
      </c>
      <c r="F5430" t="s">
        <v>6173</v>
      </c>
      <c r="G5430" t="s">
        <v>1406</v>
      </c>
      <c r="I5430" t="b">
        <v>0</v>
      </c>
      <c r="J5430" t="b">
        <v>0</v>
      </c>
      <c r="L5430" t="b">
        <v>0</v>
      </c>
      <c r="M5430" t="str">
        <f>HYPERLINK("https://arizona.app.box.com/file/386242536168")</f>
        <v>https://arizona.app.box.com/file/386242536168</v>
      </c>
    </row>
    <row r="5431" spans="1:25" x14ac:dyDescent="0.2">
      <c r="A5431">
        <v>2461</v>
      </c>
      <c r="B5431" t="s">
        <v>9479</v>
      </c>
      <c r="C5431" t="s">
        <v>18</v>
      </c>
      <c r="D5431" t="s">
        <v>9484</v>
      </c>
      <c r="E5431" t="s">
        <v>9485</v>
      </c>
      <c r="F5431" t="s">
        <v>6173</v>
      </c>
      <c r="G5431" t="s">
        <v>1406</v>
      </c>
      <c r="I5431" t="b">
        <v>0</v>
      </c>
      <c r="J5431" t="b">
        <v>0</v>
      </c>
      <c r="L5431" t="b">
        <v>0</v>
      </c>
    </row>
    <row r="5432" spans="1:25" x14ac:dyDescent="0.2">
      <c r="A5432">
        <v>2462</v>
      </c>
      <c r="B5432" t="s">
        <v>9479</v>
      </c>
      <c r="C5432" t="s">
        <v>18</v>
      </c>
      <c r="D5432" t="s">
        <v>9486</v>
      </c>
      <c r="E5432" t="s">
        <v>9487</v>
      </c>
      <c r="F5432" t="s">
        <v>87</v>
      </c>
      <c r="G5432" t="s">
        <v>1406</v>
      </c>
      <c r="I5432" t="b">
        <v>0</v>
      </c>
      <c r="J5432" t="b">
        <v>0</v>
      </c>
      <c r="L5432" t="b">
        <v>0</v>
      </c>
    </row>
    <row r="5434" spans="1:25" x14ac:dyDescent="0.2">
      <c r="A5434" s="2">
        <v>6783</v>
      </c>
      <c r="B5434" s="2" t="s">
        <v>9488</v>
      </c>
      <c r="C5434" s="2" t="s">
        <v>13</v>
      </c>
      <c r="D5434" s="2" t="s">
        <v>9489</v>
      </c>
      <c r="E5434" s="2" t="s">
        <v>9490</v>
      </c>
      <c r="F5434" s="2" t="s">
        <v>205</v>
      </c>
      <c r="G5434" s="2" t="s">
        <v>502</v>
      </c>
      <c r="H5434" s="2"/>
      <c r="I5434" s="2"/>
      <c r="J5434" s="2"/>
      <c r="K5434" s="2"/>
      <c r="L5434" s="2"/>
      <c r="M5434" s="2"/>
      <c r="N5434" s="2"/>
      <c r="O5434" s="2"/>
      <c r="P5434" s="2"/>
      <c r="Q5434" s="2"/>
      <c r="R5434" s="2"/>
      <c r="S5434" s="2"/>
      <c r="T5434" s="2"/>
      <c r="U5434" s="2"/>
      <c r="V5434" s="2"/>
      <c r="W5434" s="2"/>
      <c r="X5434" s="2"/>
      <c r="Y5434" s="2"/>
    </row>
    <row r="5435" spans="1:25" x14ac:dyDescent="0.2">
      <c r="A5435">
        <v>6784</v>
      </c>
      <c r="B5435" t="s">
        <v>9488</v>
      </c>
      <c r="C5435" t="s">
        <v>18</v>
      </c>
      <c r="D5435" t="s">
        <v>9489</v>
      </c>
      <c r="E5435" t="s">
        <v>9490</v>
      </c>
      <c r="F5435" t="s">
        <v>205</v>
      </c>
      <c r="G5435" t="s">
        <v>502</v>
      </c>
      <c r="I5435" t="b">
        <v>1</v>
      </c>
      <c r="J5435" t="b">
        <v>1</v>
      </c>
      <c r="L5435" t="b">
        <v>1</v>
      </c>
      <c r="M5435" t="str">
        <f>HYPERLINK("https://arizona.app.box.com/file/389266242105")</f>
        <v>https://arizona.app.box.com/file/389266242105</v>
      </c>
      <c r="N5435" t="str">
        <f>HYPERLINK("https://arizona.app.box.com/file/389257843964")</f>
        <v>https://arizona.app.box.com/file/389257843964</v>
      </c>
      <c r="O5435" t="str">
        <f>HYPERLINK("https://arizona.app.box.com/file/389162740175")</f>
        <v>https://arizona.app.box.com/file/389162740175</v>
      </c>
    </row>
    <row r="5436" spans="1:25" x14ac:dyDescent="0.2">
      <c r="A5436">
        <v>6785</v>
      </c>
      <c r="B5436" t="s">
        <v>9488</v>
      </c>
      <c r="C5436" t="s">
        <v>18</v>
      </c>
      <c r="D5436" t="s">
        <v>8337</v>
      </c>
      <c r="E5436" t="s">
        <v>8338</v>
      </c>
      <c r="F5436" t="s">
        <v>205</v>
      </c>
      <c r="G5436" t="s">
        <v>345</v>
      </c>
      <c r="I5436" t="b">
        <v>0</v>
      </c>
      <c r="J5436" t="b">
        <v>0</v>
      </c>
      <c r="L5436" t="b">
        <v>0</v>
      </c>
      <c r="M5436" t="str">
        <f>HYPERLINK("https://arizona.app.box.com/file/389169930058")</f>
        <v>https://arizona.app.box.com/file/389169930058</v>
      </c>
    </row>
    <row r="5437" spans="1:25" x14ac:dyDescent="0.2">
      <c r="A5437">
        <v>6786</v>
      </c>
      <c r="B5437" t="s">
        <v>9488</v>
      </c>
      <c r="C5437" t="s">
        <v>18</v>
      </c>
      <c r="D5437" t="s">
        <v>9491</v>
      </c>
      <c r="E5437" t="s">
        <v>9492</v>
      </c>
      <c r="F5437" t="s">
        <v>82</v>
      </c>
      <c r="G5437" t="s">
        <v>502</v>
      </c>
      <c r="I5437" t="b">
        <v>0</v>
      </c>
      <c r="J5437" t="b">
        <v>0</v>
      </c>
      <c r="L5437" t="b">
        <v>0</v>
      </c>
    </row>
    <row r="5438" spans="1:25" x14ac:dyDescent="0.2">
      <c r="A5438">
        <v>6787</v>
      </c>
      <c r="B5438" t="s">
        <v>9488</v>
      </c>
      <c r="C5438" t="s">
        <v>18</v>
      </c>
      <c r="D5438" t="s">
        <v>9493</v>
      </c>
      <c r="E5438" t="s">
        <v>9494</v>
      </c>
      <c r="F5438" t="s">
        <v>45</v>
      </c>
      <c r="G5438" t="s">
        <v>502</v>
      </c>
      <c r="I5438" t="b">
        <v>0</v>
      </c>
      <c r="J5438" t="b">
        <v>0</v>
      </c>
      <c r="L5438" t="b">
        <v>0</v>
      </c>
      <c r="M5438" t="str">
        <f>HYPERLINK("https://arizona.app.box.com/file/386214454669")</f>
        <v>https://arizona.app.box.com/file/386214454669</v>
      </c>
      <c r="N5438" t="str">
        <f>HYPERLINK("https://arizona.app.box.com/file/386227845658")</f>
        <v>https://arizona.app.box.com/file/386227845658</v>
      </c>
    </row>
    <row r="5439" spans="1:25" x14ac:dyDescent="0.2">
      <c r="A5439">
        <v>6788</v>
      </c>
      <c r="B5439" t="s">
        <v>9488</v>
      </c>
      <c r="C5439" t="s">
        <v>18</v>
      </c>
      <c r="D5439" t="s">
        <v>9495</v>
      </c>
      <c r="E5439" t="s">
        <v>9496</v>
      </c>
      <c r="F5439" t="s">
        <v>82</v>
      </c>
      <c r="G5439" t="s">
        <v>502</v>
      </c>
      <c r="I5439" t="b">
        <v>0</v>
      </c>
      <c r="J5439" t="b">
        <v>0</v>
      </c>
      <c r="L5439" t="b">
        <v>0</v>
      </c>
    </row>
    <row r="5441" spans="1:25" x14ac:dyDescent="0.2">
      <c r="A5441" s="2">
        <v>1715</v>
      </c>
      <c r="B5441" s="2" t="s">
        <v>9497</v>
      </c>
      <c r="C5441" s="2" t="s">
        <v>13</v>
      </c>
      <c r="D5441" s="2" t="s">
        <v>9498</v>
      </c>
      <c r="E5441" s="2" t="s">
        <v>9499</v>
      </c>
      <c r="F5441" s="2" t="s">
        <v>680</v>
      </c>
      <c r="G5441" s="2" t="s">
        <v>280</v>
      </c>
      <c r="H5441" s="2"/>
      <c r="I5441" s="2"/>
      <c r="J5441" s="2"/>
      <c r="K5441" s="2"/>
      <c r="L5441" s="2"/>
      <c r="M5441" s="2"/>
      <c r="N5441" s="2"/>
      <c r="O5441" s="2"/>
      <c r="P5441" s="2"/>
      <c r="Q5441" s="2"/>
      <c r="R5441" s="2"/>
      <c r="S5441" s="2"/>
      <c r="T5441" s="2"/>
      <c r="U5441" s="2"/>
      <c r="V5441" s="2"/>
      <c r="W5441" s="2"/>
      <c r="X5441" s="2"/>
      <c r="Y5441" s="2"/>
    </row>
    <row r="5442" spans="1:25" x14ac:dyDescent="0.2">
      <c r="A5442">
        <v>1716</v>
      </c>
      <c r="B5442" t="s">
        <v>9497</v>
      </c>
      <c r="C5442" t="s">
        <v>18</v>
      </c>
      <c r="D5442" t="s">
        <v>9498</v>
      </c>
      <c r="E5442" t="s">
        <v>9386</v>
      </c>
      <c r="F5442" t="s">
        <v>680</v>
      </c>
      <c r="G5442" t="s">
        <v>280</v>
      </c>
      <c r="I5442" t="b">
        <v>1</v>
      </c>
      <c r="J5442" t="b">
        <v>1</v>
      </c>
      <c r="L5442" t="b">
        <v>1</v>
      </c>
      <c r="M5442" t="str">
        <f>HYPERLINK("https://arizona.app.box.com/file/389176149089")</f>
        <v>https://arizona.app.box.com/file/389176149089</v>
      </c>
      <c r="N5442" t="str">
        <f>HYPERLINK("https://arizona.app.box.com/file/386244142495")</f>
        <v>https://arizona.app.box.com/file/386244142495</v>
      </c>
    </row>
    <row r="5443" spans="1:25" x14ac:dyDescent="0.2">
      <c r="A5443">
        <v>1717</v>
      </c>
      <c r="B5443" t="s">
        <v>9497</v>
      </c>
      <c r="C5443" t="s">
        <v>18</v>
      </c>
      <c r="D5443" t="s">
        <v>3766</v>
      </c>
      <c r="E5443" t="s">
        <v>2210</v>
      </c>
      <c r="F5443" t="s">
        <v>680</v>
      </c>
      <c r="G5443" t="s">
        <v>280</v>
      </c>
      <c r="I5443" t="b">
        <v>1</v>
      </c>
      <c r="J5443" t="b">
        <v>1</v>
      </c>
      <c r="L5443" t="b">
        <v>1</v>
      </c>
      <c r="M5443" t="str">
        <f>HYPERLINK("https://arizona.app.box.com/file/389172966419")</f>
        <v>https://arizona.app.box.com/file/389172966419</v>
      </c>
      <c r="N5443" t="str">
        <f>HYPERLINK("https://arizona.app.box.com/file/386230857340")</f>
        <v>https://arizona.app.box.com/file/386230857340</v>
      </c>
    </row>
    <row r="5444" spans="1:25" x14ac:dyDescent="0.2">
      <c r="A5444">
        <v>1718</v>
      </c>
      <c r="B5444" t="s">
        <v>9497</v>
      </c>
      <c r="C5444" t="s">
        <v>18</v>
      </c>
      <c r="D5444" t="s">
        <v>1934</v>
      </c>
      <c r="E5444" t="s">
        <v>1935</v>
      </c>
      <c r="F5444" t="s">
        <v>205</v>
      </c>
      <c r="G5444" t="s">
        <v>280</v>
      </c>
      <c r="I5444" t="b">
        <v>0</v>
      </c>
      <c r="J5444" t="b">
        <v>0</v>
      </c>
      <c r="L5444" t="b">
        <v>0</v>
      </c>
    </row>
    <row r="5445" spans="1:25" x14ac:dyDescent="0.2">
      <c r="A5445">
        <v>1719</v>
      </c>
      <c r="B5445" t="s">
        <v>9497</v>
      </c>
      <c r="C5445" t="s">
        <v>18</v>
      </c>
      <c r="D5445" t="s">
        <v>9500</v>
      </c>
      <c r="E5445" t="s">
        <v>9501</v>
      </c>
      <c r="F5445" t="s">
        <v>78</v>
      </c>
      <c r="G5445" t="s">
        <v>280</v>
      </c>
      <c r="I5445" t="b">
        <v>0</v>
      </c>
      <c r="J5445" t="b">
        <v>0</v>
      </c>
      <c r="L5445" t="b">
        <v>0</v>
      </c>
      <c r="M5445" t="str">
        <f>HYPERLINK("https://arizona.app.box.com/file/389152571615")</f>
        <v>https://arizona.app.box.com/file/389152571615</v>
      </c>
    </row>
    <row r="5446" spans="1:25" x14ac:dyDescent="0.2">
      <c r="A5446">
        <v>1720</v>
      </c>
      <c r="B5446" t="s">
        <v>9497</v>
      </c>
      <c r="C5446" t="s">
        <v>18</v>
      </c>
      <c r="D5446" t="s">
        <v>9502</v>
      </c>
      <c r="E5446" t="s">
        <v>9503</v>
      </c>
      <c r="F5446" t="s">
        <v>78</v>
      </c>
      <c r="G5446" t="s">
        <v>280</v>
      </c>
      <c r="I5446" t="b">
        <v>0</v>
      </c>
      <c r="J5446" t="b">
        <v>0</v>
      </c>
      <c r="L5446" t="b">
        <v>0</v>
      </c>
    </row>
    <row r="5448" spans="1:25" x14ac:dyDescent="0.2">
      <c r="A5448" s="2">
        <v>4697</v>
      </c>
      <c r="B5448" s="2" t="s">
        <v>9504</v>
      </c>
      <c r="C5448" s="2" t="s">
        <v>13</v>
      </c>
      <c r="D5448" s="2" t="s">
        <v>8204</v>
      </c>
      <c r="E5448" s="2" t="s">
        <v>8205</v>
      </c>
      <c r="F5448" s="2" t="s">
        <v>20</v>
      </c>
      <c r="G5448" s="2" t="s">
        <v>17</v>
      </c>
      <c r="H5448" s="2"/>
      <c r="I5448" s="2"/>
      <c r="J5448" s="2"/>
      <c r="K5448" s="2"/>
      <c r="L5448" s="2"/>
      <c r="M5448" s="2"/>
      <c r="N5448" s="2"/>
      <c r="O5448" s="2"/>
      <c r="P5448" s="2"/>
      <c r="Q5448" s="2"/>
      <c r="R5448" s="2"/>
      <c r="S5448" s="2"/>
      <c r="T5448" s="2"/>
      <c r="U5448" s="2"/>
      <c r="V5448" s="2"/>
      <c r="W5448" s="2"/>
      <c r="X5448" s="2"/>
      <c r="Y5448" s="2"/>
    </row>
    <row r="5449" spans="1:25" x14ac:dyDescent="0.2">
      <c r="A5449">
        <v>4698</v>
      </c>
      <c r="B5449" t="s">
        <v>9504</v>
      </c>
      <c r="C5449" t="s">
        <v>18</v>
      </c>
      <c r="D5449" t="s">
        <v>8204</v>
      </c>
      <c r="E5449" t="s">
        <v>8205</v>
      </c>
      <c r="F5449" t="s">
        <v>20</v>
      </c>
      <c r="G5449" t="s">
        <v>17</v>
      </c>
      <c r="I5449" t="b">
        <v>1</v>
      </c>
      <c r="J5449" t="b">
        <v>1</v>
      </c>
      <c r="L5449" t="b">
        <v>1</v>
      </c>
      <c r="M5449" t="str">
        <f>HYPERLINK("https://arizona.app.box.com/file/389136854983")</f>
        <v>https://arizona.app.box.com/file/389136854983</v>
      </c>
      <c r="N5449" t="str">
        <f>HYPERLINK("https://arizona.app.box.com/file/389164863456")</f>
        <v>https://arizona.app.box.com/file/389164863456</v>
      </c>
    </row>
    <row r="5450" spans="1:25" x14ac:dyDescent="0.2">
      <c r="A5450">
        <v>4699</v>
      </c>
      <c r="B5450" t="s">
        <v>9504</v>
      </c>
      <c r="C5450" t="s">
        <v>18</v>
      </c>
      <c r="D5450" t="s">
        <v>8202</v>
      </c>
      <c r="E5450" t="s">
        <v>8203</v>
      </c>
      <c r="F5450" t="s">
        <v>20</v>
      </c>
      <c r="G5450" t="s">
        <v>17</v>
      </c>
      <c r="I5450" t="b">
        <v>0</v>
      </c>
      <c r="J5450" t="b">
        <v>0</v>
      </c>
      <c r="L5450" t="b">
        <v>0</v>
      </c>
      <c r="M5450" t="str">
        <f>HYPERLINK("https://arizona.app.box.com/file/389164213756")</f>
        <v>https://arizona.app.box.com/file/389164213756</v>
      </c>
      <c r="N5450" t="str">
        <f>HYPERLINK("https://arizona.app.box.com/file/386241113911")</f>
        <v>https://arizona.app.box.com/file/386241113911</v>
      </c>
    </row>
    <row r="5451" spans="1:25" x14ac:dyDescent="0.2">
      <c r="A5451">
        <v>4700</v>
      </c>
      <c r="B5451" t="s">
        <v>9504</v>
      </c>
      <c r="C5451" t="s">
        <v>18</v>
      </c>
      <c r="D5451" t="s">
        <v>543</v>
      </c>
      <c r="E5451" t="s">
        <v>544</v>
      </c>
      <c r="F5451" t="s">
        <v>20</v>
      </c>
      <c r="G5451" t="s">
        <v>17</v>
      </c>
      <c r="I5451" t="b">
        <v>0</v>
      </c>
      <c r="J5451" t="b">
        <v>0</v>
      </c>
      <c r="L5451" t="b">
        <v>0</v>
      </c>
      <c r="M5451" t="str">
        <f>HYPERLINK("https://arizona.app.box.com/file/389164099737")</f>
        <v>https://arizona.app.box.com/file/389164099737</v>
      </c>
      <c r="N5451" t="str">
        <f>HYPERLINK("https://arizona.app.box.com/file/389161641018")</f>
        <v>https://arizona.app.box.com/file/389161641018</v>
      </c>
    </row>
    <row r="5452" spans="1:25" x14ac:dyDescent="0.2">
      <c r="A5452">
        <v>4701</v>
      </c>
      <c r="B5452" t="s">
        <v>9504</v>
      </c>
      <c r="C5452" t="s">
        <v>18</v>
      </c>
      <c r="D5452" t="s">
        <v>8208</v>
      </c>
      <c r="E5452" t="s">
        <v>8209</v>
      </c>
      <c r="F5452" t="s">
        <v>20</v>
      </c>
      <c r="G5452" t="s">
        <v>17</v>
      </c>
      <c r="I5452" t="b">
        <v>0</v>
      </c>
      <c r="J5452" t="b">
        <v>0</v>
      </c>
      <c r="L5452" t="b">
        <v>0</v>
      </c>
      <c r="M5452" t="str">
        <f>HYPERLINK("https://arizona.app.box.com/file/389165770725")</f>
        <v>https://arizona.app.box.com/file/389165770725</v>
      </c>
      <c r="N5452" t="str">
        <f>HYPERLINK("https://arizona.app.box.com/file/389138272367")</f>
        <v>https://arizona.app.box.com/file/389138272367</v>
      </c>
    </row>
    <row r="5453" spans="1:25" x14ac:dyDescent="0.2">
      <c r="A5453">
        <v>4702</v>
      </c>
      <c r="B5453" t="s">
        <v>9504</v>
      </c>
      <c r="C5453" t="s">
        <v>18</v>
      </c>
      <c r="D5453" t="s">
        <v>8206</v>
      </c>
      <c r="E5453" t="s">
        <v>8207</v>
      </c>
      <c r="F5453" t="s">
        <v>20</v>
      </c>
      <c r="G5453" t="s">
        <v>17</v>
      </c>
      <c r="I5453" t="b">
        <v>0</v>
      </c>
      <c r="J5453" t="b">
        <v>0</v>
      </c>
      <c r="L5453" t="b">
        <v>0</v>
      </c>
      <c r="M5453" t="str">
        <f>HYPERLINK("https://arizona.app.box.com/file/389151599716")</f>
        <v>https://arizona.app.box.com/file/389151599716</v>
      </c>
      <c r="N5453" t="str">
        <f>HYPERLINK("https://arizona.app.box.com/file/386241113911")</f>
        <v>https://arizona.app.box.com/file/386241113911</v>
      </c>
    </row>
    <row r="5455" spans="1:25" x14ac:dyDescent="0.2">
      <c r="A5455" s="2">
        <v>7399</v>
      </c>
      <c r="B5455" s="2" t="s">
        <v>9505</v>
      </c>
      <c r="C5455" s="2" t="s">
        <v>13</v>
      </c>
      <c r="D5455" s="2" t="s">
        <v>9506</v>
      </c>
      <c r="E5455" s="2" t="s">
        <v>9507</v>
      </c>
      <c r="F5455" s="2" t="s">
        <v>561</v>
      </c>
      <c r="G5455" s="2" t="s">
        <v>101</v>
      </c>
      <c r="H5455" s="2"/>
      <c r="I5455" s="2"/>
      <c r="J5455" s="2"/>
      <c r="K5455" s="2"/>
      <c r="L5455" s="2"/>
      <c r="M5455" s="2"/>
      <c r="N5455" s="2"/>
      <c r="O5455" s="2"/>
      <c r="P5455" s="2"/>
      <c r="Q5455" s="2"/>
      <c r="R5455" s="2"/>
      <c r="S5455" s="2"/>
      <c r="T5455" s="2"/>
      <c r="U5455" s="2"/>
      <c r="V5455" s="2"/>
      <c r="W5455" s="2"/>
      <c r="X5455" s="2"/>
      <c r="Y5455" s="2"/>
    </row>
    <row r="5456" spans="1:25" x14ac:dyDescent="0.2">
      <c r="A5456">
        <v>7400</v>
      </c>
      <c r="B5456" t="s">
        <v>9505</v>
      </c>
      <c r="C5456" t="s">
        <v>18</v>
      </c>
      <c r="D5456" t="s">
        <v>9508</v>
      </c>
      <c r="E5456" t="s">
        <v>9509</v>
      </c>
      <c r="F5456" t="s">
        <v>561</v>
      </c>
      <c r="G5456" t="s">
        <v>101</v>
      </c>
      <c r="I5456" t="b">
        <v>1</v>
      </c>
      <c r="J5456" t="b">
        <v>1</v>
      </c>
      <c r="L5456" t="b">
        <v>1</v>
      </c>
      <c r="M5456" t="str">
        <f>HYPERLINK("https://arizona.app.box.com/file/389268245304")</f>
        <v>https://arizona.app.box.com/file/389268245304</v>
      </c>
      <c r="N5456" t="str">
        <f>HYPERLINK("https://arizona.app.box.com/file/389160202966")</f>
        <v>https://arizona.app.box.com/file/389160202966</v>
      </c>
      <c r="O5456" t="str">
        <f>HYPERLINK("https://arizona.app.box.com/file/389173445524")</f>
        <v>https://arizona.app.box.com/file/389173445524</v>
      </c>
      <c r="P5456" t="str">
        <f>HYPERLINK("https://arizona.app.box.com/file/386240810416")</f>
        <v>https://arizona.app.box.com/file/386240810416</v>
      </c>
    </row>
    <row r="5457" spans="1:25" x14ac:dyDescent="0.2">
      <c r="A5457">
        <v>7401</v>
      </c>
      <c r="B5457" t="s">
        <v>9505</v>
      </c>
      <c r="C5457" t="s">
        <v>18</v>
      </c>
      <c r="D5457" t="s">
        <v>9510</v>
      </c>
      <c r="E5457" t="s">
        <v>9511</v>
      </c>
      <c r="F5457" t="s">
        <v>561</v>
      </c>
      <c r="G5457" t="s">
        <v>101</v>
      </c>
      <c r="I5457" t="b">
        <v>1</v>
      </c>
      <c r="J5457" t="b">
        <v>0</v>
      </c>
      <c r="L5457" t="b">
        <v>1</v>
      </c>
      <c r="M5457" t="str">
        <f>HYPERLINK("https://arizona.app.box.com/file/389177674339")</f>
        <v>https://arizona.app.box.com/file/389177674339</v>
      </c>
      <c r="N5457" t="str">
        <f>HYPERLINK("https://arizona.app.box.com/file/386222014427")</f>
        <v>https://arizona.app.box.com/file/386222014427</v>
      </c>
    </row>
    <row r="5458" spans="1:25" x14ac:dyDescent="0.2">
      <c r="A5458">
        <v>7402</v>
      </c>
      <c r="B5458" t="s">
        <v>9505</v>
      </c>
      <c r="C5458" t="s">
        <v>18</v>
      </c>
      <c r="D5458" t="s">
        <v>9512</v>
      </c>
      <c r="E5458" t="s">
        <v>384</v>
      </c>
      <c r="F5458" t="s">
        <v>2343</v>
      </c>
      <c r="G5458" t="s">
        <v>101</v>
      </c>
      <c r="I5458" t="b">
        <v>0</v>
      </c>
      <c r="J5458" t="b">
        <v>0</v>
      </c>
      <c r="L5458" t="b">
        <v>0</v>
      </c>
      <c r="M5458" t="str">
        <f>HYPERLINK("https://arizona.app.box.com/file/389257542262")</f>
        <v>https://arizona.app.box.com/file/389257542262</v>
      </c>
      <c r="N5458" t="str">
        <f>HYPERLINK("https://arizona.app.box.com/file/389168360255")</f>
        <v>https://arizona.app.box.com/file/389168360255</v>
      </c>
    </row>
    <row r="5459" spans="1:25" x14ac:dyDescent="0.2">
      <c r="A5459">
        <v>7403</v>
      </c>
      <c r="B5459" t="s">
        <v>9505</v>
      </c>
      <c r="C5459" t="s">
        <v>18</v>
      </c>
      <c r="D5459" t="s">
        <v>9513</v>
      </c>
      <c r="E5459" t="s">
        <v>6684</v>
      </c>
      <c r="F5459" t="s">
        <v>2343</v>
      </c>
      <c r="G5459" t="s">
        <v>101</v>
      </c>
      <c r="I5459" t="b">
        <v>0</v>
      </c>
      <c r="J5459" t="b">
        <v>0</v>
      </c>
      <c r="L5459" t="b">
        <v>0</v>
      </c>
      <c r="M5459" t="str">
        <f>HYPERLINK("https://arizona.app.box.com/file/386212783815")</f>
        <v>https://arizona.app.box.com/file/386212783815</v>
      </c>
    </row>
    <row r="5460" spans="1:25" x14ac:dyDescent="0.2">
      <c r="A5460">
        <v>7404</v>
      </c>
      <c r="B5460" t="s">
        <v>9505</v>
      </c>
      <c r="C5460" t="s">
        <v>18</v>
      </c>
      <c r="D5460" t="s">
        <v>9514</v>
      </c>
      <c r="E5460" t="s">
        <v>9515</v>
      </c>
      <c r="F5460" t="s">
        <v>200</v>
      </c>
      <c r="G5460" t="s">
        <v>101</v>
      </c>
      <c r="I5460" t="b">
        <v>0</v>
      </c>
      <c r="J5460" t="b">
        <v>0</v>
      </c>
      <c r="L5460" t="b">
        <v>0</v>
      </c>
    </row>
    <row r="5462" spans="1:25" x14ac:dyDescent="0.2">
      <c r="A5462" s="2">
        <v>826</v>
      </c>
      <c r="B5462" s="2" t="s">
        <v>9516</v>
      </c>
      <c r="C5462" s="2" t="s">
        <v>13</v>
      </c>
      <c r="D5462" s="2" t="s">
        <v>8494</v>
      </c>
      <c r="E5462" s="2" t="s">
        <v>9517</v>
      </c>
      <c r="F5462" s="2" t="s">
        <v>369</v>
      </c>
      <c r="G5462" s="2" t="s">
        <v>17</v>
      </c>
      <c r="H5462" s="2"/>
      <c r="I5462" s="2"/>
      <c r="J5462" s="2"/>
      <c r="K5462" s="2"/>
      <c r="L5462" s="2"/>
      <c r="M5462" s="2"/>
      <c r="N5462" s="2"/>
      <c r="O5462" s="2"/>
      <c r="P5462" s="2"/>
      <c r="Q5462" s="2"/>
      <c r="R5462" s="2"/>
      <c r="S5462" s="2"/>
      <c r="T5462" s="2"/>
      <c r="U5462" s="2"/>
      <c r="V5462" s="2"/>
      <c r="W5462" s="2"/>
      <c r="X5462" s="2"/>
      <c r="Y5462" s="2"/>
    </row>
    <row r="5463" spans="1:25" x14ac:dyDescent="0.2">
      <c r="A5463">
        <v>827</v>
      </c>
      <c r="B5463" t="s">
        <v>9516</v>
      </c>
      <c r="C5463" t="s">
        <v>18</v>
      </c>
      <c r="D5463" t="s">
        <v>8494</v>
      </c>
      <c r="E5463" t="s">
        <v>282</v>
      </c>
      <c r="F5463" t="s">
        <v>369</v>
      </c>
      <c r="G5463" t="s">
        <v>62</v>
      </c>
      <c r="I5463" t="b">
        <v>1</v>
      </c>
      <c r="J5463" t="b">
        <v>1</v>
      </c>
      <c r="L5463" t="b">
        <v>1</v>
      </c>
    </row>
    <row r="5464" spans="1:25" x14ac:dyDescent="0.2">
      <c r="A5464">
        <v>828</v>
      </c>
      <c r="B5464" t="s">
        <v>9516</v>
      </c>
      <c r="C5464" t="s">
        <v>18</v>
      </c>
      <c r="D5464" t="s">
        <v>9518</v>
      </c>
      <c r="E5464" t="s">
        <v>9519</v>
      </c>
      <c r="F5464" t="s">
        <v>369</v>
      </c>
      <c r="G5464" t="s">
        <v>17</v>
      </c>
      <c r="I5464" t="b">
        <v>1</v>
      </c>
      <c r="J5464" t="b">
        <v>1</v>
      </c>
      <c r="L5464" t="b">
        <v>1</v>
      </c>
      <c r="M5464" t="str">
        <f>HYPERLINK("https://arizona.app.box.com/file/389137415025")</f>
        <v>https://arizona.app.box.com/file/389137415025</v>
      </c>
    </row>
    <row r="5465" spans="1:25" x14ac:dyDescent="0.2">
      <c r="A5465">
        <v>829</v>
      </c>
      <c r="B5465" t="s">
        <v>9516</v>
      </c>
      <c r="C5465" t="s">
        <v>18</v>
      </c>
      <c r="D5465" t="s">
        <v>7000</v>
      </c>
      <c r="E5465" t="s">
        <v>7001</v>
      </c>
      <c r="F5465" t="s">
        <v>369</v>
      </c>
      <c r="G5465" t="s">
        <v>17</v>
      </c>
      <c r="I5465" t="b">
        <v>0</v>
      </c>
      <c r="J5465" t="b">
        <v>0</v>
      </c>
      <c r="L5465" t="b">
        <v>0</v>
      </c>
      <c r="M5465" t="str">
        <f>HYPERLINK("https://arizona.app.box.com/file/389162123364")</f>
        <v>https://arizona.app.box.com/file/389162123364</v>
      </c>
      <c r="N5465" t="str">
        <f>HYPERLINK("https://arizona.app.box.com/file/386265137337")</f>
        <v>https://arizona.app.box.com/file/386265137337</v>
      </c>
    </row>
    <row r="5466" spans="1:25" x14ac:dyDescent="0.2">
      <c r="A5466">
        <v>830</v>
      </c>
      <c r="B5466" t="s">
        <v>9516</v>
      </c>
      <c r="C5466" t="s">
        <v>18</v>
      </c>
      <c r="D5466" t="s">
        <v>5263</v>
      </c>
      <c r="E5466" t="s">
        <v>5264</v>
      </c>
      <c r="F5466" t="s">
        <v>369</v>
      </c>
      <c r="G5466" t="s">
        <v>17</v>
      </c>
      <c r="I5466" t="b">
        <v>0</v>
      </c>
      <c r="J5466" t="b">
        <v>0</v>
      </c>
      <c r="L5466" t="b">
        <v>0</v>
      </c>
      <c r="M5466" t="str">
        <f>HYPERLINK("https://arizona.app.box.com/file/386248593010")</f>
        <v>https://arizona.app.box.com/file/386248593010</v>
      </c>
    </row>
    <row r="5467" spans="1:25" x14ac:dyDescent="0.2">
      <c r="A5467">
        <v>831</v>
      </c>
      <c r="B5467" t="s">
        <v>9516</v>
      </c>
      <c r="C5467" t="s">
        <v>18</v>
      </c>
      <c r="D5467" t="s">
        <v>5266</v>
      </c>
      <c r="E5467" t="s">
        <v>5267</v>
      </c>
      <c r="F5467" t="s">
        <v>369</v>
      </c>
      <c r="G5467" t="s">
        <v>17</v>
      </c>
      <c r="I5467" t="b">
        <v>0</v>
      </c>
      <c r="J5467" t="b">
        <v>0</v>
      </c>
      <c r="L5467" t="b">
        <v>0</v>
      </c>
    </row>
    <row r="5469" spans="1:25" x14ac:dyDescent="0.2">
      <c r="A5469" s="2">
        <v>8043</v>
      </c>
      <c r="B5469" s="2" t="s">
        <v>9520</v>
      </c>
      <c r="C5469" s="2" t="s">
        <v>13</v>
      </c>
      <c r="D5469" s="2" t="s">
        <v>9521</v>
      </c>
      <c r="E5469" s="2" t="s">
        <v>9522</v>
      </c>
      <c r="F5469" s="2" t="s">
        <v>264</v>
      </c>
      <c r="G5469" s="2" t="s">
        <v>62</v>
      </c>
      <c r="H5469" s="2"/>
      <c r="I5469" s="2"/>
      <c r="J5469" s="2"/>
      <c r="K5469" s="2"/>
      <c r="L5469" s="2"/>
      <c r="M5469" s="2"/>
      <c r="N5469" s="2"/>
      <c r="O5469" s="2"/>
      <c r="P5469" s="2"/>
      <c r="Q5469" s="2"/>
      <c r="R5469" s="2"/>
      <c r="S5469" s="2"/>
      <c r="T5469" s="2"/>
      <c r="U5469" s="2"/>
      <c r="V5469" s="2"/>
      <c r="W5469" s="2"/>
      <c r="X5469" s="2"/>
      <c r="Y5469" s="2"/>
    </row>
    <row r="5470" spans="1:25" x14ac:dyDescent="0.2">
      <c r="A5470">
        <v>8044</v>
      </c>
      <c r="B5470" t="s">
        <v>9520</v>
      </c>
      <c r="C5470" t="s">
        <v>18</v>
      </c>
      <c r="D5470" t="s">
        <v>9521</v>
      </c>
      <c r="E5470" t="s">
        <v>9523</v>
      </c>
      <c r="F5470" t="s">
        <v>264</v>
      </c>
      <c r="G5470" t="s">
        <v>62</v>
      </c>
      <c r="I5470" t="b">
        <v>1</v>
      </c>
      <c r="J5470" t="b">
        <v>1</v>
      </c>
      <c r="L5470" t="b">
        <v>1</v>
      </c>
      <c r="M5470" t="str">
        <f>HYPERLINK("https://arizona.app.box.com/file/386243245289")</f>
        <v>https://arizona.app.box.com/file/386243245289</v>
      </c>
      <c r="N5470" t="str">
        <f>HYPERLINK("https://arizona.app.box.com/file/386241296645")</f>
        <v>https://arizona.app.box.com/file/386241296645</v>
      </c>
    </row>
    <row r="5471" spans="1:25" x14ac:dyDescent="0.2">
      <c r="A5471">
        <v>8045</v>
      </c>
      <c r="B5471" t="s">
        <v>9520</v>
      </c>
      <c r="C5471" t="s">
        <v>18</v>
      </c>
      <c r="D5471" t="s">
        <v>9524</v>
      </c>
      <c r="E5471" t="s">
        <v>9525</v>
      </c>
      <c r="F5471" t="s">
        <v>264</v>
      </c>
      <c r="G5471" t="s">
        <v>62</v>
      </c>
      <c r="I5471" t="b">
        <v>1</v>
      </c>
      <c r="J5471" t="b">
        <v>1</v>
      </c>
      <c r="L5471" t="b">
        <v>1</v>
      </c>
      <c r="M5471" t="str">
        <f>HYPERLINK("https://arizona.app.box.com/file/386241152568")</f>
        <v>https://arizona.app.box.com/file/386241152568</v>
      </c>
    </row>
    <row r="5472" spans="1:25" x14ac:dyDescent="0.2">
      <c r="A5472">
        <v>8046</v>
      </c>
      <c r="B5472" t="s">
        <v>9520</v>
      </c>
      <c r="C5472" t="s">
        <v>18</v>
      </c>
      <c r="D5472" t="s">
        <v>4694</v>
      </c>
      <c r="E5472" t="s">
        <v>4695</v>
      </c>
      <c r="F5472" t="s">
        <v>264</v>
      </c>
      <c r="G5472" t="s">
        <v>62</v>
      </c>
      <c r="I5472" t="b">
        <v>0</v>
      </c>
      <c r="J5472" t="b">
        <v>0</v>
      </c>
      <c r="L5472" t="b">
        <v>0</v>
      </c>
    </row>
    <row r="5473" spans="1:25" x14ac:dyDescent="0.2">
      <c r="A5473">
        <v>8047</v>
      </c>
      <c r="B5473" t="s">
        <v>9520</v>
      </c>
      <c r="C5473" t="s">
        <v>18</v>
      </c>
      <c r="D5473" t="s">
        <v>9526</v>
      </c>
      <c r="E5473" t="s">
        <v>9527</v>
      </c>
      <c r="F5473" t="s">
        <v>264</v>
      </c>
      <c r="G5473" t="s">
        <v>62</v>
      </c>
      <c r="I5473" t="b">
        <v>0</v>
      </c>
      <c r="J5473" t="b">
        <v>0</v>
      </c>
      <c r="L5473" t="b">
        <v>0</v>
      </c>
    </row>
    <row r="5474" spans="1:25" x14ac:dyDescent="0.2">
      <c r="A5474">
        <v>8048</v>
      </c>
      <c r="B5474" t="s">
        <v>9520</v>
      </c>
      <c r="C5474" t="s">
        <v>18</v>
      </c>
      <c r="D5474" t="s">
        <v>4691</v>
      </c>
      <c r="E5474" t="s">
        <v>4692</v>
      </c>
      <c r="F5474" t="s">
        <v>264</v>
      </c>
      <c r="G5474" t="s">
        <v>62</v>
      </c>
      <c r="I5474" t="b">
        <v>0</v>
      </c>
      <c r="J5474" t="b">
        <v>0</v>
      </c>
      <c r="L5474" t="b">
        <v>0</v>
      </c>
      <c r="M5474" t="str">
        <f>HYPERLINK("https://arizona.app.box.com/file/386218167326")</f>
        <v>https://arizona.app.box.com/file/386218167326</v>
      </c>
    </row>
    <row r="5476" spans="1:25" x14ac:dyDescent="0.2">
      <c r="A5476" s="2">
        <v>6349</v>
      </c>
      <c r="B5476" s="2" t="s">
        <v>9528</v>
      </c>
      <c r="C5476" s="2" t="s">
        <v>13</v>
      </c>
      <c r="D5476" s="2" t="s">
        <v>9529</v>
      </c>
      <c r="E5476" s="2" t="s">
        <v>9530</v>
      </c>
      <c r="F5476" s="2" t="s">
        <v>78</v>
      </c>
      <c r="G5476" s="2" t="s">
        <v>279</v>
      </c>
      <c r="H5476" s="2"/>
      <c r="I5476" s="2"/>
      <c r="J5476" s="2"/>
      <c r="K5476" s="2"/>
      <c r="L5476" s="2"/>
      <c r="M5476" s="2"/>
      <c r="N5476" s="2"/>
      <c r="O5476" s="2"/>
      <c r="P5476" s="2"/>
      <c r="Q5476" s="2"/>
      <c r="R5476" s="2"/>
      <c r="S5476" s="2"/>
      <c r="T5476" s="2"/>
      <c r="U5476" s="2"/>
      <c r="V5476" s="2"/>
      <c r="W5476" s="2"/>
      <c r="X5476" s="2"/>
      <c r="Y5476" s="2"/>
    </row>
    <row r="5477" spans="1:25" x14ac:dyDescent="0.2">
      <c r="A5477">
        <v>6350</v>
      </c>
      <c r="B5477" t="s">
        <v>9528</v>
      </c>
      <c r="C5477" t="s">
        <v>18</v>
      </c>
      <c r="D5477" t="s">
        <v>9529</v>
      </c>
      <c r="E5477" t="s">
        <v>9531</v>
      </c>
      <c r="F5477" t="s">
        <v>78</v>
      </c>
      <c r="G5477" t="s">
        <v>279</v>
      </c>
      <c r="I5477" t="b">
        <v>1</v>
      </c>
      <c r="J5477" t="b">
        <v>1</v>
      </c>
      <c r="L5477" t="b">
        <v>1</v>
      </c>
      <c r="M5477" t="str">
        <f>HYPERLINK("https://arizona.app.box.com/file/389255762730")</f>
        <v>https://arizona.app.box.com/file/389255762730</v>
      </c>
      <c r="N5477" t="str">
        <f>HYPERLINK("https://arizona.app.box.com/file/389163784013")</f>
        <v>https://arizona.app.box.com/file/389163784013</v>
      </c>
      <c r="O5477" t="str">
        <f>HYPERLINK("https://arizona.app.box.com/file/389171092868")</f>
        <v>https://arizona.app.box.com/file/389171092868</v>
      </c>
      <c r="P5477" t="str">
        <f>HYPERLINK("https://arizona.app.box.com/file/386245119749")</f>
        <v>https://arizona.app.box.com/file/386245119749</v>
      </c>
    </row>
    <row r="5478" spans="1:25" x14ac:dyDescent="0.2">
      <c r="A5478">
        <v>6351</v>
      </c>
      <c r="B5478" t="s">
        <v>9528</v>
      </c>
      <c r="C5478" t="s">
        <v>18</v>
      </c>
      <c r="D5478" t="s">
        <v>287</v>
      </c>
      <c r="E5478" t="s">
        <v>288</v>
      </c>
      <c r="F5478" t="s">
        <v>78</v>
      </c>
      <c r="G5478" t="s">
        <v>279</v>
      </c>
      <c r="I5478" t="b">
        <v>0</v>
      </c>
      <c r="J5478" t="b">
        <v>0</v>
      </c>
      <c r="L5478" t="b">
        <v>0</v>
      </c>
    </row>
    <row r="5479" spans="1:25" x14ac:dyDescent="0.2">
      <c r="A5479">
        <v>6352</v>
      </c>
      <c r="B5479" t="s">
        <v>9528</v>
      </c>
      <c r="C5479" t="s">
        <v>18</v>
      </c>
      <c r="D5479" t="s">
        <v>9532</v>
      </c>
      <c r="E5479" t="s">
        <v>9533</v>
      </c>
      <c r="F5479" t="s">
        <v>78</v>
      </c>
      <c r="G5479" t="s">
        <v>279</v>
      </c>
      <c r="I5479" t="b">
        <v>0</v>
      </c>
      <c r="J5479" t="b">
        <v>0</v>
      </c>
      <c r="L5479" t="b">
        <v>0</v>
      </c>
    </row>
    <row r="5480" spans="1:25" x14ac:dyDescent="0.2">
      <c r="A5480">
        <v>6353</v>
      </c>
      <c r="B5480" t="s">
        <v>9528</v>
      </c>
      <c r="C5480" t="s">
        <v>18</v>
      </c>
      <c r="D5480" t="s">
        <v>9534</v>
      </c>
      <c r="E5480" t="s">
        <v>9535</v>
      </c>
      <c r="F5480" t="s">
        <v>78</v>
      </c>
      <c r="G5480" t="s">
        <v>279</v>
      </c>
      <c r="I5480" t="b">
        <v>0</v>
      </c>
      <c r="J5480" t="b">
        <v>0</v>
      </c>
      <c r="L5480" t="b">
        <v>0</v>
      </c>
    </row>
    <row r="5481" spans="1:25" x14ac:dyDescent="0.2">
      <c r="A5481">
        <v>6354</v>
      </c>
      <c r="B5481" t="s">
        <v>9528</v>
      </c>
      <c r="C5481" t="s">
        <v>18</v>
      </c>
      <c r="D5481" t="s">
        <v>9536</v>
      </c>
      <c r="E5481" t="s">
        <v>9537</v>
      </c>
      <c r="F5481" t="s">
        <v>78</v>
      </c>
      <c r="G5481" t="s">
        <v>24</v>
      </c>
      <c r="I5481" t="b">
        <v>0</v>
      </c>
      <c r="J5481" t="b">
        <v>0</v>
      </c>
      <c r="L5481" t="b">
        <v>0</v>
      </c>
      <c r="M5481" t="str">
        <f>HYPERLINK("https://arizona.app.box.com/file/386212585118")</f>
        <v>https://arizona.app.box.com/file/386212585118</v>
      </c>
    </row>
    <row r="5483" spans="1:25" x14ac:dyDescent="0.2">
      <c r="A5483" s="2">
        <v>4116</v>
      </c>
      <c r="B5483" s="2" t="s">
        <v>9538</v>
      </c>
      <c r="C5483" s="2" t="s">
        <v>13</v>
      </c>
      <c r="D5483" s="2" t="s">
        <v>9539</v>
      </c>
      <c r="E5483" s="2" t="s">
        <v>9540</v>
      </c>
      <c r="F5483" s="2" t="s">
        <v>205</v>
      </c>
      <c r="G5483" s="2" t="s">
        <v>88</v>
      </c>
      <c r="H5483" s="2"/>
      <c r="I5483" s="2"/>
      <c r="J5483" s="2"/>
      <c r="K5483" s="2"/>
      <c r="L5483" s="2"/>
      <c r="M5483" s="2"/>
      <c r="N5483" s="2"/>
      <c r="O5483" s="2"/>
      <c r="P5483" s="2"/>
      <c r="Q5483" s="2"/>
      <c r="R5483" s="2"/>
      <c r="S5483" s="2"/>
      <c r="T5483" s="2"/>
      <c r="U5483" s="2"/>
      <c r="V5483" s="2"/>
      <c r="W5483" s="2"/>
      <c r="X5483" s="2"/>
      <c r="Y5483" s="2"/>
    </row>
    <row r="5484" spans="1:25" x14ac:dyDescent="0.2">
      <c r="A5484">
        <v>4117</v>
      </c>
      <c r="B5484" t="s">
        <v>9538</v>
      </c>
      <c r="C5484" t="s">
        <v>18</v>
      </c>
      <c r="D5484" t="s">
        <v>9541</v>
      </c>
      <c r="E5484" t="s">
        <v>939</v>
      </c>
      <c r="F5484" t="s">
        <v>205</v>
      </c>
      <c r="G5484" t="s">
        <v>88</v>
      </c>
      <c r="I5484" t="b">
        <v>1</v>
      </c>
      <c r="J5484" t="b">
        <v>1</v>
      </c>
      <c r="L5484" t="b">
        <v>1</v>
      </c>
      <c r="M5484" t="str">
        <f>HYPERLINK("https://arizona.app.box.com/file/389262169077")</f>
        <v>https://arizona.app.box.com/file/389262169077</v>
      </c>
      <c r="N5484" t="str">
        <f>HYPERLINK("https://arizona.app.box.com/file/386240867150")</f>
        <v>https://arizona.app.box.com/file/386240867150</v>
      </c>
    </row>
    <row r="5485" spans="1:25" x14ac:dyDescent="0.2">
      <c r="A5485">
        <v>4118</v>
      </c>
      <c r="B5485" t="s">
        <v>9538</v>
      </c>
      <c r="C5485" t="s">
        <v>18</v>
      </c>
      <c r="D5485" t="s">
        <v>9542</v>
      </c>
      <c r="E5485" t="s">
        <v>9543</v>
      </c>
      <c r="F5485" t="s">
        <v>717</v>
      </c>
      <c r="G5485" t="s">
        <v>88</v>
      </c>
      <c r="I5485" t="b">
        <v>0</v>
      </c>
      <c r="J5485" t="b">
        <v>0</v>
      </c>
      <c r="L5485" t="b">
        <v>0</v>
      </c>
      <c r="M5485" t="str">
        <f>HYPERLINK("https://arizona.app.box.com/file/389169166867")</f>
        <v>https://arizona.app.box.com/file/389169166867</v>
      </c>
      <c r="N5485" t="str">
        <f>HYPERLINK("https://arizona.app.box.com/file/386239274441")</f>
        <v>https://arizona.app.box.com/file/386239274441</v>
      </c>
    </row>
    <row r="5486" spans="1:25" x14ac:dyDescent="0.2">
      <c r="A5486">
        <v>4119</v>
      </c>
      <c r="B5486" t="s">
        <v>9538</v>
      </c>
      <c r="C5486" t="s">
        <v>18</v>
      </c>
      <c r="D5486" t="s">
        <v>7119</v>
      </c>
      <c r="E5486" t="s">
        <v>7120</v>
      </c>
      <c r="F5486" t="s">
        <v>456</v>
      </c>
      <c r="G5486" t="s">
        <v>88</v>
      </c>
      <c r="I5486" t="b">
        <v>0</v>
      </c>
      <c r="J5486" t="b">
        <v>0</v>
      </c>
      <c r="L5486" t="b">
        <v>0</v>
      </c>
      <c r="M5486" t="str">
        <f>HYPERLINK("https://arizona.app.box.com/file/389152797995")</f>
        <v>https://arizona.app.box.com/file/389152797995</v>
      </c>
    </row>
    <row r="5487" spans="1:25" x14ac:dyDescent="0.2">
      <c r="A5487">
        <v>4120</v>
      </c>
      <c r="B5487" t="s">
        <v>9538</v>
      </c>
      <c r="C5487" t="s">
        <v>18</v>
      </c>
      <c r="D5487" t="s">
        <v>9544</v>
      </c>
      <c r="E5487" t="s">
        <v>9545</v>
      </c>
      <c r="F5487" t="s">
        <v>717</v>
      </c>
      <c r="G5487" t="s">
        <v>88</v>
      </c>
      <c r="I5487" t="b">
        <v>0</v>
      </c>
      <c r="J5487" t="b">
        <v>0</v>
      </c>
      <c r="L5487" t="b">
        <v>0</v>
      </c>
      <c r="M5487" t="str">
        <f>HYPERLINK("https://arizona.app.box.com/file/389182443107")</f>
        <v>https://arizona.app.box.com/file/389182443107</v>
      </c>
    </row>
    <row r="5488" spans="1:25" x14ac:dyDescent="0.2">
      <c r="A5488">
        <v>4121</v>
      </c>
      <c r="B5488" t="s">
        <v>9538</v>
      </c>
      <c r="C5488" t="s">
        <v>18</v>
      </c>
      <c r="D5488" t="s">
        <v>8025</v>
      </c>
      <c r="E5488" t="s">
        <v>323</v>
      </c>
      <c r="F5488" t="s">
        <v>510</v>
      </c>
      <c r="G5488" t="s">
        <v>88</v>
      </c>
      <c r="I5488" t="b">
        <v>0</v>
      </c>
      <c r="J5488" t="b">
        <v>0</v>
      </c>
      <c r="L5488" t="b">
        <v>0</v>
      </c>
      <c r="M5488" t="str">
        <f>HYPERLINK("https://arizona.app.box.com/file/389260812778")</f>
        <v>https://arizona.app.box.com/file/389260812778</v>
      </c>
      <c r="N5488" t="str">
        <f>HYPERLINK("https://arizona.app.box.com/file/389159054566")</f>
        <v>https://arizona.app.box.com/file/389159054566</v>
      </c>
    </row>
    <row r="5490" spans="1:25" x14ac:dyDescent="0.2">
      <c r="A5490" s="2">
        <v>504</v>
      </c>
      <c r="B5490" s="2" t="s">
        <v>9546</v>
      </c>
      <c r="C5490" s="2" t="s">
        <v>13</v>
      </c>
      <c r="D5490" s="2" t="s">
        <v>9547</v>
      </c>
      <c r="E5490" s="2" t="s">
        <v>9548</v>
      </c>
      <c r="F5490" s="2" t="s">
        <v>316</v>
      </c>
      <c r="G5490" s="2" t="s">
        <v>879</v>
      </c>
      <c r="H5490" s="2"/>
      <c r="I5490" s="2"/>
      <c r="J5490" s="2"/>
      <c r="K5490" s="2"/>
      <c r="L5490" s="2"/>
      <c r="M5490" s="2"/>
      <c r="N5490" s="2"/>
      <c r="O5490" s="2"/>
      <c r="P5490" s="2"/>
      <c r="Q5490" s="2"/>
      <c r="R5490" s="2"/>
      <c r="S5490" s="2"/>
      <c r="T5490" s="2"/>
      <c r="U5490" s="2"/>
      <c r="V5490" s="2"/>
      <c r="W5490" s="2"/>
      <c r="X5490" s="2"/>
      <c r="Y5490" s="2"/>
    </row>
    <row r="5491" spans="1:25" x14ac:dyDescent="0.2">
      <c r="A5491">
        <v>505</v>
      </c>
      <c r="B5491" t="s">
        <v>9546</v>
      </c>
      <c r="C5491" t="s">
        <v>18</v>
      </c>
      <c r="D5491" t="s">
        <v>6745</v>
      </c>
      <c r="E5491" t="s">
        <v>3910</v>
      </c>
      <c r="F5491" t="s">
        <v>316</v>
      </c>
      <c r="G5491" t="s">
        <v>879</v>
      </c>
      <c r="I5491" t="b">
        <v>1</v>
      </c>
      <c r="J5491" t="b">
        <v>1</v>
      </c>
      <c r="L5491" t="b">
        <v>1</v>
      </c>
      <c r="M5491" t="str">
        <f>HYPERLINK("https://arizona.app.box.com/file/389173947906")</f>
        <v>https://arizona.app.box.com/file/389173947906</v>
      </c>
      <c r="N5491" t="str">
        <f>HYPERLINK("https://arizona.app.box.com/file/386237165808")</f>
        <v>https://arizona.app.box.com/file/386237165808</v>
      </c>
    </row>
    <row r="5492" spans="1:25" x14ac:dyDescent="0.2">
      <c r="A5492">
        <v>506</v>
      </c>
      <c r="B5492" t="s">
        <v>9546</v>
      </c>
      <c r="C5492" t="s">
        <v>18</v>
      </c>
      <c r="D5492" t="s">
        <v>9549</v>
      </c>
      <c r="E5492" t="s">
        <v>9550</v>
      </c>
      <c r="F5492" t="s">
        <v>952</v>
      </c>
      <c r="G5492" t="s">
        <v>62</v>
      </c>
      <c r="I5492" t="b">
        <v>0</v>
      </c>
      <c r="J5492" t="b">
        <v>0</v>
      </c>
      <c r="L5492" t="b">
        <v>0</v>
      </c>
      <c r="M5492" t="str">
        <f>HYPERLINK("https://arizona.app.box.com/file/389260296983")</f>
        <v>https://arizona.app.box.com/file/389260296983</v>
      </c>
      <c r="N5492" t="str">
        <f>HYPERLINK("https://arizona.app.box.com/file/389145070382")</f>
        <v>https://arizona.app.box.com/file/389145070382</v>
      </c>
      <c r="O5492" t="str">
        <f>HYPERLINK("https://arizona.app.box.com/file/389263103085")</f>
        <v>https://arizona.app.box.com/file/389263103085</v>
      </c>
      <c r="P5492" t="str">
        <f>HYPERLINK("https://arizona.app.box.com/file/389167268927")</f>
        <v>https://arizona.app.box.com/file/389167268927</v>
      </c>
    </row>
    <row r="5493" spans="1:25" x14ac:dyDescent="0.2">
      <c r="A5493">
        <v>507</v>
      </c>
      <c r="B5493" t="s">
        <v>9546</v>
      </c>
      <c r="C5493" t="s">
        <v>18</v>
      </c>
      <c r="D5493" t="s">
        <v>6735</v>
      </c>
      <c r="E5493" t="s">
        <v>6736</v>
      </c>
      <c r="F5493" t="s">
        <v>87</v>
      </c>
      <c r="G5493" t="s">
        <v>417</v>
      </c>
      <c r="I5493" t="b">
        <v>0</v>
      </c>
      <c r="J5493" t="b">
        <v>0</v>
      </c>
      <c r="L5493" t="b">
        <v>0</v>
      </c>
      <c r="M5493" t="str">
        <f>HYPERLINK("https://arizona.app.box.com/file/389263963649")</f>
        <v>https://arizona.app.box.com/file/389263963649</v>
      </c>
      <c r="N5493" t="str">
        <f>HYPERLINK("https://arizona.app.box.com/file/389166717050")</f>
        <v>https://arizona.app.box.com/file/389166717050</v>
      </c>
      <c r="O5493" t="str">
        <f>HYPERLINK("https://arizona.app.box.com/file/389164170892")</f>
        <v>https://arizona.app.box.com/file/389164170892</v>
      </c>
      <c r="P5493" t="str">
        <f>HYPERLINK("https://arizona.app.box.com/file/386242962902")</f>
        <v>https://arizona.app.box.com/file/386242962902</v>
      </c>
    </row>
    <row r="5494" spans="1:25" x14ac:dyDescent="0.2">
      <c r="A5494">
        <v>508</v>
      </c>
      <c r="B5494" t="s">
        <v>9546</v>
      </c>
      <c r="C5494" t="s">
        <v>18</v>
      </c>
      <c r="D5494" t="s">
        <v>6741</v>
      </c>
      <c r="E5494" t="s">
        <v>4071</v>
      </c>
      <c r="F5494" t="s">
        <v>87</v>
      </c>
      <c r="G5494" t="s">
        <v>252</v>
      </c>
      <c r="I5494" t="b">
        <v>0</v>
      </c>
      <c r="J5494" t="b">
        <v>0</v>
      </c>
      <c r="L5494" t="b">
        <v>0</v>
      </c>
      <c r="M5494" t="str">
        <f>HYPERLINK("https://arizona.app.box.com/file/389164778355")</f>
        <v>https://arizona.app.box.com/file/389164778355</v>
      </c>
    </row>
    <row r="5495" spans="1:25" x14ac:dyDescent="0.2">
      <c r="A5495">
        <v>509</v>
      </c>
      <c r="B5495" t="s">
        <v>9546</v>
      </c>
      <c r="C5495" t="s">
        <v>18</v>
      </c>
      <c r="D5495" t="s">
        <v>1156</v>
      </c>
      <c r="E5495" t="s">
        <v>1157</v>
      </c>
      <c r="F5495" t="s">
        <v>952</v>
      </c>
      <c r="G5495" t="s">
        <v>252</v>
      </c>
      <c r="I5495" t="b">
        <v>0</v>
      </c>
      <c r="J5495" t="b">
        <v>0</v>
      </c>
      <c r="L5495" t="b">
        <v>0</v>
      </c>
      <c r="M5495" t="str">
        <f>HYPERLINK("https://arizona.app.box.com/file/386242409113")</f>
        <v>https://arizona.app.box.com/file/386242409113</v>
      </c>
      <c r="N5495" t="str">
        <f>HYPERLINK("https://arizona.app.box.com/file/386241906757")</f>
        <v>https://arizona.app.box.com/file/386241906757</v>
      </c>
    </row>
    <row r="5497" spans="1:25" x14ac:dyDescent="0.2">
      <c r="A5497" s="2">
        <v>4305</v>
      </c>
      <c r="B5497" s="2" t="s">
        <v>9551</v>
      </c>
      <c r="C5497" s="2" t="s">
        <v>13</v>
      </c>
      <c r="D5497" s="2" t="s">
        <v>9552</v>
      </c>
      <c r="E5497" s="2" t="s">
        <v>9553</v>
      </c>
      <c r="F5497" s="2" t="s">
        <v>23</v>
      </c>
      <c r="G5497" s="2" t="s">
        <v>292</v>
      </c>
      <c r="H5497" s="2"/>
      <c r="I5497" s="2"/>
      <c r="J5497" s="2"/>
      <c r="K5497" s="2"/>
      <c r="L5497" s="2"/>
      <c r="M5497" s="2"/>
      <c r="N5497" s="2"/>
      <c r="O5497" s="2"/>
      <c r="P5497" s="2"/>
      <c r="Q5497" s="2"/>
      <c r="R5497" s="2"/>
      <c r="S5497" s="2"/>
      <c r="T5497" s="2"/>
      <c r="U5497" s="2"/>
      <c r="V5497" s="2"/>
      <c r="W5497" s="2"/>
      <c r="X5497" s="2"/>
      <c r="Y5497" s="2"/>
    </row>
    <row r="5498" spans="1:25" x14ac:dyDescent="0.2">
      <c r="A5498">
        <v>4306</v>
      </c>
      <c r="B5498" t="s">
        <v>9551</v>
      </c>
      <c r="C5498" t="s">
        <v>18</v>
      </c>
      <c r="D5498" t="s">
        <v>9554</v>
      </c>
      <c r="E5498" t="s">
        <v>1214</v>
      </c>
      <c r="F5498" t="s">
        <v>23</v>
      </c>
      <c r="G5498" t="s">
        <v>292</v>
      </c>
      <c r="I5498" t="b">
        <v>1</v>
      </c>
      <c r="J5498" t="b">
        <v>1</v>
      </c>
      <c r="L5498" t="b">
        <v>1</v>
      </c>
      <c r="M5498" t="str">
        <f>HYPERLINK("https://arizona.app.box.com/file/386216460971")</f>
        <v>https://arizona.app.box.com/file/386216460971</v>
      </c>
    </row>
    <row r="5499" spans="1:25" x14ac:dyDescent="0.2">
      <c r="A5499">
        <v>4307</v>
      </c>
      <c r="B5499" t="s">
        <v>9551</v>
      </c>
      <c r="C5499" t="s">
        <v>18</v>
      </c>
      <c r="D5499" t="s">
        <v>9555</v>
      </c>
      <c r="E5499" t="s">
        <v>9556</v>
      </c>
      <c r="F5499" t="s">
        <v>23</v>
      </c>
      <c r="G5499" t="s">
        <v>292</v>
      </c>
      <c r="I5499" t="b">
        <v>1</v>
      </c>
      <c r="J5499" t="b">
        <v>1</v>
      </c>
      <c r="L5499" t="b">
        <v>1</v>
      </c>
      <c r="M5499" t="str">
        <f>HYPERLINK("https://arizona.app.box.com/file/386218291217")</f>
        <v>https://arizona.app.box.com/file/386218291217</v>
      </c>
    </row>
    <row r="5500" spans="1:25" x14ac:dyDescent="0.2">
      <c r="A5500">
        <v>4308</v>
      </c>
      <c r="B5500" t="s">
        <v>9551</v>
      </c>
      <c r="C5500" t="s">
        <v>18</v>
      </c>
      <c r="D5500" t="s">
        <v>2611</v>
      </c>
      <c r="E5500" t="s">
        <v>2612</v>
      </c>
      <c r="F5500" t="s">
        <v>78</v>
      </c>
      <c r="G5500" t="s">
        <v>417</v>
      </c>
      <c r="I5500" t="b">
        <v>0</v>
      </c>
      <c r="J5500" t="b">
        <v>0</v>
      </c>
      <c r="L5500" t="b">
        <v>0</v>
      </c>
      <c r="M5500" t="str">
        <f>HYPERLINK("https://arizona.app.box.com/file/389266994737")</f>
        <v>https://arizona.app.box.com/file/389266994737</v>
      </c>
      <c r="N5500" t="str">
        <f>HYPERLINK("https://arizona.app.box.com/file/389164035750")</f>
        <v>https://arizona.app.box.com/file/389164035750</v>
      </c>
      <c r="O5500" t="str">
        <f>HYPERLINK("https://arizona.app.box.com/file/389264555940")</f>
        <v>https://arizona.app.box.com/file/389264555940</v>
      </c>
      <c r="P5500" t="str">
        <f>HYPERLINK("https://arizona.app.box.com/file/389138093165")</f>
        <v>https://arizona.app.box.com/file/389138093165</v>
      </c>
    </row>
    <row r="5501" spans="1:25" x14ac:dyDescent="0.2">
      <c r="A5501">
        <v>4309</v>
      </c>
      <c r="B5501" t="s">
        <v>9551</v>
      </c>
      <c r="C5501" t="s">
        <v>18</v>
      </c>
      <c r="D5501" t="s">
        <v>290</v>
      </c>
      <c r="E5501" t="s">
        <v>293</v>
      </c>
      <c r="F5501" t="s">
        <v>23</v>
      </c>
      <c r="G5501" t="s">
        <v>292</v>
      </c>
      <c r="I5501" t="b">
        <v>0</v>
      </c>
      <c r="J5501" t="b">
        <v>0</v>
      </c>
      <c r="L5501" t="b">
        <v>0</v>
      </c>
      <c r="M5501" t="str">
        <f>HYPERLINK("https://arizona.app.box.com/file/389176425906")</f>
        <v>https://arizona.app.box.com/file/389176425906</v>
      </c>
      <c r="N5501" t="str">
        <f>HYPERLINK("https://arizona.app.box.com/file/386237935267")</f>
        <v>https://arizona.app.box.com/file/386237935267</v>
      </c>
    </row>
    <row r="5502" spans="1:25" x14ac:dyDescent="0.2">
      <c r="A5502">
        <v>4310</v>
      </c>
      <c r="B5502" t="s">
        <v>9551</v>
      </c>
      <c r="C5502" t="s">
        <v>18</v>
      </c>
      <c r="D5502" t="s">
        <v>294</v>
      </c>
      <c r="E5502" t="s">
        <v>295</v>
      </c>
      <c r="F5502" t="s">
        <v>23</v>
      </c>
      <c r="G5502" t="s">
        <v>292</v>
      </c>
      <c r="I5502" t="b">
        <v>0</v>
      </c>
      <c r="J5502" t="b">
        <v>0</v>
      </c>
      <c r="L5502" t="b">
        <v>0</v>
      </c>
      <c r="M5502" t="str">
        <f>HYPERLINK("https://arizona.app.box.com/file/389164881424")</f>
        <v>https://arizona.app.box.com/file/389164881424</v>
      </c>
      <c r="N5502" t="str">
        <f>HYPERLINK("https://arizona.app.box.com/file/386241282660")</f>
        <v>https://arizona.app.box.com/file/386241282660</v>
      </c>
    </row>
    <row r="5504" spans="1:25" x14ac:dyDescent="0.2">
      <c r="A5504" s="2">
        <v>5061</v>
      </c>
      <c r="B5504" s="2" t="s">
        <v>9557</v>
      </c>
      <c r="C5504" s="2" t="s">
        <v>13</v>
      </c>
      <c r="D5504" s="2" t="s">
        <v>9558</v>
      </c>
      <c r="E5504" s="2" t="s">
        <v>9559</v>
      </c>
      <c r="F5504" s="2" t="s">
        <v>174</v>
      </c>
      <c r="G5504" s="2" t="s">
        <v>17</v>
      </c>
      <c r="H5504" s="2"/>
      <c r="I5504" s="2"/>
      <c r="J5504" s="2"/>
      <c r="K5504" s="2"/>
      <c r="L5504" s="2"/>
      <c r="M5504" s="2"/>
      <c r="N5504" s="2"/>
      <c r="O5504" s="2"/>
      <c r="P5504" s="2"/>
      <c r="Q5504" s="2"/>
      <c r="R5504" s="2"/>
      <c r="S5504" s="2"/>
      <c r="T5504" s="2"/>
      <c r="U5504" s="2"/>
      <c r="V5504" s="2"/>
      <c r="W5504" s="2"/>
      <c r="X5504" s="2"/>
      <c r="Y5504" s="2"/>
    </row>
    <row r="5505" spans="1:25" x14ac:dyDescent="0.2">
      <c r="A5505">
        <v>5062</v>
      </c>
      <c r="B5505" t="s">
        <v>9557</v>
      </c>
      <c r="C5505" t="s">
        <v>18</v>
      </c>
      <c r="D5505" t="s">
        <v>9558</v>
      </c>
      <c r="E5505" t="s">
        <v>9560</v>
      </c>
      <c r="F5505" t="s">
        <v>174</v>
      </c>
      <c r="G5505" t="s">
        <v>17</v>
      </c>
      <c r="I5505" t="b">
        <v>1</v>
      </c>
      <c r="J5505" t="b">
        <v>1</v>
      </c>
      <c r="L5505" t="b">
        <v>1</v>
      </c>
      <c r="M5505" t="str">
        <f>HYPERLINK("https://arizona.app.box.com/file/389266465890")</f>
        <v>https://arizona.app.box.com/file/389266465890</v>
      </c>
      <c r="N5505" t="str">
        <f>HYPERLINK("https://arizona.app.box.com/file/389167612127")</f>
        <v>https://arizona.app.box.com/file/389167612127</v>
      </c>
      <c r="O5505" t="str">
        <f>HYPERLINK("https://arizona.app.box.com/file/389176437674")</f>
        <v>https://arizona.app.box.com/file/389176437674</v>
      </c>
    </row>
    <row r="5506" spans="1:25" x14ac:dyDescent="0.2">
      <c r="A5506">
        <v>5063</v>
      </c>
      <c r="B5506" t="s">
        <v>9557</v>
      </c>
      <c r="C5506" t="s">
        <v>18</v>
      </c>
      <c r="D5506" t="s">
        <v>9561</v>
      </c>
      <c r="E5506" t="s">
        <v>4701</v>
      </c>
      <c r="F5506" t="s">
        <v>174</v>
      </c>
      <c r="G5506" t="s">
        <v>17</v>
      </c>
      <c r="I5506" t="b">
        <v>1</v>
      </c>
      <c r="J5506" t="b">
        <v>1</v>
      </c>
      <c r="L5506" t="b">
        <v>1</v>
      </c>
      <c r="M5506" t="str">
        <f>HYPERLINK("https://arizona.app.box.com/file/389255978126")</f>
        <v>https://arizona.app.box.com/file/389255978126</v>
      </c>
      <c r="N5506" t="str">
        <f>HYPERLINK("https://arizona.app.box.com/file/389169765888")</f>
        <v>https://arizona.app.box.com/file/389169765888</v>
      </c>
    </row>
    <row r="5507" spans="1:25" x14ac:dyDescent="0.2">
      <c r="A5507">
        <v>5064</v>
      </c>
      <c r="B5507" t="s">
        <v>9557</v>
      </c>
      <c r="C5507" t="s">
        <v>18</v>
      </c>
      <c r="D5507" t="s">
        <v>8885</v>
      </c>
      <c r="E5507" t="s">
        <v>1923</v>
      </c>
      <c r="F5507" t="s">
        <v>1077</v>
      </c>
      <c r="G5507" t="s">
        <v>252</v>
      </c>
      <c r="I5507" t="b">
        <v>0</v>
      </c>
      <c r="J5507" t="b">
        <v>0</v>
      </c>
      <c r="L5507" t="b">
        <v>0</v>
      </c>
      <c r="M5507" t="str">
        <f>HYPERLINK("https://arizona.app.box.com/file/386247005127")</f>
        <v>https://arizona.app.box.com/file/386247005127</v>
      </c>
    </row>
    <row r="5508" spans="1:25" x14ac:dyDescent="0.2">
      <c r="A5508">
        <v>5065</v>
      </c>
      <c r="B5508" t="s">
        <v>9557</v>
      </c>
      <c r="C5508" t="s">
        <v>18</v>
      </c>
      <c r="D5508" t="s">
        <v>9562</v>
      </c>
      <c r="E5508" t="s">
        <v>9563</v>
      </c>
      <c r="F5508" t="s">
        <v>174</v>
      </c>
      <c r="G5508" t="s">
        <v>17</v>
      </c>
      <c r="I5508" t="b">
        <v>0</v>
      </c>
      <c r="J5508" t="b">
        <v>0</v>
      </c>
      <c r="L5508" t="b">
        <v>0</v>
      </c>
    </row>
    <row r="5509" spans="1:25" x14ac:dyDescent="0.2">
      <c r="A5509">
        <v>5066</v>
      </c>
      <c r="B5509" t="s">
        <v>9557</v>
      </c>
      <c r="C5509" t="s">
        <v>18</v>
      </c>
      <c r="D5509" t="s">
        <v>9564</v>
      </c>
      <c r="E5509" t="s">
        <v>9565</v>
      </c>
      <c r="F5509" t="s">
        <v>78</v>
      </c>
      <c r="G5509" t="s">
        <v>17</v>
      </c>
      <c r="I5509" t="b">
        <v>0</v>
      </c>
      <c r="J5509" t="b">
        <v>0</v>
      </c>
      <c r="L5509" t="b">
        <v>0</v>
      </c>
      <c r="M5509" t="str">
        <f>HYPERLINK("https://arizona.app.box.com/file/386245814180")</f>
        <v>https://arizona.app.box.com/file/386245814180</v>
      </c>
      <c r="N5509" t="str">
        <f>HYPERLINK("https://arizona.app.box.com/file/386249012727")</f>
        <v>https://arizona.app.box.com/file/386249012727</v>
      </c>
    </row>
    <row r="5511" spans="1:25" x14ac:dyDescent="0.2">
      <c r="A5511" s="2">
        <v>3248</v>
      </c>
      <c r="B5511" s="2" t="s">
        <v>9566</v>
      </c>
      <c r="C5511" s="2" t="s">
        <v>13</v>
      </c>
      <c r="D5511" s="2" t="s">
        <v>9567</v>
      </c>
      <c r="E5511" s="2" t="s">
        <v>9568</v>
      </c>
      <c r="F5511" s="2" t="s">
        <v>264</v>
      </c>
      <c r="G5511" s="2" t="s">
        <v>62</v>
      </c>
      <c r="H5511" s="2"/>
      <c r="I5511" s="2"/>
      <c r="J5511" s="2"/>
      <c r="K5511" s="2"/>
      <c r="L5511" s="2"/>
      <c r="M5511" s="2"/>
      <c r="N5511" s="2"/>
      <c r="O5511" s="2"/>
      <c r="P5511" s="2"/>
      <c r="Q5511" s="2"/>
      <c r="R5511" s="2"/>
      <c r="S5511" s="2"/>
      <c r="T5511" s="2"/>
      <c r="U5511" s="2"/>
      <c r="V5511" s="2"/>
      <c r="W5511" s="2"/>
      <c r="X5511" s="2"/>
      <c r="Y5511" s="2"/>
    </row>
    <row r="5512" spans="1:25" x14ac:dyDescent="0.2">
      <c r="A5512">
        <v>3249</v>
      </c>
      <c r="B5512" t="s">
        <v>9566</v>
      </c>
      <c r="C5512" t="s">
        <v>18</v>
      </c>
      <c r="D5512" t="s">
        <v>1545</v>
      </c>
      <c r="E5512" t="s">
        <v>1546</v>
      </c>
      <c r="F5512" t="s">
        <v>264</v>
      </c>
      <c r="G5512" t="s">
        <v>62</v>
      </c>
      <c r="I5512" t="b">
        <v>1</v>
      </c>
      <c r="J5512" t="b">
        <v>1</v>
      </c>
      <c r="L5512" t="b">
        <v>1</v>
      </c>
      <c r="M5512" t="str">
        <f>HYPERLINK("https://arizona.app.box.com/file/389257044950")</f>
        <v>https://arizona.app.box.com/file/389257044950</v>
      </c>
      <c r="N5512" t="str">
        <f>HYPERLINK("https://arizona.app.box.com/file/389166835985")</f>
        <v>https://arizona.app.box.com/file/389166835985</v>
      </c>
    </row>
    <row r="5513" spans="1:25" x14ac:dyDescent="0.2">
      <c r="A5513">
        <v>3250</v>
      </c>
      <c r="B5513" t="s">
        <v>9566</v>
      </c>
      <c r="C5513" t="s">
        <v>18</v>
      </c>
      <c r="D5513" t="s">
        <v>9569</v>
      </c>
      <c r="E5513" t="s">
        <v>9570</v>
      </c>
      <c r="F5513" t="s">
        <v>264</v>
      </c>
      <c r="G5513" t="s">
        <v>62</v>
      </c>
      <c r="I5513" t="b">
        <v>0</v>
      </c>
      <c r="J5513" t="b">
        <v>0</v>
      </c>
      <c r="L5513" t="b">
        <v>0</v>
      </c>
      <c r="M5513" t="str">
        <f>HYPERLINK("https://arizona.app.box.com/file/386242799587")</f>
        <v>https://arizona.app.box.com/file/386242799587</v>
      </c>
    </row>
    <row r="5514" spans="1:25" x14ac:dyDescent="0.2">
      <c r="A5514">
        <v>3251</v>
      </c>
      <c r="B5514" t="s">
        <v>9566</v>
      </c>
      <c r="C5514" t="s">
        <v>18</v>
      </c>
      <c r="D5514" t="s">
        <v>9571</v>
      </c>
      <c r="E5514" t="s">
        <v>9572</v>
      </c>
      <c r="F5514" t="s">
        <v>264</v>
      </c>
      <c r="G5514" t="s">
        <v>62</v>
      </c>
      <c r="I5514" t="b">
        <v>0</v>
      </c>
      <c r="J5514" t="b">
        <v>0</v>
      </c>
      <c r="L5514" t="b">
        <v>0</v>
      </c>
      <c r="M5514" t="str">
        <f>HYPERLINK("https://arizona.app.box.com/file/386214561612")</f>
        <v>https://arizona.app.box.com/file/386214561612</v>
      </c>
    </row>
    <row r="5515" spans="1:25" x14ac:dyDescent="0.2">
      <c r="A5515">
        <v>3252</v>
      </c>
      <c r="B5515" t="s">
        <v>9566</v>
      </c>
      <c r="C5515" t="s">
        <v>18</v>
      </c>
      <c r="D5515" t="s">
        <v>9573</v>
      </c>
      <c r="E5515" t="s">
        <v>7046</v>
      </c>
      <c r="F5515" t="s">
        <v>264</v>
      </c>
      <c r="G5515" t="s">
        <v>62</v>
      </c>
      <c r="I5515" t="b">
        <v>0</v>
      </c>
      <c r="J5515" t="b">
        <v>0</v>
      </c>
      <c r="L5515" t="b">
        <v>0</v>
      </c>
      <c r="M5515" t="str">
        <f>HYPERLINK("https://arizona.app.box.com/file/386240814049")</f>
        <v>https://arizona.app.box.com/file/386240814049</v>
      </c>
    </row>
    <row r="5516" spans="1:25" x14ac:dyDescent="0.2">
      <c r="A5516">
        <v>3253</v>
      </c>
      <c r="B5516" t="s">
        <v>9566</v>
      </c>
      <c r="C5516" t="s">
        <v>18</v>
      </c>
      <c r="D5516" t="s">
        <v>9574</v>
      </c>
      <c r="E5516" t="s">
        <v>9575</v>
      </c>
      <c r="F5516" t="s">
        <v>264</v>
      </c>
      <c r="G5516" t="s">
        <v>62</v>
      </c>
      <c r="I5516" t="b">
        <v>0</v>
      </c>
      <c r="J5516" t="b">
        <v>0</v>
      </c>
      <c r="L5516" t="b">
        <v>0</v>
      </c>
    </row>
    <row r="5518" spans="1:25" x14ac:dyDescent="0.2">
      <c r="A5518" s="2">
        <v>7560</v>
      </c>
      <c r="B5518" s="2" t="s">
        <v>9576</v>
      </c>
      <c r="C5518" s="2" t="s">
        <v>13</v>
      </c>
      <c r="D5518" s="2" t="s">
        <v>9577</v>
      </c>
      <c r="E5518" s="2" t="s">
        <v>9578</v>
      </c>
      <c r="F5518" s="2" t="s">
        <v>420</v>
      </c>
      <c r="G5518" s="2" t="s">
        <v>62</v>
      </c>
      <c r="H5518" s="2"/>
      <c r="I5518" s="2"/>
      <c r="J5518" s="2"/>
      <c r="K5518" s="2"/>
      <c r="L5518" s="2"/>
      <c r="M5518" s="2"/>
      <c r="N5518" s="2"/>
      <c r="O5518" s="2"/>
      <c r="P5518" s="2"/>
      <c r="Q5518" s="2"/>
      <c r="R5518" s="2"/>
      <c r="S5518" s="2"/>
      <c r="T5518" s="2"/>
      <c r="U5518" s="2"/>
      <c r="V5518" s="2"/>
      <c r="W5518" s="2"/>
      <c r="X5518" s="2"/>
      <c r="Y5518" s="2"/>
    </row>
    <row r="5519" spans="1:25" x14ac:dyDescent="0.2">
      <c r="A5519">
        <v>7561</v>
      </c>
      <c r="B5519" t="s">
        <v>9576</v>
      </c>
      <c r="C5519" t="s">
        <v>18</v>
      </c>
      <c r="D5519" t="s">
        <v>9579</v>
      </c>
      <c r="E5519" t="s">
        <v>4097</v>
      </c>
      <c r="F5519" t="s">
        <v>420</v>
      </c>
      <c r="G5519" t="s">
        <v>62</v>
      </c>
      <c r="I5519" t="b">
        <v>1</v>
      </c>
      <c r="J5519" t="b">
        <v>1</v>
      </c>
      <c r="L5519" t="b">
        <v>1</v>
      </c>
      <c r="M5519" t="str">
        <f>HYPERLINK("https://arizona.app.box.com/file/389176336460")</f>
        <v>https://arizona.app.box.com/file/389176336460</v>
      </c>
      <c r="N5519" t="str">
        <f>HYPERLINK("https://arizona.app.box.com/file/386245167838")</f>
        <v>https://arizona.app.box.com/file/386245167838</v>
      </c>
    </row>
    <row r="5520" spans="1:25" x14ac:dyDescent="0.2">
      <c r="A5520">
        <v>7562</v>
      </c>
      <c r="B5520" t="s">
        <v>9576</v>
      </c>
      <c r="C5520" t="s">
        <v>18</v>
      </c>
      <c r="D5520" t="s">
        <v>4602</v>
      </c>
      <c r="E5520" t="s">
        <v>4603</v>
      </c>
      <c r="F5520" t="s">
        <v>785</v>
      </c>
      <c r="G5520" t="s">
        <v>62</v>
      </c>
      <c r="I5520" t="b">
        <v>0</v>
      </c>
      <c r="J5520" t="b">
        <v>0</v>
      </c>
      <c r="L5520" t="b">
        <v>0</v>
      </c>
    </row>
    <row r="5521" spans="1:25" x14ac:dyDescent="0.2">
      <c r="A5521">
        <v>7563</v>
      </c>
      <c r="B5521" t="s">
        <v>9576</v>
      </c>
      <c r="C5521" t="s">
        <v>18</v>
      </c>
      <c r="D5521" t="s">
        <v>9580</v>
      </c>
      <c r="E5521" t="s">
        <v>9581</v>
      </c>
      <c r="F5521" t="s">
        <v>785</v>
      </c>
      <c r="G5521" t="s">
        <v>62</v>
      </c>
      <c r="I5521" t="b">
        <v>0</v>
      </c>
      <c r="J5521" t="b">
        <v>0</v>
      </c>
      <c r="L5521" t="b">
        <v>0</v>
      </c>
      <c r="M5521" t="str">
        <f>HYPERLINK("https://arizona.app.box.com/file/386240486645")</f>
        <v>https://arizona.app.box.com/file/386240486645</v>
      </c>
    </row>
    <row r="5522" spans="1:25" x14ac:dyDescent="0.2">
      <c r="A5522">
        <v>7564</v>
      </c>
      <c r="B5522" t="s">
        <v>9576</v>
      </c>
      <c r="C5522" t="s">
        <v>18</v>
      </c>
      <c r="D5522" t="s">
        <v>9582</v>
      </c>
      <c r="E5522" t="s">
        <v>9583</v>
      </c>
      <c r="F5522" t="s">
        <v>9584</v>
      </c>
      <c r="G5522" t="s">
        <v>62</v>
      </c>
      <c r="I5522" t="b">
        <v>0</v>
      </c>
      <c r="J5522" t="b">
        <v>0</v>
      </c>
      <c r="L5522" t="b">
        <v>0</v>
      </c>
      <c r="M5522" t="str">
        <f>HYPERLINK("https://arizona.app.box.com/file/386245687437")</f>
        <v>https://arizona.app.box.com/file/386245687437</v>
      </c>
      <c r="N5522" t="str">
        <f>HYPERLINK("https://arizona.app.box.com/file/386239534587")</f>
        <v>https://arizona.app.box.com/file/386239534587</v>
      </c>
    </row>
    <row r="5523" spans="1:25" x14ac:dyDescent="0.2">
      <c r="A5523">
        <v>7565</v>
      </c>
      <c r="B5523" t="s">
        <v>9576</v>
      </c>
      <c r="C5523" t="s">
        <v>18</v>
      </c>
      <c r="D5523" t="s">
        <v>4891</v>
      </c>
      <c r="E5523" t="s">
        <v>4892</v>
      </c>
      <c r="F5523" t="s">
        <v>420</v>
      </c>
      <c r="G5523" t="s">
        <v>62</v>
      </c>
      <c r="I5523" t="b">
        <v>0</v>
      </c>
      <c r="J5523" t="b">
        <v>0</v>
      </c>
      <c r="L5523" t="b">
        <v>0</v>
      </c>
      <c r="M5523" t="str">
        <f>HYPERLINK("https://arizona.app.box.com/file/389264059582")</f>
        <v>https://arizona.app.box.com/file/389264059582</v>
      </c>
      <c r="N5523" t="str">
        <f>HYPERLINK("https://arizona.app.box.com/file/389138084390")</f>
        <v>https://arizona.app.box.com/file/389138084390</v>
      </c>
    </row>
    <row r="5525" spans="1:25" x14ac:dyDescent="0.2">
      <c r="A5525" s="2">
        <v>2107</v>
      </c>
      <c r="B5525" s="2" t="s">
        <v>9585</v>
      </c>
      <c r="C5525" s="2" t="s">
        <v>13</v>
      </c>
      <c r="D5525" s="2" t="s">
        <v>710</v>
      </c>
      <c r="E5525" s="2" t="s">
        <v>9586</v>
      </c>
      <c r="F5525" s="2" t="s">
        <v>712</v>
      </c>
      <c r="G5525" s="2" t="s">
        <v>265</v>
      </c>
      <c r="H5525" s="2"/>
      <c r="I5525" s="2"/>
      <c r="J5525" s="2"/>
      <c r="K5525" s="2"/>
      <c r="L5525" s="2"/>
      <c r="M5525" s="2"/>
      <c r="N5525" s="2"/>
      <c r="O5525" s="2"/>
      <c r="P5525" s="2"/>
      <c r="Q5525" s="2"/>
      <c r="R5525" s="2"/>
      <c r="S5525" s="2"/>
      <c r="T5525" s="2"/>
      <c r="U5525" s="2"/>
      <c r="V5525" s="2"/>
      <c r="W5525" s="2"/>
      <c r="X5525" s="2"/>
      <c r="Y5525" s="2"/>
    </row>
    <row r="5526" spans="1:25" x14ac:dyDescent="0.2">
      <c r="A5526">
        <v>2108</v>
      </c>
      <c r="B5526" t="s">
        <v>9585</v>
      </c>
      <c r="C5526" t="s">
        <v>18</v>
      </c>
      <c r="D5526" t="s">
        <v>710</v>
      </c>
      <c r="E5526" t="s">
        <v>711</v>
      </c>
      <c r="F5526" t="s">
        <v>712</v>
      </c>
      <c r="G5526" t="s">
        <v>265</v>
      </c>
      <c r="I5526" t="b">
        <v>1</v>
      </c>
      <c r="J5526" t="b">
        <v>1</v>
      </c>
      <c r="L5526" t="b">
        <v>1</v>
      </c>
      <c r="M5526" t="str">
        <f>HYPERLINK("https://arizona.app.box.com/file/389257320662")</f>
        <v>https://arizona.app.box.com/file/389257320662</v>
      </c>
    </row>
    <row r="5527" spans="1:25" x14ac:dyDescent="0.2">
      <c r="A5527">
        <v>2109</v>
      </c>
      <c r="B5527" t="s">
        <v>9585</v>
      </c>
      <c r="C5527" t="s">
        <v>18</v>
      </c>
      <c r="D5527" t="s">
        <v>9587</v>
      </c>
      <c r="E5527" t="s">
        <v>3672</v>
      </c>
      <c r="F5527" t="s">
        <v>712</v>
      </c>
      <c r="G5527" t="s">
        <v>265</v>
      </c>
      <c r="I5527" t="b">
        <v>1</v>
      </c>
      <c r="J5527" t="b">
        <v>1</v>
      </c>
      <c r="L5527" t="b">
        <v>1</v>
      </c>
      <c r="M5527" t="str">
        <f>HYPERLINK("https://arizona.app.box.com/file/386243679380")</f>
        <v>https://arizona.app.box.com/file/386243679380</v>
      </c>
    </row>
    <row r="5528" spans="1:25" x14ac:dyDescent="0.2">
      <c r="A5528">
        <v>2110</v>
      </c>
      <c r="B5528" t="s">
        <v>9585</v>
      </c>
      <c r="C5528" t="s">
        <v>18</v>
      </c>
      <c r="D5528" t="s">
        <v>700</v>
      </c>
      <c r="E5528" t="s">
        <v>701</v>
      </c>
      <c r="F5528" t="s">
        <v>71</v>
      </c>
      <c r="G5528" t="s">
        <v>265</v>
      </c>
      <c r="I5528" t="b">
        <v>0</v>
      </c>
      <c r="J5528" t="b">
        <v>0</v>
      </c>
      <c r="L5528" t="b">
        <v>0</v>
      </c>
      <c r="M5528" t="str">
        <f>HYPERLINK("https://arizona.app.box.com/file/389263749619")</f>
        <v>https://arizona.app.box.com/file/389263749619</v>
      </c>
      <c r="N5528" t="str">
        <f>HYPERLINK("https://arizona.app.box.com/file/389171725733")</f>
        <v>https://arizona.app.box.com/file/389171725733</v>
      </c>
    </row>
    <row r="5529" spans="1:25" x14ac:dyDescent="0.2">
      <c r="A5529">
        <v>2111</v>
      </c>
      <c r="B5529" t="s">
        <v>9585</v>
      </c>
      <c r="C5529" t="s">
        <v>18</v>
      </c>
      <c r="D5529" t="s">
        <v>696</v>
      </c>
      <c r="E5529" t="s">
        <v>321</v>
      </c>
      <c r="F5529" t="s">
        <v>71</v>
      </c>
      <c r="G5529" t="s">
        <v>265</v>
      </c>
      <c r="I5529" t="b">
        <v>0</v>
      </c>
      <c r="J5529" t="b">
        <v>0</v>
      </c>
      <c r="L5529" t="b">
        <v>0</v>
      </c>
      <c r="M5529" t="str">
        <f>HYPERLINK("https://arizona.app.box.com/file/389265335203")</f>
        <v>https://arizona.app.box.com/file/389265335203</v>
      </c>
      <c r="N5529" t="str">
        <f>HYPERLINK("https://arizona.app.box.com/file/389164014523")</f>
        <v>https://arizona.app.box.com/file/389164014523</v>
      </c>
    </row>
    <row r="5530" spans="1:25" x14ac:dyDescent="0.2">
      <c r="A5530">
        <v>2112</v>
      </c>
      <c r="B5530" t="s">
        <v>9585</v>
      </c>
      <c r="C5530" t="s">
        <v>18</v>
      </c>
      <c r="D5530" t="s">
        <v>708</v>
      </c>
      <c r="E5530" t="s">
        <v>709</v>
      </c>
      <c r="F5530" t="s">
        <v>78</v>
      </c>
      <c r="G5530" t="s">
        <v>265</v>
      </c>
      <c r="I5530" t="b">
        <v>0</v>
      </c>
      <c r="J5530" t="b">
        <v>0</v>
      </c>
      <c r="L5530" t="b">
        <v>0</v>
      </c>
    </row>
    <row r="5532" spans="1:25" x14ac:dyDescent="0.2">
      <c r="A5532" s="2">
        <v>1393</v>
      </c>
      <c r="B5532" s="2" t="s">
        <v>9588</v>
      </c>
      <c r="C5532" s="2" t="s">
        <v>13</v>
      </c>
      <c r="D5532" s="2" t="s">
        <v>6429</v>
      </c>
      <c r="E5532" s="2" t="s">
        <v>6430</v>
      </c>
      <c r="F5532" s="2" t="s">
        <v>78</v>
      </c>
      <c r="G5532" s="2" t="s">
        <v>17</v>
      </c>
      <c r="H5532" s="2"/>
      <c r="I5532" s="2"/>
      <c r="J5532" s="2"/>
      <c r="K5532" s="2"/>
      <c r="L5532" s="2"/>
      <c r="M5532" s="2"/>
      <c r="N5532" s="2"/>
      <c r="O5532" s="2"/>
      <c r="P5532" s="2"/>
      <c r="Q5532" s="2"/>
      <c r="R5532" s="2"/>
      <c r="S5532" s="2"/>
      <c r="T5532" s="2"/>
      <c r="U5532" s="2"/>
      <c r="V5532" s="2"/>
      <c r="W5532" s="2"/>
      <c r="X5532" s="2"/>
      <c r="Y5532" s="2"/>
    </row>
    <row r="5533" spans="1:25" x14ac:dyDescent="0.2">
      <c r="A5533">
        <v>1394</v>
      </c>
      <c r="B5533" t="s">
        <v>9588</v>
      </c>
      <c r="C5533" t="s">
        <v>18</v>
      </c>
      <c r="D5533" t="s">
        <v>6429</v>
      </c>
      <c r="E5533" t="s">
        <v>6430</v>
      </c>
      <c r="F5533" t="s">
        <v>78</v>
      </c>
      <c r="G5533" t="s">
        <v>17</v>
      </c>
      <c r="I5533" t="b">
        <v>1</v>
      </c>
      <c r="J5533" t="b">
        <v>1</v>
      </c>
      <c r="L5533" t="b">
        <v>1</v>
      </c>
      <c r="M5533" t="str">
        <f>HYPERLINK("https://arizona.app.box.com/file/389151153890")</f>
        <v>https://arizona.app.box.com/file/389151153890</v>
      </c>
      <c r="N5533" t="str">
        <f>HYPERLINK("https://arizona.app.box.com/file/389151385890")</f>
        <v>https://arizona.app.box.com/file/389151385890</v>
      </c>
    </row>
    <row r="5534" spans="1:25" x14ac:dyDescent="0.2">
      <c r="A5534">
        <v>1395</v>
      </c>
      <c r="B5534" t="s">
        <v>9588</v>
      </c>
      <c r="C5534" t="s">
        <v>18</v>
      </c>
      <c r="D5534" t="s">
        <v>9589</v>
      </c>
      <c r="E5534" t="s">
        <v>9590</v>
      </c>
      <c r="F5534" t="s">
        <v>78</v>
      </c>
      <c r="G5534" t="s">
        <v>17</v>
      </c>
      <c r="I5534" t="b">
        <v>0</v>
      </c>
      <c r="J5534" t="b">
        <v>0</v>
      </c>
      <c r="L5534" t="b">
        <v>0</v>
      </c>
      <c r="M5534" t="str">
        <f>HYPERLINK("https://arizona.app.box.com/file/386247434280")</f>
        <v>https://arizona.app.box.com/file/386247434280</v>
      </c>
      <c r="N5534" t="str">
        <f>HYPERLINK("https://arizona.app.box.com/file/389133898462")</f>
        <v>https://arizona.app.box.com/file/389133898462</v>
      </c>
    </row>
    <row r="5535" spans="1:25" x14ac:dyDescent="0.2">
      <c r="A5535">
        <v>1396</v>
      </c>
      <c r="B5535" t="s">
        <v>9588</v>
      </c>
      <c r="C5535" t="s">
        <v>18</v>
      </c>
      <c r="D5535" t="s">
        <v>9591</v>
      </c>
      <c r="E5535" t="s">
        <v>9592</v>
      </c>
      <c r="F5535" t="s">
        <v>78</v>
      </c>
      <c r="G5535" t="s">
        <v>17</v>
      </c>
      <c r="I5535" t="b">
        <v>0</v>
      </c>
      <c r="J5535" t="b">
        <v>0</v>
      </c>
      <c r="L5535" t="b">
        <v>0</v>
      </c>
      <c r="M5535" t="str">
        <f>HYPERLINK("https://arizona.app.box.com/file/386265276767")</f>
        <v>https://arizona.app.box.com/file/386265276767</v>
      </c>
    </row>
    <row r="5536" spans="1:25" x14ac:dyDescent="0.2">
      <c r="A5536">
        <v>1397</v>
      </c>
      <c r="B5536" t="s">
        <v>9588</v>
      </c>
      <c r="C5536" t="s">
        <v>18</v>
      </c>
      <c r="D5536" t="s">
        <v>9593</v>
      </c>
      <c r="E5536" t="s">
        <v>9594</v>
      </c>
      <c r="F5536" t="s">
        <v>78</v>
      </c>
      <c r="G5536" t="s">
        <v>17</v>
      </c>
      <c r="I5536" t="b">
        <v>0</v>
      </c>
      <c r="J5536" t="b">
        <v>0</v>
      </c>
      <c r="L5536" t="b">
        <v>0</v>
      </c>
      <c r="M5536" t="str">
        <f>HYPERLINK("https://arizona.app.box.com/file/389152202007")</f>
        <v>https://arizona.app.box.com/file/389152202007</v>
      </c>
      <c r="N5536" t="str">
        <f>HYPERLINK("https://arizona.app.box.com/file/389151715169")</f>
        <v>https://arizona.app.box.com/file/389151715169</v>
      </c>
    </row>
    <row r="5537" spans="1:25" x14ac:dyDescent="0.2">
      <c r="A5537">
        <v>1398</v>
      </c>
      <c r="B5537" t="s">
        <v>9588</v>
      </c>
      <c r="C5537" t="s">
        <v>18</v>
      </c>
      <c r="D5537" t="s">
        <v>9595</v>
      </c>
      <c r="E5537" t="s">
        <v>9596</v>
      </c>
      <c r="F5537" t="s">
        <v>78</v>
      </c>
      <c r="G5537" t="s">
        <v>17</v>
      </c>
      <c r="I5537" t="b">
        <v>0</v>
      </c>
      <c r="J5537" t="b">
        <v>0</v>
      </c>
      <c r="L5537" t="b">
        <v>0</v>
      </c>
      <c r="M5537" t="str">
        <f>HYPERLINK("https://arizona.app.box.com/file/389150232916")</f>
        <v>https://arizona.app.box.com/file/389150232916</v>
      </c>
    </row>
    <row r="5539" spans="1:25" x14ac:dyDescent="0.2">
      <c r="A5539" s="2">
        <v>6503</v>
      </c>
      <c r="B5539" s="2" t="s">
        <v>9597</v>
      </c>
      <c r="C5539" s="2" t="s">
        <v>13</v>
      </c>
      <c r="D5539" s="2" t="s">
        <v>9598</v>
      </c>
      <c r="E5539" s="2" t="s">
        <v>9599</v>
      </c>
      <c r="F5539" s="2" t="s">
        <v>78</v>
      </c>
      <c r="G5539" s="2" t="s">
        <v>88</v>
      </c>
      <c r="H5539" s="2"/>
      <c r="I5539" s="2"/>
      <c r="J5539" s="2"/>
      <c r="K5539" s="2"/>
      <c r="L5539" s="2"/>
      <c r="M5539" s="2"/>
      <c r="N5539" s="2"/>
      <c r="O5539" s="2"/>
      <c r="P5539" s="2"/>
      <c r="Q5539" s="2"/>
      <c r="R5539" s="2"/>
      <c r="S5539" s="2"/>
      <c r="T5539" s="2"/>
      <c r="U5539" s="2"/>
      <c r="V5539" s="2"/>
      <c r="W5539" s="2"/>
      <c r="X5539" s="2"/>
      <c r="Y5539" s="2"/>
    </row>
    <row r="5540" spans="1:25" x14ac:dyDescent="0.2">
      <c r="A5540">
        <v>6504</v>
      </c>
      <c r="B5540" t="s">
        <v>9597</v>
      </c>
      <c r="C5540" t="s">
        <v>18</v>
      </c>
      <c r="D5540" t="s">
        <v>9598</v>
      </c>
      <c r="E5540" t="s">
        <v>4302</v>
      </c>
      <c r="F5540" t="s">
        <v>78</v>
      </c>
      <c r="G5540" t="s">
        <v>88</v>
      </c>
      <c r="I5540" t="b">
        <v>1</v>
      </c>
      <c r="J5540" t="b">
        <v>1</v>
      </c>
      <c r="L5540" t="b">
        <v>1</v>
      </c>
      <c r="M5540" t="str">
        <f>HYPERLINK("https://arizona.app.box.com/file/389254301740")</f>
        <v>https://arizona.app.box.com/file/389254301740</v>
      </c>
      <c r="N5540" t="str">
        <f>HYPERLINK("https://arizona.app.box.com/file/389152269749")</f>
        <v>https://arizona.app.box.com/file/389152269749</v>
      </c>
    </row>
    <row r="5541" spans="1:25" x14ac:dyDescent="0.2">
      <c r="A5541">
        <v>6505</v>
      </c>
      <c r="B5541" t="s">
        <v>9597</v>
      </c>
      <c r="C5541" t="s">
        <v>18</v>
      </c>
      <c r="D5541" t="s">
        <v>6656</v>
      </c>
      <c r="E5541" t="s">
        <v>2742</v>
      </c>
      <c r="F5541" t="s">
        <v>78</v>
      </c>
      <c r="G5541" t="s">
        <v>88</v>
      </c>
      <c r="I5541" t="b">
        <v>1</v>
      </c>
      <c r="J5541" t="b">
        <v>1</v>
      </c>
      <c r="L5541" t="b">
        <v>1</v>
      </c>
      <c r="M5541" t="str">
        <f>HYPERLINK("https://arizona.app.box.com/file/386248679038")</f>
        <v>https://arizona.app.box.com/file/386248679038</v>
      </c>
    </row>
    <row r="5542" spans="1:25" x14ac:dyDescent="0.2">
      <c r="A5542">
        <v>6506</v>
      </c>
      <c r="B5542" t="s">
        <v>9597</v>
      </c>
      <c r="C5542" t="s">
        <v>18</v>
      </c>
      <c r="D5542" t="s">
        <v>6652</v>
      </c>
      <c r="E5542" t="s">
        <v>6653</v>
      </c>
      <c r="F5542" t="s">
        <v>78</v>
      </c>
      <c r="G5542" t="s">
        <v>88</v>
      </c>
      <c r="I5542" t="b">
        <v>0</v>
      </c>
      <c r="J5542" t="b">
        <v>0</v>
      </c>
      <c r="L5542" t="b">
        <v>0</v>
      </c>
      <c r="M5542" t="str">
        <f>HYPERLINK("https://arizona.app.box.com/file/389254804048")</f>
        <v>https://arizona.app.box.com/file/389254804048</v>
      </c>
      <c r="N5542" t="str">
        <f>HYPERLINK("https://arizona.app.box.com/file/389153193895")</f>
        <v>https://arizona.app.box.com/file/389153193895</v>
      </c>
    </row>
    <row r="5543" spans="1:25" x14ac:dyDescent="0.2">
      <c r="A5543">
        <v>6507</v>
      </c>
      <c r="B5543" t="s">
        <v>9597</v>
      </c>
      <c r="C5543" t="s">
        <v>18</v>
      </c>
      <c r="D5543" t="s">
        <v>9600</v>
      </c>
      <c r="E5543" t="s">
        <v>9601</v>
      </c>
      <c r="F5543" t="s">
        <v>78</v>
      </c>
      <c r="G5543" t="s">
        <v>252</v>
      </c>
      <c r="I5543" t="b">
        <v>0</v>
      </c>
      <c r="J5543" t="b">
        <v>0</v>
      </c>
      <c r="L5543" t="b">
        <v>0</v>
      </c>
      <c r="M5543" t="str">
        <f>HYPERLINK("https://arizona.app.box.com/file/389175302859")</f>
        <v>https://arizona.app.box.com/file/389175302859</v>
      </c>
      <c r="N5543" t="str">
        <f>HYPERLINK("https://arizona.app.box.com/file/386226706986")</f>
        <v>https://arizona.app.box.com/file/386226706986</v>
      </c>
    </row>
    <row r="5544" spans="1:25" x14ac:dyDescent="0.2">
      <c r="A5544">
        <v>6508</v>
      </c>
      <c r="B5544" t="s">
        <v>9597</v>
      </c>
      <c r="C5544" t="s">
        <v>18</v>
      </c>
      <c r="D5544" t="s">
        <v>1611</v>
      </c>
      <c r="E5544" t="s">
        <v>1612</v>
      </c>
      <c r="F5544" t="s">
        <v>78</v>
      </c>
      <c r="G5544" t="s">
        <v>88</v>
      </c>
      <c r="I5544" t="b">
        <v>0</v>
      </c>
      <c r="J5544" t="b">
        <v>0</v>
      </c>
      <c r="L5544" t="b">
        <v>0</v>
      </c>
      <c r="M5544" t="str">
        <f>HYPERLINK("https://arizona.app.box.com/file/389257775461")</f>
        <v>https://arizona.app.box.com/file/389257775461</v>
      </c>
      <c r="N5544" t="str">
        <f>HYPERLINK("https://arizona.app.box.com/file/389152905142")</f>
        <v>https://arizona.app.box.com/file/389152905142</v>
      </c>
    </row>
    <row r="5546" spans="1:25" x14ac:dyDescent="0.2">
      <c r="A5546" s="2">
        <v>5663</v>
      </c>
      <c r="B5546" s="2" t="s">
        <v>9602</v>
      </c>
      <c r="C5546" s="2" t="s">
        <v>13</v>
      </c>
      <c r="D5546" s="2" t="s">
        <v>9603</v>
      </c>
      <c r="E5546" s="2" t="s">
        <v>9604</v>
      </c>
      <c r="F5546" s="2" t="s">
        <v>159</v>
      </c>
      <c r="G5546" s="2" t="s">
        <v>88</v>
      </c>
      <c r="H5546" s="2"/>
      <c r="I5546" s="2"/>
      <c r="J5546" s="2"/>
      <c r="K5546" s="2"/>
      <c r="L5546" s="2"/>
      <c r="M5546" s="2"/>
      <c r="N5546" s="2"/>
      <c r="O5546" s="2"/>
      <c r="P5546" s="2"/>
      <c r="Q5546" s="2"/>
      <c r="R5546" s="2"/>
      <c r="S5546" s="2"/>
      <c r="T5546" s="2"/>
      <c r="U5546" s="2"/>
      <c r="V5546" s="2"/>
      <c r="W5546" s="2"/>
      <c r="X5546" s="2"/>
      <c r="Y5546" s="2"/>
    </row>
    <row r="5547" spans="1:25" x14ac:dyDescent="0.2">
      <c r="A5547">
        <v>5664</v>
      </c>
      <c r="B5547" t="s">
        <v>9602</v>
      </c>
      <c r="C5547" t="s">
        <v>18</v>
      </c>
      <c r="D5547" t="s">
        <v>9603</v>
      </c>
      <c r="E5547" t="s">
        <v>9604</v>
      </c>
      <c r="F5547" t="s">
        <v>82</v>
      </c>
      <c r="G5547" t="s">
        <v>9605</v>
      </c>
      <c r="I5547" t="b">
        <v>1</v>
      </c>
      <c r="J5547" t="b">
        <v>1</v>
      </c>
      <c r="L5547" t="b">
        <v>1</v>
      </c>
      <c r="M5547" t="str">
        <f>HYPERLINK("https://arizona.app.box.com/file/386244077514")</f>
        <v>https://arizona.app.box.com/file/386244077514</v>
      </c>
      <c r="N5547" t="str">
        <f>HYPERLINK("https://arizona.app.box.com/file/386241113911")</f>
        <v>https://arizona.app.box.com/file/386241113911</v>
      </c>
    </row>
    <row r="5548" spans="1:25" x14ac:dyDescent="0.2">
      <c r="A5548">
        <v>5665</v>
      </c>
      <c r="B5548" t="s">
        <v>9602</v>
      </c>
      <c r="C5548" t="s">
        <v>18</v>
      </c>
      <c r="D5548" t="s">
        <v>9606</v>
      </c>
      <c r="E5548" t="s">
        <v>9607</v>
      </c>
      <c r="F5548" t="s">
        <v>200</v>
      </c>
      <c r="G5548" t="s">
        <v>88</v>
      </c>
      <c r="I5548" t="b">
        <v>0</v>
      </c>
      <c r="J5548" t="b">
        <v>0</v>
      </c>
      <c r="L5548" t="b">
        <v>0</v>
      </c>
      <c r="M5548" t="str">
        <f>HYPERLINK("https://arizona.app.box.com/file/386240372608")</f>
        <v>https://arizona.app.box.com/file/386240372608</v>
      </c>
    </row>
    <row r="5549" spans="1:25" x14ac:dyDescent="0.2">
      <c r="A5549">
        <v>5666</v>
      </c>
      <c r="B5549" t="s">
        <v>9602</v>
      </c>
      <c r="C5549" t="s">
        <v>18</v>
      </c>
      <c r="D5549" t="s">
        <v>9608</v>
      </c>
      <c r="E5549" t="s">
        <v>9609</v>
      </c>
      <c r="F5549" t="s">
        <v>200</v>
      </c>
      <c r="G5549" t="s">
        <v>88</v>
      </c>
      <c r="I5549" t="b">
        <v>0</v>
      </c>
      <c r="J5549" t="b">
        <v>0</v>
      </c>
      <c r="L5549" t="b">
        <v>0</v>
      </c>
      <c r="M5549" t="str">
        <f>HYPERLINK("https://arizona.app.box.com/file/386231949468")</f>
        <v>https://arizona.app.box.com/file/386231949468</v>
      </c>
    </row>
    <row r="5550" spans="1:25" x14ac:dyDescent="0.2">
      <c r="A5550">
        <v>5667</v>
      </c>
      <c r="B5550" t="s">
        <v>9602</v>
      </c>
      <c r="C5550" t="s">
        <v>18</v>
      </c>
      <c r="D5550" t="s">
        <v>9610</v>
      </c>
      <c r="E5550" t="s">
        <v>9611</v>
      </c>
      <c r="F5550" t="s">
        <v>200</v>
      </c>
      <c r="G5550" t="s">
        <v>88</v>
      </c>
      <c r="I5550" t="b">
        <v>0</v>
      </c>
      <c r="J5550" t="b">
        <v>0</v>
      </c>
      <c r="L5550" t="b">
        <v>0</v>
      </c>
      <c r="M5550" t="str">
        <f>HYPERLINK("https://arizona.app.box.com/file/386232642153")</f>
        <v>https://arizona.app.box.com/file/386232642153</v>
      </c>
      <c r="N5550" t="str">
        <f>HYPERLINK("https://arizona.app.box.com/file/386243095251")</f>
        <v>https://arizona.app.box.com/file/386243095251</v>
      </c>
    </row>
    <row r="5551" spans="1:25" x14ac:dyDescent="0.2">
      <c r="A5551">
        <v>5668</v>
      </c>
      <c r="B5551" t="s">
        <v>9602</v>
      </c>
      <c r="C5551" t="s">
        <v>18</v>
      </c>
      <c r="D5551" t="s">
        <v>6943</v>
      </c>
      <c r="E5551" t="s">
        <v>3106</v>
      </c>
      <c r="F5551" t="s">
        <v>200</v>
      </c>
      <c r="G5551" t="s">
        <v>88</v>
      </c>
      <c r="I5551" t="b">
        <v>0</v>
      </c>
      <c r="J5551" t="b">
        <v>0</v>
      </c>
      <c r="L5551" t="b">
        <v>0</v>
      </c>
      <c r="M5551" t="str">
        <f>HYPERLINK("https://arizona.app.box.com/file/389265239203")</f>
        <v>https://arizona.app.box.com/file/389265239203</v>
      </c>
      <c r="N5551" t="str">
        <f>HYPERLINK("https://arizona.app.box.com/file/389152666606")</f>
        <v>https://arizona.app.box.com/file/389152666606</v>
      </c>
    </row>
    <row r="5553" spans="1:25" x14ac:dyDescent="0.2">
      <c r="A5553" s="2">
        <v>3878</v>
      </c>
      <c r="B5553" s="2" t="s">
        <v>9612</v>
      </c>
      <c r="C5553" s="2" t="s">
        <v>13</v>
      </c>
      <c r="D5553" s="2" t="s">
        <v>9613</v>
      </c>
      <c r="E5553" s="2" t="s">
        <v>9614</v>
      </c>
      <c r="F5553" s="2" t="s">
        <v>31</v>
      </c>
      <c r="G5553" s="2" t="s">
        <v>24</v>
      </c>
      <c r="H5553" s="2"/>
      <c r="I5553" s="2"/>
      <c r="J5553" s="2"/>
      <c r="K5553" s="2"/>
      <c r="L5553" s="2"/>
      <c r="M5553" s="2"/>
      <c r="N5553" s="2"/>
      <c r="O5553" s="2"/>
      <c r="P5553" s="2"/>
      <c r="Q5553" s="2"/>
      <c r="R5553" s="2"/>
      <c r="S5553" s="2"/>
      <c r="T5553" s="2"/>
      <c r="U5553" s="2"/>
      <c r="V5553" s="2"/>
      <c r="W5553" s="2"/>
      <c r="X5553" s="2"/>
      <c r="Y5553" s="2"/>
    </row>
    <row r="5554" spans="1:25" x14ac:dyDescent="0.2">
      <c r="A5554">
        <v>3879</v>
      </c>
      <c r="B5554" t="s">
        <v>9612</v>
      </c>
      <c r="C5554" t="s">
        <v>18</v>
      </c>
      <c r="D5554" t="s">
        <v>9615</v>
      </c>
      <c r="E5554" t="s">
        <v>381</v>
      </c>
      <c r="F5554" t="s">
        <v>31</v>
      </c>
      <c r="G5554" t="s">
        <v>24</v>
      </c>
      <c r="I5554" t="b">
        <v>1</v>
      </c>
      <c r="J5554" t="b">
        <v>1</v>
      </c>
      <c r="L5554" t="b">
        <v>1</v>
      </c>
      <c r="M5554" t="str">
        <f>HYPERLINK("https://arizona.app.box.com/file/389169914757")</f>
        <v>https://arizona.app.box.com/file/389169914757</v>
      </c>
    </row>
    <row r="5555" spans="1:25" x14ac:dyDescent="0.2">
      <c r="A5555">
        <v>3880</v>
      </c>
      <c r="B5555" t="s">
        <v>9612</v>
      </c>
      <c r="C5555" t="s">
        <v>18</v>
      </c>
      <c r="D5555" t="s">
        <v>9616</v>
      </c>
      <c r="E5555" t="s">
        <v>1472</v>
      </c>
      <c r="F5555" t="s">
        <v>31</v>
      </c>
      <c r="G5555" t="s">
        <v>24</v>
      </c>
      <c r="I5555" t="b">
        <v>1</v>
      </c>
      <c r="J5555" t="b">
        <v>1</v>
      </c>
      <c r="L5555" t="b">
        <v>1</v>
      </c>
      <c r="M5555" t="str">
        <f>HYPERLINK("https://arizona.app.box.com/file/389162755573")</f>
        <v>https://arizona.app.box.com/file/389162755573</v>
      </c>
    </row>
    <row r="5556" spans="1:25" x14ac:dyDescent="0.2">
      <c r="A5556">
        <v>3881</v>
      </c>
      <c r="B5556" t="s">
        <v>9612</v>
      </c>
      <c r="C5556" t="s">
        <v>18</v>
      </c>
      <c r="D5556" t="s">
        <v>6265</v>
      </c>
      <c r="E5556" t="s">
        <v>6017</v>
      </c>
      <c r="F5556" t="s">
        <v>122</v>
      </c>
      <c r="G5556" t="s">
        <v>24</v>
      </c>
      <c r="I5556" t="b">
        <v>0</v>
      </c>
      <c r="J5556" t="b">
        <v>0</v>
      </c>
      <c r="L5556" t="b">
        <v>0</v>
      </c>
      <c r="M5556" t="str">
        <f>HYPERLINK("https://arizona.app.box.com/file/389162922391")</f>
        <v>https://arizona.app.box.com/file/389162922391</v>
      </c>
    </row>
    <row r="5557" spans="1:25" x14ac:dyDescent="0.2">
      <c r="A5557">
        <v>3882</v>
      </c>
      <c r="B5557" t="s">
        <v>9612</v>
      </c>
      <c r="C5557" t="s">
        <v>18</v>
      </c>
      <c r="D5557" t="s">
        <v>1829</v>
      </c>
      <c r="E5557" t="s">
        <v>19</v>
      </c>
      <c r="F5557" t="s">
        <v>16</v>
      </c>
      <c r="G5557" t="s">
        <v>24</v>
      </c>
      <c r="I5557" t="b">
        <v>0</v>
      </c>
      <c r="J5557" t="b">
        <v>0</v>
      </c>
      <c r="L5557" t="b">
        <v>0</v>
      </c>
      <c r="M5557" t="str">
        <f>HYPERLINK("https://arizona.app.box.com/file/389162456287")</f>
        <v>https://arizona.app.box.com/file/389162456287</v>
      </c>
    </row>
    <row r="5558" spans="1:25" x14ac:dyDescent="0.2">
      <c r="A5558">
        <v>3883</v>
      </c>
      <c r="B5558" t="s">
        <v>9612</v>
      </c>
      <c r="C5558" t="s">
        <v>18</v>
      </c>
      <c r="D5558" t="s">
        <v>6263</v>
      </c>
      <c r="E5558" t="s">
        <v>381</v>
      </c>
      <c r="F5558" t="s">
        <v>196</v>
      </c>
      <c r="G5558" t="s">
        <v>24</v>
      </c>
      <c r="I5558" t="b">
        <v>0</v>
      </c>
      <c r="J5558" t="b">
        <v>0</v>
      </c>
      <c r="L5558" t="b">
        <v>0</v>
      </c>
      <c r="M5558" t="str">
        <f>HYPERLINK("https://arizona.app.box.com/file/389154183585")</f>
        <v>https://arizona.app.box.com/file/389154183585</v>
      </c>
    </row>
    <row r="5560" spans="1:25" x14ac:dyDescent="0.2">
      <c r="A5560" s="2">
        <v>5831</v>
      </c>
      <c r="B5560" s="2" t="s">
        <v>9617</v>
      </c>
      <c r="C5560" s="2" t="s">
        <v>13</v>
      </c>
      <c r="D5560" s="2" t="s">
        <v>8262</v>
      </c>
      <c r="E5560" s="2" t="s">
        <v>8263</v>
      </c>
      <c r="F5560" s="2" t="s">
        <v>420</v>
      </c>
      <c r="G5560" s="2" t="s">
        <v>9081</v>
      </c>
      <c r="H5560" s="2"/>
      <c r="I5560" s="2"/>
      <c r="J5560" s="2"/>
      <c r="K5560" s="2"/>
      <c r="L5560" s="2"/>
      <c r="M5560" s="2"/>
      <c r="N5560" s="2"/>
      <c r="O5560" s="2"/>
      <c r="P5560" s="2"/>
      <c r="Q5560" s="2"/>
      <c r="R5560" s="2"/>
      <c r="S5560" s="2"/>
      <c r="T5560" s="2"/>
      <c r="U5560" s="2"/>
      <c r="V5560" s="2"/>
      <c r="W5560" s="2"/>
      <c r="X5560" s="2"/>
      <c r="Y5560" s="2"/>
    </row>
    <row r="5561" spans="1:25" x14ac:dyDescent="0.2">
      <c r="A5561">
        <v>5832</v>
      </c>
      <c r="B5561" t="s">
        <v>9617</v>
      </c>
      <c r="C5561" t="s">
        <v>18</v>
      </c>
      <c r="D5561" t="s">
        <v>8262</v>
      </c>
      <c r="E5561" t="s">
        <v>8263</v>
      </c>
      <c r="F5561" t="s">
        <v>420</v>
      </c>
      <c r="G5561" t="s">
        <v>828</v>
      </c>
      <c r="I5561" t="b">
        <v>1</v>
      </c>
      <c r="J5561" t="b">
        <v>1</v>
      </c>
      <c r="L5561" t="b">
        <v>1</v>
      </c>
      <c r="M5561" t="str">
        <f>HYPERLINK("https://arizona.app.box.com/file/389259776813")</f>
        <v>https://arizona.app.box.com/file/389259776813</v>
      </c>
      <c r="N5561" t="str">
        <f>HYPERLINK("https://arizona.app.box.com/file/389152187969")</f>
        <v>https://arizona.app.box.com/file/389152187969</v>
      </c>
      <c r="O5561" t="str">
        <f>HYPERLINK("https://arizona.app.box.com/file/389152709234")</f>
        <v>https://arizona.app.box.com/file/389152709234</v>
      </c>
    </row>
    <row r="5562" spans="1:25" x14ac:dyDescent="0.2">
      <c r="A5562">
        <v>5833</v>
      </c>
      <c r="B5562" t="s">
        <v>9617</v>
      </c>
      <c r="C5562" t="s">
        <v>18</v>
      </c>
      <c r="D5562" t="s">
        <v>9618</v>
      </c>
      <c r="E5562" t="s">
        <v>1608</v>
      </c>
      <c r="F5562" t="s">
        <v>420</v>
      </c>
      <c r="G5562" t="s">
        <v>828</v>
      </c>
      <c r="I5562" t="b">
        <v>1</v>
      </c>
      <c r="J5562" t="b">
        <v>1</v>
      </c>
      <c r="L5562" t="b">
        <v>1</v>
      </c>
      <c r="M5562" t="str">
        <f>HYPERLINK("https://arizona.app.box.com/file/389256975424")</f>
        <v>https://arizona.app.box.com/file/389256975424</v>
      </c>
      <c r="N5562" t="str">
        <f>HYPERLINK("https://arizona.app.box.com/file/389171937289")</f>
        <v>https://arizona.app.box.com/file/389171937289</v>
      </c>
    </row>
    <row r="5563" spans="1:25" x14ac:dyDescent="0.2">
      <c r="A5563">
        <v>5834</v>
      </c>
      <c r="B5563" t="s">
        <v>9617</v>
      </c>
      <c r="C5563" t="s">
        <v>18</v>
      </c>
      <c r="D5563" t="s">
        <v>9619</v>
      </c>
      <c r="E5563" t="s">
        <v>9620</v>
      </c>
      <c r="F5563" t="s">
        <v>23</v>
      </c>
      <c r="G5563" t="s">
        <v>62</v>
      </c>
      <c r="I5563" t="b">
        <v>0</v>
      </c>
      <c r="J5563" t="b">
        <v>0</v>
      </c>
      <c r="L5563" t="b">
        <v>0</v>
      </c>
      <c r="M5563" t="str">
        <f>HYPERLINK("https://arizona.app.box.com/file/386247088211")</f>
        <v>https://arizona.app.box.com/file/386247088211</v>
      </c>
    </row>
    <row r="5564" spans="1:25" x14ac:dyDescent="0.2">
      <c r="A5564">
        <v>5835</v>
      </c>
      <c r="B5564" t="s">
        <v>9617</v>
      </c>
      <c r="C5564" t="s">
        <v>18</v>
      </c>
      <c r="D5564" t="s">
        <v>9621</v>
      </c>
      <c r="E5564" t="s">
        <v>9622</v>
      </c>
      <c r="F5564" t="s">
        <v>1077</v>
      </c>
      <c r="G5564" t="s">
        <v>62</v>
      </c>
      <c r="I5564" t="b">
        <v>0</v>
      </c>
      <c r="J5564" t="b">
        <v>0</v>
      </c>
      <c r="L5564" t="b">
        <v>0</v>
      </c>
    </row>
    <row r="5565" spans="1:25" x14ac:dyDescent="0.2">
      <c r="A5565">
        <v>5836</v>
      </c>
      <c r="B5565" t="s">
        <v>9617</v>
      </c>
      <c r="C5565" t="s">
        <v>18</v>
      </c>
      <c r="D5565" t="s">
        <v>9623</v>
      </c>
      <c r="E5565" t="s">
        <v>9624</v>
      </c>
      <c r="F5565" t="s">
        <v>420</v>
      </c>
      <c r="G5565" t="s">
        <v>88</v>
      </c>
      <c r="I5565" t="b">
        <v>0</v>
      </c>
      <c r="J5565" t="b">
        <v>0</v>
      </c>
      <c r="L5565" t="b">
        <v>0</v>
      </c>
    </row>
    <row r="5567" spans="1:25" x14ac:dyDescent="0.2">
      <c r="A5567" s="2">
        <v>7483</v>
      </c>
      <c r="B5567" s="2" t="s">
        <v>9625</v>
      </c>
      <c r="C5567" s="2" t="s">
        <v>13</v>
      </c>
      <c r="D5567" s="2" t="s">
        <v>9626</v>
      </c>
      <c r="E5567" s="2" t="s">
        <v>9627</v>
      </c>
      <c r="F5567" s="2" t="s">
        <v>174</v>
      </c>
      <c r="G5567" s="2" t="s">
        <v>17</v>
      </c>
      <c r="H5567" s="2"/>
      <c r="I5567" s="2"/>
      <c r="J5567" s="2"/>
      <c r="K5567" s="2"/>
      <c r="L5567" s="2"/>
      <c r="M5567" s="2"/>
      <c r="N5567" s="2"/>
      <c r="O5567" s="2"/>
      <c r="P5567" s="2"/>
      <c r="Q5567" s="2"/>
      <c r="R5567" s="2"/>
      <c r="S5567" s="2"/>
      <c r="T5567" s="2"/>
      <c r="U5567" s="2"/>
      <c r="V5567" s="2"/>
      <c r="W5567" s="2"/>
      <c r="X5567" s="2"/>
      <c r="Y5567" s="2"/>
    </row>
    <row r="5568" spans="1:25" x14ac:dyDescent="0.2">
      <c r="A5568">
        <v>7484</v>
      </c>
      <c r="B5568" t="s">
        <v>9625</v>
      </c>
      <c r="C5568" t="s">
        <v>18</v>
      </c>
      <c r="D5568" t="s">
        <v>9626</v>
      </c>
      <c r="E5568" t="s">
        <v>9627</v>
      </c>
      <c r="F5568" t="s">
        <v>174</v>
      </c>
      <c r="G5568" t="s">
        <v>17</v>
      </c>
      <c r="I5568" t="b">
        <v>1</v>
      </c>
      <c r="J5568" t="b">
        <v>1</v>
      </c>
      <c r="L5568" t="b">
        <v>1</v>
      </c>
      <c r="M5568" t="str">
        <f>HYPERLINK("https://arizona.app.box.com/file/389152107208")</f>
        <v>https://arizona.app.box.com/file/389152107208</v>
      </c>
      <c r="N5568" t="str">
        <f>HYPERLINK("https://arizona.app.box.com/file/389161774954")</f>
        <v>https://arizona.app.box.com/file/389161774954</v>
      </c>
    </row>
    <row r="5569" spans="1:25" x14ac:dyDescent="0.2">
      <c r="A5569">
        <v>7485</v>
      </c>
      <c r="B5569" t="s">
        <v>9625</v>
      </c>
      <c r="C5569" t="s">
        <v>18</v>
      </c>
      <c r="D5569" t="s">
        <v>8424</v>
      </c>
      <c r="E5569" t="s">
        <v>517</v>
      </c>
      <c r="F5569" t="s">
        <v>174</v>
      </c>
      <c r="G5569" t="s">
        <v>17</v>
      </c>
      <c r="I5569" t="b">
        <v>0</v>
      </c>
      <c r="J5569" t="b">
        <v>0</v>
      </c>
      <c r="L5569" t="b">
        <v>0</v>
      </c>
      <c r="M5569" t="str">
        <f>HYPERLINK("https://arizona.app.box.com/file/389151324325")</f>
        <v>https://arizona.app.box.com/file/389151324325</v>
      </c>
    </row>
    <row r="5570" spans="1:25" x14ac:dyDescent="0.2">
      <c r="A5570">
        <v>7486</v>
      </c>
      <c r="B5570" t="s">
        <v>9625</v>
      </c>
      <c r="C5570" t="s">
        <v>18</v>
      </c>
      <c r="D5570" t="s">
        <v>9628</v>
      </c>
      <c r="E5570" t="s">
        <v>9629</v>
      </c>
      <c r="F5570" t="s">
        <v>16</v>
      </c>
      <c r="G5570" t="s">
        <v>17</v>
      </c>
      <c r="I5570" t="b">
        <v>0</v>
      </c>
      <c r="J5570" t="b">
        <v>0</v>
      </c>
      <c r="L5570" t="b">
        <v>0</v>
      </c>
      <c r="M5570" t="str">
        <f>HYPERLINK("https://arizona.app.box.com/file/389161159933")</f>
        <v>https://arizona.app.box.com/file/389161159933</v>
      </c>
    </row>
    <row r="5571" spans="1:25" x14ac:dyDescent="0.2">
      <c r="A5571">
        <v>7487</v>
      </c>
      <c r="B5571" t="s">
        <v>9625</v>
      </c>
      <c r="C5571" t="s">
        <v>18</v>
      </c>
      <c r="D5571" t="s">
        <v>9630</v>
      </c>
      <c r="E5571" t="s">
        <v>9631</v>
      </c>
      <c r="F5571" t="s">
        <v>16</v>
      </c>
      <c r="G5571" t="s">
        <v>17</v>
      </c>
      <c r="I5571" t="b">
        <v>0</v>
      </c>
      <c r="J5571" t="b">
        <v>0</v>
      </c>
      <c r="L5571" t="b">
        <v>0</v>
      </c>
      <c r="M5571" t="str">
        <f>HYPERLINK("https://arizona.app.box.com/file/389151358014")</f>
        <v>https://arizona.app.box.com/file/389151358014</v>
      </c>
    </row>
    <row r="5572" spans="1:25" x14ac:dyDescent="0.2">
      <c r="A5572">
        <v>7488</v>
      </c>
      <c r="B5572" t="s">
        <v>9625</v>
      </c>
      <c r="C5572" t="s">
        <v>18</v>
      </c>
      <c r="D5572" t="s">
        <v>6532</v>
      </c>
      <c r="E5572" t="s">
        <v>965</v>
      </c>
      <c r="F5572" t="s">
        <v>20</v>
      </c>
      <c r="G5572" t="s">
        <v>17</v>
      </c>
      <c r="I5572" t="b">
        <v>0</v>
      </c>
      <c r="J5572" t="b">
        <v>0</v>
      </c>
      <c r="L5572" t="b">
        <v>0</v>
      </c>
      <c r="M5572" t="str">
        <f>HYPERLINK("https://arizona.app.box.com/file/389152992295")</f>
        <v>https://arizona.app.box.com/file/389152992295</v>
      </c>
    </row>
    <row r="5574" spans="1:25" x14ac:dyDescent="0.2">
      <c r="A5574" s="2">
        <v>3710</v>
      </c>
      <c r="B5574" s="2" t="s">
        <v>9632</v>
      </c>
      <c r="C5574" s="2" t="s">
        <v>13</v>
      </c>
      <c r="D5574" s="2" t="s">
        <v>9633</v>
      </c>
      <c r="E5574" s="2" t="s">
        <v>9634</v>
      </c>
      <c r="F5574" s="2" t="s">
        <v>78</v>
      </c>
      <c r="G5574" s="2" t="s">
        <v>17</v>
      </c>
      <c r="H5574" s="2"/>
      <c r="I5574" s="2"/>
      <c r="J5574" s="2"/>
      <c r="K5574" s="2"/>
      <c r="L5574" s="2"/>
      <c r="M5574" s="2"/>
      <c r="N5574" s="2"/>
      <c r="O5574" s="2"/>
      <c r="P5574" s="2"/>
      <c r="Q5574" s="2"/>
      <c r="R5574" s="2"/>
      <c r="S5574" s="2"/>
      <c r="T5574" s="2"/>
      <c r="U5574" s="2"/>
      <c r="V5574" s="2"/>
      <c r="W5574" s="2"/>
      <c r="X5574" s="2"/>
      <c r="Y5574" s="2"/>
    </row>
    <row r="5575" spans="1:25" x14ac:dyDescent="0.2">
      <c r="A5575">
        <v>3711</v>
      </c>
      <c r="B5575" t="s">
        <v>9632</v>
      </c>
      <c r="C5575" t="s">
        <v>18</v>
      </c>
      <c r="D5575" t="s">
        <v>9633</v>
      </c>
      <c r="E5575" t="s">
        <v>9634</v>
      </c>
      <c r="F5575" t="s">
        <v>78</v>
      </c>
      <c r="G5575" t="s">
        <v>17</v>
      </c>
      <c r="I5575" t="b">
        <v>1</v>
      </c>
      <c r="J5575" t="b">
        <v>1</v>
      </c>
      <c r="L5575" t="b">
        <v>1</v>
      </c>
      <c r="M5575" t="str">
        <f>HYPERLINK("https://arizona.app.box.com/file/389164419924")</f>
        <v>https://arizona.app.box.com/file/389164419924</v>
      </c>
      <c r="N5575" t="str">
        <f>HYPERLINK("https://arizona.app.box.com/file/389137336794")</f>
        <v>https://arizona.app.box.com/file/389137336794</v>
      </c>
    </row>
    <row r="5576" spans="1:25" x14ac:dyDescent="0.2">
      <c r="A5576">
        <v>3712</v>
      </c>
      <c r="B5576" t="s">
        <v>9632</v>
      </c>
      <c r="C5576" t="s">
        <v>18</v>
      </c>
      <c r="D5576" t="s">
        <v>9635</v>
      </c>
      <c r="E5576" t="s">
        <v>9636</v>
      </c>
      <c r="F5576" t="s">
        <v>78</v>
      </c>
      <c r="G5576" t="s">
        <v>17</v>
      </c>
      <c r="I5576" t="b">
        <v>0</v>
      </c>
      <c r="J5576" t="b">
        <v>0</v>
      </c>
      <c r="L5576" t="b">
        <v>0</v>
      </c>
      <c r="M5576" t="str">
        <f>HYPERLINK("https://arizona.app.box.com/file/386241135842")</f>
        <v>https://arizona.app.box.com/file/386241135842</v>
      </c>
      <c r="N5576" t="str">
        <f>HYPERLINK("https://arizona.app.box.com/file/389166554778")</f>
        <v>https://arizona.app.box.com/file/389166554778</v>
      </c>
    </row>
    <row r="5577" spans="1:25" x14ac:dyDescent="0.2">
      <c r="A5577">
        <v>3713</v>
      </c>
      <c r="B5577" t="s">
        <v>9632</v>
      </c>
      <c r="C5577" t="s">
        <v>18</v>
      </c>
      <c r="D5577" t="s">
        <v>9637</v>
      </c>
      <c r="E5577" t="s">
        <v>9638</v>
      </c>
      <c r="F5577" t="s">
        <v>78</v>
      </c>
      <c r="G5577" t="s">
        <v>17</v>
      </c>
      <c r="I5577" t="b">
        <v>0</v>
      </c>
      <c r="J5577" t="b">
        <v>0</v>
      </c>
      <c r="L5577" t="b">
        <v>0</v>
      </c>
    </row>
    <row r="5578" spans="1:25" x14ac:dyDescent="0.2">
      <c r="A5578">
        <v>3714</v>
      </c>
      <c r="B5578" t="s">
        <v>9632</v>
      </c>
      <c r="C5578" t="s">
        <v>18</v>
      </c>
      <c r="D5578" t="s">
        <v>9639</v>
      </c>
      <c r="E5578" t="s">
        <v>9640</v>
      </c>
      <c r="F5578" t="s">
        <v>78</v>
      </c>
      <c r="G5578" t="s">
        <v>17</v>
      </c>
      <c r="I5578" t="b">
        <v>0</v>
      </c>
      <c r="J5578" t="b">
        <v>0</v>
      </c>
      <c r="L5578" t="b">
        <v>0</v>
      </c>
    </row>
    <row r="5579" spans="1:25" x14ac:dyDescent="0.2">
      <c r="A5579">
        <v>3715</v>
      </c>
      <c r="B5579" t="s">
        <v>9632</v>
      </c>
      <c r="C5579" t="s">
        <v>18</v>
      </c>
      <c r="D5579" t="s">
        <v>9641</v>
      </c>
      <c r="E5579" t="s">
        <v>9642</v>
      </c>
      <c r="F5579" t="s">
        <v>78</v>
      </c>
      <c r="G5579" t="s">
        <v>17</v>
      </c>
      <c r="I5579" t="b">
        <v>0</v>
      </c>
      <c r="J5579" t="b">
        <v>0</v>
      </c>
      <c r="L5579" t="b">
        <v>0</v>
      </c>
    </row>
    <row r="5581" spans="1:25" x14ac:dyDescent="0.2">
      <c r="A5581" s="2">
        <v>336</v>
      </c>
      <c r="B5581" s="2" t="s">
        <v>9643</v>
      </c>
      <c r="C5581" s="2" t="s">
        <v>13</v>
      </c>
      <c r="D5581" s="2" t="s">
        <v>9644</v>
      </c>
      <c r="E5581" s="2" t="s">
        <v>9645</v>
      </c>
      <c r="F5581" s="2" t="s">
        <v>1404</v>
      </c>
      <c r="G5581" s="2" t="s">
        <v>17</v>
      </c>
      <c r="H5581" s="2"/>
      <c r="I5581" s="2"/>
      <c r="J5581" s="2"/>
      <c r="K5581" s="2"/>
      <c r="L5581" s="2"/>
      <c r="M5581" s="2"/>
      <c r="N5581" s="2"/>
      <c r="O5581" s="2"/>
      <c r="P5581" s="2"/>
      <c r="Q5581" s="2"/>
      <c r="R5581" s="2"/>
      <c r="S5581" s="2"/>
      <c r="T5581" s="2"/>
      <c r="U5581" s="2"/>
      <c r="V5581" s="2"/>
      <c r="W5581" s="2"/>
      <c r="X5581" s="2"/>
      <c r="Y5581" s="2"/>
    </row>
    <row r="5582" spans="1:25" x14ac:dyDescent="0.2">
      <c r="A5582">
        <v>337</v>
      </c>
      <c r="B5582" t="s">
        <v>9643</v>
      </c>
      <c r="C5582" t="s">
        <v>18</v>
      </c>
      <c r="D5582" t="s">
        <v>9644</v>
      </c>
      <c r="E5582" t="s">
        <v>3058</v>
      </c>
      <c r="F5582" t="s">
        <v>1404</v>
      </c>
      <c r="G5582" t="s">
        <v>17</v>
      </c>
      <c r="I5582" t="b">
        <v>1</v>
      </c>
      <c r="J5582" t="b">
        <v>1</v>
      </c>
      <c r="L5582" t="b">
        <v>1</v>
      </c>
      <c r="M5582" t="str">
        <f>HYPERLINK("https://arizona.app.box.com/file/389256390905")</f>
        <v>https://arizona.app.box.com/file/389256390905</v>
      </c>
      <c r="N5582" t="str">
        <f>HYPERLINK("https://arizona.app.box.com/file/389162373035")</f>
        <v>https://arizona.app.box.com/file/389162373035</v>
      </c>
    </row>
    <row r="5583" spans="1:25" x14ac:dyDescent="0.2">
      <c r="A5583">
        <v>338</v>
      </c>
      <c r="B5583" t="s">
        <v>9643</v>
      </c>
      <c r="C5583" t="s">
        <v>18</v>
      </c>
      <c r="D5583" t="s">
        <v>9646</v>
      </c>
      <c r="E5583" t="s">
        <v>1442</v>
      </c>
      <c r="F5583" t="s">
        <v>1404</v>
      </c>
      <c r="G5583" t="s">
        <v>17</v>
      </c>
      <c r="I5583" t="b">
        <v>1</v>
      </c>
      <c r="J5583" t="b">
        <v>1</v>
      </c>
      <c r="L5583" t="b">
        <v>1</v>
      </c>
      <c r="M5583" t="str">
        <f>HYPERLINK("https://arizona.app.box.com/file/389261703548")</f>
        <v>https://arizona.app.box.com/file/389261703548</v>
      </c>
      <c r="N5583" t="str">
        <f>HYPERLINK("https://arizona.app.box.com/file/389161520748")</f>
        <v>https://arizona.app.box.com/file/389161520748</v>
      </c>
    </row>
    <row r="5584" spans="1:25" x14ac:dyDescent="0.2">
      <c r="A5584">
        <v>339</v>
      </c>
      <c r="B5584" t="s">
        <v>9643</v>
      </c>
      <c r="C5584" t="s">
        <v>18</v>
      </c>
      <c r="D5584" t="s">
        <v>9150</v>
      </c>
      <c r="E5584" t="s">
        <v>4302</v>
      </c>
      <c r="F5584" t="s">
        <v>78</v>
      </c>
      <c r="G5584" t="s">
        <v>130</v>
      </c>
      <c r="I5584" t="b">
        <v>0</v>
      </c>
      <c r="J5584" t="b">
        <v>0</v>
      </c>
      <c r="L5584" t="b">
        <v>0</v>
      </c>
      <c r="M5584" t="str">
        <f>HYPERLINK("https://arizona.app.box.com/file/389258531892")</f>
        <v>https://arizona.app.box.com/file/389258531892</v>
      </c>
      <c r="N5584" t="str">
        <f>HYPERLINK("https://arizona.app.box.com/file/389152011246")</f>
        <v>https://arizona.app.box.com/file/389152011246</v>
      </c>
    </row>
    <row r="5585" spans="1:25" x14ac:dyDescent="0.2">
      <c r="A5585">
        <v>340</v>
      </c>
      <c r="B5585" t="s">
        <v>9643</v>
      </c>
      <c r="C5585" t="s">
        <v>18</v>
      </c>
      <c r="D5585" t="s">
        <v>9647</v>
      </c>
      <c r="E5585" t="s">
        <v>9648</v>
      </c>
      <c r="F5585" t="s">
        <v>1010</v>
      </c>
      <c r="G5585" t="s">
        <v>17</v>
      </c>
      <c r="I5585" t="b">
        <v>0</v>
      </c>
      <c r="J5585" t="b">
        <v>0</v>
      </c>
      <c r="L5585" t="b">
        <v>0</v>
      </c>
      <c r="M5585" t="str">
        <f>HYPERLINK("https://arizona.app.box.com/file/389151192638")</f>
        <v>https://arizona.app.box.com/file/389151192638</v>
      </c>
    </row>
    <row r="5586" spans="1:25" x14ac:dyDescent="0.2">
      <c r="A5586">
        <v>341</v>
      </c>
      <c r="B5586" t="s">
        <v>9643</v>
      </c>
      <c r="C5586" t="s">
        <v>18</v>
      </c>
      <c r="D5586" t="s">
        <v>9649</v>
      </c>
      <c r="E5586" t="s">
        <v>3263</v>
      </c>
      <c r="F5586" t="s">
        <v>2343</v>
      </c>
      <c r="G5586" t="s">
        <v>88</v>
      </c>
      <c r="I5586" t="b">
        <v>0</v>
      </c>
      <c r="J5586" t="b">
        <v>0</v>
      </c>
      <c r="L5586" t="b">
        <v>0</v>
      </c>
      <c r="M5586" t="str">
        <f>HYPERLINK("https://arizona.app.box.com/file/389266859902")</f>
        <v>https://arizona.app.box.com/file/389266859902</v>
      </c>
      <c r="N5586" t="str">
        <f>HYPERLINK("https://arizona.app.box.com/file/389164303092")</f>
        <v>https://arizona.app.box.com/file/389164303092</v>
      </c>
    </row>
    <row r="5588" spans="1:25" x14ac:dyDescent="0.2">
      <c r="A5588" s="2">
        <v>1988</v>
      </c>
      <c r="B5588" s="2" t="s">
        <v>9650</v>
      </c>
      <c r="C5588" s="2" t="s">
        <v>13</v>
      </c>
      <c r="D5588" s="2" t="s">
        <v>9651</v>
      </c>
      <c r="E5588" s="2" t="s">
        <v>9652</v>
      </c>
      <c r="F5588" s="2" t="s">
        <v>78</v>
      </c>
      <c r="G5588" s="2" t="s">
        <v>32</v>
      </c>
      <c r="H5588" s="2"/>
      <c r="I5588" s="2"/>
      <c r="J5588" s="2"/>
      <c r="K5588" s="2"/>
      <c r="L5588" s="2"/>
      <c r="M5588" s="2"/>
      <c r="N5588" s="2"/>
      <c r="O5588" s="2"/>
      <c r="P5588" s="2"/>
      <c r="Q5588" s="2"/>
      <c r="R5588" s="2"/>
      <c r="S5588" s="2"/>
      <c r="T5588" s="2"/>
      <c r="U5588" s="2"/>
      <c r="V5588" s="2"/>
      <c r="W5588" s="2"/>
      <c r="X5588" s="2"/>
      <c r="Y5588" s="2"/>
    </row>
    <row r="5589" spans="1:25" x14ac:dyDescent="0.2">
      <c r="A5589">
        <v>1989</v>
      </c>
      <c r="B5589" t="s">
        <v>9650</v>
      </c>
      <c r="C5589" t="s">
        <v>18</v>
      </c>
      <c r="D5589" t="s">
        <v>9653</v>
      </c>
      <c r="E5589" t="s">
        <v>9654</v>
      </c>
      <c r="F5589" t="s">
        <v>78</v>
      </c>
      <c r="G5589" t="s">
        <v>32</v>
      </c>
      <c r="I5589" t="b">
        <v>1</v>
      </c>
      <c r="J5589" t="b">
        <v>1</v>
      </c>
      <c r="L5589" t="b">
        <v>1</v>
      </c>
      <c r="M5589" t="str">
        <f>HYPERLINK("https://arizona.app.box.com/file/386228061809")</f>
        <v>https://arizona.app.box.com/file/386228061809</v>
      </c>
      <c r="N5589" t="str">
        <f>HYPERLINK("https://arizona.app.box.com/file/386238069458")</f>
        <v>https://arizona.app.box.com/file/386238069458</v>
      </c>
      <c r="O5589" t="str">
        <f>HYPERLINK("https://arizona.app.box.com/file/389182920785")</f>
        <v>https://arizona.app.box.com/file/389182920785</v>
      </c>
      <c r="P5589" t="str">
        <f>HYPERLINK("https://arizona.app.box.com/file/386217349536")</f>
        <v>https://arizona.app.box.com/file/386217349536</v>
      </c>
    </row>
    <row r="5590" spans="1:25" x14ac:dyDescent="0.2">
      <c r="A5590">
        <v>1990</v>
      </c>
      <c r="B5590" t="s">
        <v>9650</v>
      </c>
      <c r="C5590" t="s">
        <v>18</v>
      </c>
      <c r="D5590" t="s">
        <v>9655</v>
      </c>
      <c r="E5590" t="s">
        <v>9656</v>
      </c>
      <c r="F5590" t="s">
        <v>78</v>
      </c>
      <c r="G5590" t="s">
        <v>24</v>
      </c>
      <c r="I5590" t="b">
        <v>0</v>
      </c>
      <c r="J5590" t="b">
        <v>0</v>
      </c>
      <c r="L5590" t="b">
        <v>0</v>
      </c>
      <c r="M5590" t="str">
        <f>HYPERLINK("https://arizona.app.box.com/file/386240681828")</f>
        <v>https://arizona.app.box.com/file/386240681828</v>
      </c>
    </row>
    <row r="5591" spans="1:25" x14ac:dyDescent="0.2">
      <c r="A5591">
        <v>1991</v>
      </c>
      <c r="B5591" t="s">
        <v>9650</v>
      </c>
      <c r="C5591" t="s">
        <v>18</v>
      </c>
      <c r="D5591" t="s">
        <v>166</v>
      </c>
      <c r="E5591" t="s">
        <v>167</v>
      </c>
      <c r="F5591" t="s">
        <v>168</v>
      </c>
      <c r="G5591" t="s">
        <v>24</v>
      </c>
      <c r="I5591" t="b">
        <v>0</v>
      </c>
      <c r="J5591" t="b">
        <v>0</v>
      </c>
      <c r="L5591" t="b">
        <v>0</v>
      </c>
      <c r="M5591" t="str">
        <f>HYPERLINK("https://arizona.app.box.com/file/389170381266")</f>
        <v>https://arizona.app.box.com/file/389170381266</v>
      </c>
      <c r="N5591" t="str">
        <f>HYPERLINK("https://arizona.app.box.com/file/386216367225")</f>
        <v>https://arizona.app.box.com/file/386216367225</v>
      </c>
    </row>
    <row r="5592" spans="1:25" x14ac:dyDescent="0.2">
      <c r="A5592">
        <v>1992</v>
      </c>
      <c r="B5592" t="s">
        <v>9650</v>
      </c>
      <c r="C5592" t="s">
        <v>18</v>
      </c>
      <c r="D5592" t="s">
        <v>1062</v>
      </c>
      <c r="E5592" t="s">
        <v>1063</v>
      </c>
      <c r="F5592" t="s">
        <v>159</v>
      </c>
      <c r="G5592" t="s">
        <v>32</v>
      </c>
      <c r="I5592" t="b">
        <v>0</v>
      </c>
      <c r="J5592" t="b">
        <v>0</v>
      </c>
      <c r="L5592" t="b">
        <v>0</v>
      </c>
      <c r="M5592" t="str">
        <f>HYPERLINK("https://arizona.app.box.com/file/389173873603")</f>
        <v>https://arizona.app.box.com/file/389173873603</v>
      </c>
    </row>
    <row r="5593" spans="1:25" x14ac:dyDescent="0.2">
      <c r="A5593">
        <v>1993</v>
      </c>
      <c r="B5593" t="s">
        <v>9650</v>
      </c>
      <c r="C5593" t="s">
        <v>18</v>
      </c>
      <c r="D5593" t="s">
        <v>4186</v>
      </c>
      <c r="E5593" t="s">
        <v>1202</v>
      </c>
      <c r="F5593" t="s">
        <v>159</v>
      </c>
      <c r="G5593" t="s">
        <v>32</v>
      </c>
      <c r="I5593" t="b">
        <v>0</v>
      </c>
      <c r="J5593" t="b">
        <v>0</v>
      </c>
      <c r="L5593" t="b">
        <v>0</v>
      </c>
      <c r="M5593" t="str">
        <f>HYPERLINK("https://arizona.app.box.com/file/389265067004")</f>
        <v>https://arizona.app.box.com/file/389265067004</v>
      </c>
      <c r="N5593" t="str">
        <f>HYPERLINK("https://arizona.app.box.com/file/389167635134")</f>
        <v>https://arizona.app.box.com/file/389167635134</v>
      </c>
    </row>
    <row r="5595" spans="1:25" x14ac:dyDescent="0.2">
      <c r="A5595" s="2">
        <v>6587</v>
      </c>
      <c r="B5595" s="2" t="s">
        <v>9657</v>
      </c>
      <c r="C5595" s="2" t="s">
        <v>13</v>
      </c>
      <c r="D5595" s="2" t="s">
        <v>9658</v>
      </c>
      <c r="E5595" s="2" t="s">
        <v>9659</v>
      </c>
      <c r="F5595" s="2" t="s">
        <v>369</v>
      </c>
      <c r="G5595" s="2" t="s">
        <v>17</v>
      </c>
      <c r="H5595" s="2"/>
      <c r="I5595" s="2"/>
      <c r="J5595" s="2"/>
      <c r="K5595" s="2"/>
      <c r="L5595" s="2"/>
      <c r="M5595" s="2"/>
      <c r="N5595" s="2"/>
      <c r="O5595" s="2"/>
      <c r="P5595" s="2"/>
      <c r="Q5595" s="2"/>
      <c r="R5595" s="2"/>
      <c r="S5595" s="2"/>
      <c r="T5595" s="2"/>
      <c r="U5595" s="2"/>
      <c r="V5595" s="2"/>
      <c r="W5595" s="2"/>
      <c r="X5595" s="2"/>
      <c r="Y5595" s="2"/>
    </row>
    <row r="5596" spans="1:25" x14ac:dyDescent="0.2">
      <c r="A5596">
        <v>6588</v>
      </c>
      <c r="B5596" t="s">
        <v>9657</v>
      </c>
      <c r="C5596" t="s">
        <v>18</v>
      </c>
      <c r="D5596" t="s">
        <v>8490</v>
      </c>
      <c r="E5596" t="s">
        <v>1264</v>
      </c>
      <c r="F5596" t="s">
        <v>369</v>
      </c>
      <c r="G5596" t="s">
        <v>17</v>
      </c>
      <c r="I5596" t="b">
        <v>0</v>
      </c>
      <c r="J5596" t="b">
        <v>0</v>
      </c>
      <c r="L5596" t="b">
        <v>0</v>
      </c>
      <c r="M5596" t="str">
        <f>HYPERLINK("https://arizona.app.box.com/file/389154414218")</f>
        <v>https://arizona.app.box.com/file/389154414218</v>
      </c>
    </row>
    <row r="5597" spans="1:25" x14ac:dyDescent="0.2">
      <c r="A5597">
        <v>6589</v>
      </c>
      <c r="B5597" t="s">
        <v>9657</v>
      </c>
      <c r="C5597" t="s">
        <v>18</v>
      </c>
      <c r="D5597" t="s">
        <v>8493</v>
      </c>
      <c r="E5597" t="s">
        <v>3049</v>
      </c>
      <c r="F5597" t="s">
        <v>616</v>
      </c>
      <c r="G5597" t="s">
        <v>345</v>
      </c>
      <c r="I5597" t="b">
        <v>0</v>
      </c>
      <c r="J5597" t="b">
        <v>0</v>
      </c>
      <c r="L5597" t="b">
        <v>0</v>
      </c>
      <c r="M5597" t="str">
        <f>HYPERLINK("https://arizona.app.box.com/file/389260945456")</f>
        <v>https://arizona.app.box.com/file/389260945456</v>
      </c>
      <c r="N5597" t="str">
        <f>HYPERLINK("https://arizona.app.box.com/file/389153346295")</f>
        <v>https://arizona.app.box.com/file/389153346295</v>
      </c>
    </row>
    <row r="5598" spans="1:25" x14ac:dyDescent="0.2">
      <c r="A5598">
        <v>6590</v>
      </c>
      <c r="B5598" t="s">
        <v>9657</v>
      </c>
      <c r="C5598" t="s">
        <v>18</v>
      </c>
      <c r="D5598" t="s">
        <v>9660</v>
      </c>
      <c r="E5598" t="s">
        <v>9661</v>
      </c>
      <c r="F5598" t="s">
        <v>369</v>
      </c>
      <c r="G5598" t="s">
        <v>17</v>
      </c>
      <c r="I5598" t="b">
        <v>0</v>
      </c>
      <c r="J5598" t="b">
        <v>0</v>
      </c>
      <c r="L5598" t="b">
        <v>0</v>
      </c>
    </row>
    <row r="5599" spans="1:25" x14ac:dyDescent="0.2">
      <c r="A5599">
        <v>6591</v>
      </c>
      <c r="B5599" t="s">
        <v>9657</v>
      </c>
      <c r="C5599" t="s">
        <v>18</v>
      </c>
      <c r="D5599" t="s">
        <v>8495</v>
      </c>
      <c r="E5599" t="s">
        <v>4097</v>
      </c>
      <c r="F5599" t="s">
        <v>670</v>
      </c>
      <c r="G5599" t="s">
        <v>134</v>
      </c>
      <c r="I5599" t="b">
        <v>0</v>
      </c>
      <c r="J5599" t="b">
        <v>0</v>
      </c>
      <c r="L5599" t="b">
        <v>0</v>
      </c>
      <c r="M5599" t="str">
        <f>HYPERLINK("https://arizona.app.box.com/file/389256927534")</f>
        <v>https://arizona.app.box.com/file/389256927534</v>
      </c>
      <c r="N5599" t="str">
        <f>HYPERLINK("https://arizona.app.box.com/file/389167070484")</f>
        <v>https://arizona.app.box.com/file/389167070484</v>
      </c>
    </row>
    <row r="5600" spans="1:25" x14ac:dyDescent="0.2">
      <c r="A5600">
        <v>6592</v>
      </c>
      <c r="B5600" t="s">
        <v>9657</v>
      </c>
      <c r="C5600" t="s">
        <v>18</v>
      </c>
      <c r="D5600" t="s">
        <v>9662</v>
      </c>
      <c r="E5600" t="s">
        <v>9663</v>
      </c>
      <c r="F5600" t="s">
        <v>369</v>
      </c>
      <c r="G5600" t="s">
        <v>17</v>
      </c>
      <c r="I5600" t="b">
        <v>0</v>
      </c>
      <c r="J5600" t="b">
        <v>0</v>
      </c>
      <c r="L5600" t="b">
        <v>0</v>
      </c>
    </row>
    <row r="5602" spans="1:25" x14ac:dyDescent="0.2">
      <c r="A5602" s="2">
        <v>4655</v>
      </c>
      <c r="B5602" s="2" t="s">
        <v>9664</v>
      </c>
      <c r="C5602" s="2" t="s">
        <v>13</v>
      </c>
      <c r="D5602" s="2" t="s">
        <v>9665</v>
      </c>
      <c r="E5602" s="2" t="s">
        <v>9666</v>
      </c>
      <c r="F5602" s="2" t="s">
        <v>952</v>
      </c>
      <c r="G5602" s="2" t="s">
        <v>252</v>
      </c>
      <c r="H5602" s="2"/>
      <c r="I5602" s="2"/>
      <c r="J5602" s="2"/>
      <c r="K5602" s="2"/>
      <c r="L5602" s="2"/>
      <c r="M5602" s="2"/>
      <c r="N5602" s="2"/>
      <c r="O5602" s="2"/>
      <c r="P5602" s="2"/>
      <c r="Q5602" s="2"/>
      <c r="R5602" s="2"/>
      <c r="S5602" s="2"/>
      <c r="T5602" s="2"/>
      <c r="U5602" s="2"/>
      <c r="V5602" s="2"/>
      <c r="W5602" s="2"/>
      <c r="X5602" s="2"/>
      <c r="Y5602" s="2"/>
    </row>
    <row r="5603" spans="1:25" x14ac:dyDescent="0.2">
      <c r="A5603">
        <v>4656</v>
      </c>
      <c r="B5603" t="s">
        <v>9664</v>
      </c>
      <c r="C5603" t="s">
        <v>18</v>
      </c>
      <c r="D5603" t="s">
        <v>9665</v>
      </c>
      <c r="E5603" t="s">
        <v>9666</v>
      </c>
      <c r="F5603" t="s">
        <v>952</v>
      </c>
      <c r="G5603" t="s">
        <v>252</v>
      </c>
      <c r="I5603" t="b">
        <v>1</v>
      </c>
      <c r="J5603" t="b">
        <v>1</v>
      </c>
      <c r="L5603" t="b">
        <v>1</v>
      </c>
      <c r="M5603" t="str">
        <f>HYPERLINK("https://arizona.app.box.com/file/386249793039")</f>
        <v>https://arizona.app.box.com/file/386249793039</v>
      </c>
      <c r="N5603" t="str">
        <f>HYPERLINK("https://arizona.app.box.com/file/386242940739")</f>
        <v>https://arizona.app.box.com/file/386242940739</v>
      </c>
    </row>
    <row r="5604" spans="1:25" x14ac:dyDescent="0.2">
      <c r="A5604">
        <v>4657</v>
      </c>
      <c r="B5604" t="s">
        <v>9664</v>
      </c>
      <c r="C5604" t="s">
        <v>18</v>
      </c>
      <c r="D5604" t="s">
        <v>1664</v>
      </c>
      <c r="E5604" t="s">
        <v>1665</v>
      </c>
      <c r="F5604" t="s">
        <v>952</v>
      </c>
      <c r="G5604" t="s">
        <v>252</v>
      </c>
      <c r="I5604" t="b">
        <v>0</v>
      </c>
      <c r="J5604" t="b">
        <v>0</v>
      </c>
      <c r="L5604" t="b">
        <v>0</v>
      </c>
      <c r="M5604" t="str">
        <f>HYPERLINK("https://arizona.app.box.com/file/386246630205")</f>
        <v>https://arizona.app.box.com/file/386246630205</v>
      </c>
      <c r="N5604" t="str">
        <f>HYPERLINK("https://arizona.app.box.com/file/386242300577")</f>
        <v>https://arizona.app.box.com/file/386242300577</v>
      </c>
    </row>
    <row r="5605" spans="1:25" x14ac:dyDescent="0.2">
      <c r="A5605">
        <v>4658</v>
      </c>
      <c r="B5605" t="s">
        <v>9664</v>
      </c>
      <c r="C5605" t="s">
        <v>18</v>
      </c>
      <c r="D5605" t="s">
        <v>3322</v>
      </c>
      <c r="E5605" t="s">
        <v>3323</v>
      </c>
      <c r="F5605" t="s">
        <v>952</v>
      </c>
      <c r="G5605" t="s">
        <v>3324</v>
      </c>
      <c r="I5605" t="b">
        <v>0</v>
      </c>
      <c r="J5605" t="b">
        <v>0</v>
      </c>
      <c r="L5605" t="b">
        <v>0</v>
      </c>
      <c r="M5605" t="str">
        <f>HYPERLINK("https://arizona.app.box.com/file/389174500891")</f>
        <v>https://arizona.app.box.com/file/389174500891</v>
      </c>
      <c r="N5605" t="str">
        <f>HYPERLINK("https://arizona.app.box.com/file/386244745272")</f>
        <v>https://arizona.app.box.com/file/386244745272</v>
      </c>
      <c r="O5605" t="str">
        <f>HYPERLINK("https://arizona.app.box.com/file/389168250359")</f>
        <v>https://arizona.app.box.com/file/389168250359</v>
      </c>
      <c r="P5605" t="str">
        <f>HYPERLINK("https://arizona.app.box.com/file/386238050209")</f>
        <v>https://arizona.app.box.com/file/386238050209</v>
      </c>
    </row>
    <row r="5606" spans="1:25" x14ac:dyDescent="0.2">
      <c r="A5606">
        <v>4659</v>
      </c>
      <c r="B5606" t="s">
        <v>9664</v>
      </c>
      <c r="C5606" t="s">
        <v>18</v>
      </c>
      <c r="D5606" t="s">
        <v>9667</v>
      </c>
      <c r="E5606" t="s">
        <v>9668</v>
      </c>
      <c r="F5606" t="s">
        <v>122</v>
      </c>
      <c r="G5606" t="s">
        <v>4192</v>
      </c>
      <c r="I5606" t="b">
        <v>0</v>
      </c>
      <c r="J5606" t="b">
        <v>0</v>
      </c>
      <c r="L5606" t="b">
        <v>0</v>
      </c>
      <c r="M5606" t="str">
        <f>HYPERLINK("https://arizona.app.box.com/file/386240005408")</f>
        <v>https://arizona.app.box.com/file/386240005408</v>
      </c>
      <c r="N5606" t="str">
        <f>HYPERLINK("https://arizona.app.box.com/file/386242972066")</f>
        <v>https://arizona.app.box.com/file/386242972066</v>
      </c>
    </row>
    <row r="5607" spans="1:25" x14ac:dyDescent="0.2">
      <c r="A5607">
        <v>4660</v>
      </c>
      <c r="B5607" t="s">
        <v>9664</v>
      </c>
      <c r="C5607" t="s">
        <v>18</v>
      </c>
      <c r="D5607" t="s">
        <v>1156</v>
      </c>
      <c r="E5607" t="s">
        <v>1157</v>
      </c>
      <c r="F5607" t="s">
        <v>952</v>
      </c>
      <c r="G5607" t="s">
        <v>252</v>
      </c>
      <c r="I5607" t="b">
        <v>0</v>
      </c>
      <c r="J5607" t="b">
        <v>0</v>
      </c>
      <c r="L5607" t="b">
        <v>0</v>
      </c>
      <c r="M5607" t="str">
        <f>HYPERLINK("https://arizona.app.box.com/file/386242409113")</f>
        <v>https://arizona.app.box.com/file/386242409113</v>
      </c>
      <c r="N5607" t="str">
        <f>HYPERLINK("https://arizona.app.box.com/file/386241906757")</f>
        <v>https://arizona.app.box.com/file/386241906757</v>
      </c>
    </row>
    <row r="5609" spans="1:25" x14ac:dyDescent="0.2">
      <c r="A5609" s="2">
        <v>3745</v>
      </c>
      <c r="B5609" s="2" t="s">
        <v>9669</v>
      </c>
      <c r="C5609" s="2" t="s">
        <v>13</v>
      </c>
      <c r="D5609" s="2" t="s">
        <v>9670</v>
      </c>
      <c r="E5609" s="2" t="s">
        <v>9671</v>
      </c>
      <c r="F5609" s="2" t="s">
        <v>369</v>
      </c>
      <c r="G5609" s="2" t="s">
        <v>24</v>
      </c>
      <c r="H5609" s="2"/>
      <c r="I5609" s="2"/>
      <c r="J5609" s="2"/>
      <c r="K5609" s="2"/>
      <c r="L5609" s="2"/>
      <c r="M5609" s="2"/>
      <c r="N5609" s="2"/>
      <c r="O5609" s="2"/>
      <c r="P5609" s="2"/>
      <c r="Q5609" s="2"/>
      <c r="R5609" s="2"/>
      <c r="S5609" s="2"/>
      <c r="T5609" s="2"/>
      <c r="U5609" s="2"/>
      <c r="V5609" s="2"/>
      <c r="W5609" s="2"/>
      <c r="X5609" s="2"/>
      <c r="Y5609" s="2"/>
    </row>
    <row r="5610" spans="1:25" x14ac:dyDescent="0.2">
      <c r="A5610">
        <v>3746</v>
      </c>
      <c r="B5610" t="s">
        <v>9669</v>
      </c>
      <c r="C5610" t="s">
        <v>18</v>
      </c>
      <c r="D5610" t="s">
        <v>9672</v>
      </c>
      <c r="E5610" t="s">
        <v>407</v>
      </c>
      <c r="F5610" t="s">
        <v>369</v>
      </c>
      <c r="G5610" t="s">
        <v>24</v>
      </c>
      <c r="I5610" t="b">
        <v>1</v>
      </c>
      <c r="J5610" t="b">
        <v>1</v>
      </c>
      <c r="L5610" t="b">
        <v>1</v>
      </c>
    </row>
    <row r="5611" spans="1:25" x14ac:dyDescent="0.2">
      <c r="A5611">
        <v>3747</v>
      </c>
      <c r="B5611" t="s">
        <v>9669</v>
      </c>
      <c r="C5611" t="s">
        <v>18</v>
      </c>
      <c r="D5611" t="s">
        <v>9673</v>
      </c>
      <c r="E5611" t="s">
        <v>2673</v>
      </c>
      <c r="F5611" t="s">
        <v>369</v>
      </c>
      <c r="G5611" t="s">
        <v>24</v>
      </c>
      <c r="I5611" t="b">
        <v>1</v>
      </c>
      <c r="J5611" t="b">
        <v>1</v>
      </c>
      <c r="L5611" t="b">
        <v>1</v>
      </c>
      <c r="M5611" t="str">
        <f>HYPERLINK("https://arizona.app.box.com/file/386227390209")</f>
        <v>https://arizona.app.box.com/file/386227390209</v>
      </c>
    </row>
    <row r="5612" spans="1:25" x14ac:dyDescent="0.2">
      <c r="A5612">
        <v>3748</v>
      </c>
      <c r="B5612" t="s">
        <v>9669</v>
      </c>
      <c r="C5612" t="s">
        <v>18</v>
      </c>
      <c r="D5612" t="s">
        <v>9674</v>
      </c>
      <c r="E5612" t="s">
        <v>9675</v>
      </c>
      <c r="F5612" t="s">
        <v>369</v>
      </c>
      <c r="G5612" t="s">
        <v>24</v>
      </c>
      <c r="I5612" t="b">
        <v>0</v>
      </c>
      <c r="J5612" t="b">
        <v>0</v>
      </c>
      <c r="L5612" t="b">
        <v>0</v>
      </c>
    </row>
    <row r="5613" spans="1:25" x14ac:dyDescent="0.2">
      <c r="A5613">
        <v>3749</v>
      </c>
      <c r="B5613" t="s">
        <v>9669</v>
      </c>
      <c r="C5613" t="s">
        <v>18</v>
      </c>
      <c r="D5613" t="s">
        <v>9676</v>
      </c>
      <c r="E5613" t="s">
        <v>9677</v>
      </c>
      <c r="F5613" t="s">
        <v>369</v>
      </c>
      <c r="G5613" t="s">
        <v>17</v>
      </c>
      <c r="I5613" t="b">
        <v>0</v>
      </c>
      <c r="J5613" t="b">
        <v>0</v>
      </c>
      <c r="L5613" t="b">
        <v>0</v>
      </c>
    </row>
    <row r="5614" spans="1:25" x14ac:dyDescent="0.2">
      <c r="A5614">
        <v>3750</v>
      </c>
      <c r="B5614" t="s">
        <v>9669</v>
      </c>
      <c r="C5614" t="s">
        <v>18</v>
      </c>
      <c r="D5614" t="s">
        <v>5843</v>
      </c>
      <c r="E5614" t="s">
        <v>5844</v>
      </c>
      <c r="F5614" t="s">
        <v>31</v>
      </c>
      <c r="G5614" t="s">
        <v>24</v>
      </c>
      <c r="I5614" t="b">
        <v>0</v>
      </c>
      <c r="J5614" t="b">
        <v>0</v>
      </c>
      <c r="L5614" t="b">
        <v>0</v>
      </c>
      <c r="M5614" t="str">
        <f>HYPERLINK("https://arizona.app.box.com/file/389264154696")</f>
        <v>https://arizona.app.box.com/file/389264154696</v>
      </c>
      <c r="N5614" t="str">
        <f>HYPERLINK("https://arizona.app.box.com/file/389164382901")</f>
        <v>https://arizona.app.box.com/file/389164382901</v>
      </c>
    </row>
    <row r="5616" spans="1:25" x14ac:dyDescent="0.2">
      <c r="A5616" s="2">
        <v>7504</v>
      </c>
      <c r="B5616" s="2" t="s">
        <v>9678</v>
      </c>
      <c r="C5616" s="2" t="s">
        <v>13</v>
      </c>
      <c r="D5616" s="2" t="s">
        <v>1329</v>
      </c>
      <c r="E5616" s="2" t="s">
        <v>9679</v>
      </c>
      <c r="F5616" s="2" t="s">
        <v>369</v>
      </c>
      <c r="G5616" s="2" t="s">
        <v>17</v>
      </c>
      <c r="H5616" s="2"/>
      <c r="I5616" s="2"/>
      <c r="J5616" s="2"/>
      <c r="K5616" s="2"/>
      <c r="L5616" s="2"/>
      <c r="M5616" s="2"/>
      <c r="N5616" s="2"/>
      <c r="O5616" s="2"/>
      <c r="P5616" s="2"/>
      <c r="Q5616" s="2"/>
      <c r="R5616" s="2"/>
      <c r="S5616" s="2"/>
      <c r="T5616" s="2"/>
      <c r="U5616" s="2"/>
      <c r="V5616" s="2"/>
      <c r="W5616" s="2"/>
      <c r="X5616" s="2"/>
      <c r="Y5616" s="2"/>
    </row>
    <row r="5617" spans="1:25" x14ac:dyDescent="0.2">
      <c r="A5617">
        <v>7505</v>
      </c>
      <c r="B5617" t="s">
        <v>9678</v>
      </c>
      <c r="C5617" t="s">
        <v>18</v>
      </c>
      <c r="D5617" t="s">
        <v>1329</v>
      </c>
      <c r="E5617" t="s">
        <v>1330</v>
      </c>
      <c r="F5617" t="s">
        <v>369</v>
      </c>
      <c r="G5617" t="s">
        <v>17</v>
      </c>
      <c r="I5617" t="b">
        <v>1</v>
      </c>
      <c r="J5617" t="b">
        <v>1</v>
      </c>
      <c r="L5617" t="b">
        <v>1</v>
      </c>
      <c r="M5617" t="str">
        <f>HYPERLINK("https://arizona.app.box.com/file/389168126825")</f>
        <v>https://arizona.app.box.com/file/389168126825</v>
      </c>
      <c r="N5617" t="str">
        <f>HYPERLINK("https://arizona.app.box.com/file/386244367824")</f>
        <v>https://arizona.app.box.com/file/386244367824</v>
      </c>
    </row>
    <row r="5618" spans="1:25" x14ac:dyDescent="0.2">
      <c r="A5618">
        <v>7506</v>
      </c>
      <c r="B5618" t="s">
        <v>9678</v>
      </c>
      <c r="C5618" t="s">
        <v>18</v>
      </c>
      <c r="D5618" t="s">
        <v>1325</v>
      </c>
      <c r="E5618" t="s">
        <v>1326</v>
      </c>
      <c r="F5618" t="s">
        <v>174</v>
      </c>
      <c r="G5618" t="s">
        <v>17</v>
      </c>
      <c r="I5618" t="b">
        <v>0</v>
      </c>
      <c r="J5618" t="b">
        <v>0</v>
      </c>
      <c r="L5618" t="b">
        <v>0</v>
      </c>
      <c r="M5618" t="str">
        <f>HYPERLINK("https://arizona.app.box.com/file/389170151327")</f>
        <v>https://arizona.app.box.com/file/389170151327</v>
      </c>
      <c r="N5618" t="str">
        <f>HYPERLINK("https://arizona.app.box.com/file/386237581247")</f>
        <v>https://arizona.app.box.com/file/386237581247</v>
      </c>
    </row>
    <row r="5619" spans="1:25" x14ac:dyDescent="0.2">
      <c r="A5619">
        <v>7507</v>
      </c>
      <c r="B5619" t="s">
        <v>9678</v>
      </c>
      <c r="C5619" t="s">
        <v>18</v>
      </c>
      <c r="D5619" t="s">
        <v>5568</v>
      </c>
      <c r="E5619" t="s">
        <v>5569</v>
      </c>
      <c r="F5619" t="s">
        <v>168</v>
      </c>
      <c r="G5619" t="s">
        <v>17</v>
      </c>
      <c r="I5619" t="b">
        <v>0</v>
      </c>
      <c r="J5619" t="b">
        <v>0</v>
      </c>
      <c r="L5619" t="b">
        <v>0</v>
      </c>
      <c r="M5619" t="str">
        <f>HYPERLINK("https://arizona.app.box.com/file/389267161342")</f>
        <v>https://arizona.app.box.com/file/389267161342</v>
      </c>
      <c r="N5619" t="str">
        <f>HYPERLINK("https://arizona.app.box.com/file/389167073061")</f>
        <v>https://arizona.app.box.com/file/389167073061</v>
      </c>
      <c r="O5619" t="str">
        <f>HYPERLINK("https://arizona.app.box.com/file/389265119737")</f>
        <v>https://arizona.app.box.com/file/389265119737</v>
      </c>
    </row>
    <row r="5620" spans="1:25" x14ac:dyDescent="0.2">
      <c r="A5620">
        <v>7508</v>
      </c>
      <c r="B5620" t="s">
        <v>9678</v>
      </c>
      <c r="C5620" t="s">
        <v>18</v>
      </c>
      <c r="D5620" t="s">
        <v>4218</v>
      </c>
      <c r="E5620" t="s">
        <v>4219</v>
      </c>
      <c r="F5620" t="s">
        <v>31</v>
      </c>
      <c r="G5620" t="s">
        <v>17</v>
      </c>
      <c r="I5620" t="b">
        <v>0</v>
      </c>
      <c r="J5620" t="b">
        <v>0</v>
      </c>
      <c r="L5620" t="b">
        <v>0</v>
      </c>
      <c r="M5620" t="str">
        <f>HYPERLINK("https://arizona.app.box.com/file/389174554307")</f>
        <v>https://arizona.app.box.com/file/389174554307</v>
      </c>
      <c r="N5620" t="str">
        <f>HYPERLINK("https://arizona.app.box.com/file/386244012142")</f>
        <v>https://arizona.app.box.com/file/386244012142</v>
      </c>
      <c r="O5620" t="str">
        <f>HYPERLINK("https://arizona.app.box.com/file/389170584146")</f>
        <v>https://arizona.app.box.com/file/389170584146</v>
      </c>
    </row>
    <row r="5621" spans="1:25" x14ac:dyDescent="0.2">
      <c r="A5621">
        <v>7509</v>
      </c>
      <c r="B5621" t="s">
        <v>9678</v>
      </c>
      <c r="C5621" t="s">
        <v>18</v>
      </c>
      <c r="D5621" t="s">
        <v>9680</v>
      </c>
      <c r="E5621" t="s">
        <v>9681</v>
      </c>
      <c r="F5621" t="s">
        <v>31</v>
      </c>
      <c r="G5621" t="s">
        <v>17</v>
      </c>
      <c r="I5621" t="b">
        <v>0</v>
      </c>
      <c r="J5621" t="b">
        <v>0</v>
      </c>
      <c r="L5621" t="b">
        <v>0</v>
      </c>
      <c r="M5621" t="str">
        <f>HYPERLINK("https://arizona.app.box.com/file/389268420690")</f>
        <v>https://arizona.app.box.com/file/389268420690</v>
      </c>
    </row>
    <row r="5623" spans="1:25" x14ac:dyDescent="0.2">
      <c r="A5623" s="2">
        <v>7441</v>
      </c>
      <c r="B5623" s="2" t="s">
        <v>9682</v>
      </c>
      <c r="C5623" s="2" t="s">
        <v>13</v>
      </c>
      <c r="D5623" s="2" t="s">
        <v>9683</v>
      </c>
      <c r="E5623" s="2" t="s">
        <v>9684</v>
      </c>
      <c r="F5623" s="2" t="s">
        <v>159</v>
      </c>
      <c r="G5623" s="2" t="s">
        <v>1867</v>
      </c>
      <c r="H5623" s="2"/>
      <c r="I5623" s="2"/>
      <c r="J5623" s="2"/>
      <c r="K5623" s="2"/>
      <c r="L5623" s="2"/>
      <c r="M5623" s="2"/>
      <c r="N5623" s="2"/>
      <c r="O5623" s="2"/>
      <c r="P5623" s="2"/>
      <c r="Q5623" s="2"/>
      <c r="R5623" s="2"/>
      <c r="S5623" s="2"/>
      <c r="T5623" s="2"/>
      <c r="U5623" s="2"/>
      <c r="V5623" s="2"/>
      <c r="W5623" s="2"/>
      <c r="X5623" s="2"/>
      <c r="Y5623" s="2"/>
    </row>
    <row r="5624" spans="1:25" x14ac:dyDescent="0.2">
      <c r="A5624">
        <v>7442</v>
      </c>
      <c r="B5624" t="s">
        <v>9682</v>
      </c>
      <c r="C5624" t="s">
        <v>18</v>
      </c>
      <c r="D5624" t="s">
        <v>9685</v>
      </c>
      <c r="E5624" t="s">
        <v>2903</v>
      </c>
      <c r="F5624" t="s">
        <v>248</v>
      </c>
      <c r="G5624" t="s">
        <v>1867</v>
      </c>
      <c r="I5624" t="b">
        <v>0</v>
      </c>
      <c r="J5624" t="b">
        <v>0</v>
      </c>
      <c r="L5624" t="b">
        <v>0</v>
      </c>
      <c r="M5624" t="str">
        <f>HYPERLINK("https://arizona.app.box.com/file/389164007181")</f>
        <v>https://arizona.app.box.com/file/389164007181</v>
      </c>
      <c r="N5624" t="str">
        <f>HYPERLINK("https://arizona.app.box.com/file/386237785594")</f>
        <v>https://arizona.app.box.com/file/386237785594</v>
      </c>
    </row>
    <row r="5625" spans="1:25" x14ac:dyDescent="0.2">
      <c r="A5625">
        <v>7443</v>
      </c>
      <c r="B5625" t="s">
        <v>9682</v>
      </c>
      <c r="C5625" t="s">
        <v>18</v>
      </c>
      <c r="D5625" t="s">
        <v>3578</v>
      </c>
      <c r="E5625" t="s">
        <v>3579</v>
      </c>
      <c r="F5625" t="s">
        <v>159</v>
      </c>
      <c r="G5625" t="s">
        <v>1867</v>
      </c>
      <c r="I5625" t="b">
        <v>0</v>
      </c>
      <c r="J5625" t="b">
        <v>1</v>
      </c>
      <c r="L5625" t="b">
        <v>1</v>
      </c>
      <c r="M5625" t="str">
        <f>HYPERLINK("https://arizona.app.box.com/file/389263275982")</f>
        <v>https://arizona.app.box.com/file/389263275982</v>
      </c>
      <c r="N5625" t="str">
        <f>HYPERLINK("https://arizona.app.box.com/file/389167235075")</f>
        <v>https://arizona.app.box.com/file/389167235075</v>
      </c>
    </row>
    <row r="5626" spans="1:25" x14ac:dyDescent="0.2">
      <c r="A5626">
        <v>7444</v>
      </c>
      <c r="B5626" t="s">
        <v>9682</v>
      </c>
      <c r="C5626" t="s">
        <v>18</v>
      </c>
      <c r="D5626" t="s">
        <v>3548</v>
      </c>
      <c r="E5626" t="s">
        <v>3549</v>
      </c>
      <c r="F5626" t="s">
        <v>248</v>
      </c>
      <c r="G5626" t="s">
        <v>1867</v>
      </c>
      <c r="I5626" t="b">
        <v>0</v>
      </c>
      <c r="J5626" t="b">
        <v>0</v>
      </c>
      <c r="L5626" t="b">
        <v>0</v>
      </c>
      <c r="M5626" t="str">
        <f>HYPERLINK("https://arizona.app.box.com/file/389167105258")</f>
        <v>https://arizona.app.box.com/file/389167105258</v>
      </c>
      <c r="N5626" t="str">
        <f>HYPERLINK("https://arizona.app.box.com/file/386212126032")</f>
        <v>https://arizona.app.box.com/file/386212126032</v>
      </c>
    </row>
    <row r="5627" spans="1:25" x14ac:dyDescent="0.2">
      <c r="A5627">
        <v>7445</v>
      </c>
      <c r="B5627" t="s">
        <v>9682</v>
      </c>
      <c r="C5627" t="s">
        <v>18</v>
      </c>
      <c r="D5627" t="s">
        <v>3574</v>
      </c>
      <c r="E5627" t="s">
        <v>3575</v>
      </c>
      <c r="F5627" t="s">
        <v>248</v>
      </c>
      <c r="G5627" t="s">
        <v>1867</v>
      </c>
      <c r="I5627" t="b">
        <v>0</v>
      </c>
      <c r="J5627" t="b">
        <v>0</v>
      </c>
      <c r="L5627" t="b">
        <v>0</v>
      </c>
      <c r="M5627" t="str">
        <f>HYPERLINK("https://arizona.app.box.com/file/389172632593")</f>
        <v>https://arizona.app.box.com/file/389172632593</v>
      </c>
      <c r="N5627" t="str">
        <f>HYPERLINK("https://arizona.app.box.com/file/386237671666")</f>
        <v>https://arizona.app.box.com/file/386237671666</v>
      </c>
    </row>
    <row r="5628" spans="1:25" x14ac:dyDescent="0.2">
      <c r="A5628">
        <v>7446</v>
      </c>
      <c r="B5628" t="s">
        <v>9682</v>
      </c>
      <c r="C5628" t="s">
        <v>18</v>
      </c>
      <c r="D5628" t="s">
        <v>9686</v>
      </c>
      <c r="E5628" t="s">
        <v>7117</v>
      </c>
      <c r="F5628" t="s">
        <v>82</v>
      </c>
      <c r="G5628" t="s">
        <v>1867</v>
      </c>
      <c r="I5628" t="b">
        <v>1</v>
      </c>
      <c r="J5628" t="b">
        <v>1</v>
      </c>
      <c r="L5628" t="b">
        <v>1</v>
      </c>
      <c r="M5628" t="str">
        <f>HYPERLINK("https://arizona.app.box.com/file/386246081260")</f>
        <v>https://arizona.app.box.com/file/386246081260</v>
      </c>
    </row>
    <row r="5630" spans="1:25" x14ac:dyDescent="0.2">
      <c r="A5630" s="2">
        <v>3780</v>
      </c>
      <c r="B5630" s="2" t="s">
        <v>9687</v>
      </c>
      <c r="C5630" s="2" t="s">
        <v>13</v>
      </c>
      <c r="D5630" s="2" t="s">
        <v>5285</v>
      </c>
      <c r="E5630" s="2" t="s">
        <v>9688</v>
      </c>
      <c r="F5630" s="2" t="s">
        <v>205</v>
      </c>
      <c r="G5630" s="2" t="s">
        <v>252</v>
      </c>
      <c r="H5630" s="2"/>
      <c r="I5630" s="2"/>
      <c r="J5630" s="2"/>
      <c r="K5630" s="2"/>
      <c r="L5630" s="2"/>
      <c r="M5630" s="2"/>
      <c r="N5630" s="2"/>
      <c r="O5630" s="2"/>
      <c r="P5630" s="2"/>
      <c r="Q5630" s="2"/>
      <c r="R5630" s="2"/>
      <c r="S5630" s="2"/>
      <c r="T5630" s="2"/>
      <c r="U5630" s="2"/>
      <c r="V5630" s="2"/>
      <c r="W5630" s="2"/>
      <c r="X5630" s="2"/>
      <c r="Y5630" s="2"/>
    </row>
    <row r="5631" spans="1:25" x14ac:dyDescent="0.2">
      <c r="A5631">
        <v>3781</v>
      </c>
      <c r="B5631" t="s">
        <v>9687</v>
      </c>
      <c r="C5631" t="s">
        <v>18</v>
      </c>
      <c r="D5631" t="s">
        <v>5285</v>
      </c>
      <c r="E5631" t="s">
        <v>5286</v>
      </c>
      <c r="F5631" t="s">
        <v>205</v>
      </c>
      <c r="G5631" t="s">
        <v>252</v>
      </c>
      <c r="I5631" t="b">
        <v>1</v>
      </c>
      <c r="J5631" t="b">
        <v>1</v>
      </c>
      <c r="L5631" t="b">
        <v>1</v>
      </c>
      <c r="M5631" t="str">
        <f>HYPERLINK("https://arizona.app.box.com/file/389267504382")</f>
        <v>https://arizona.app.box.com/file/389267504382</v>
      </c>
    </row>
    <row r="5632" spans="1:25" x14ac:dyDescent="0.2">
      <c r="A5632">
        <v>3782</v>
      </c>
      <c r="B5632" t="s">
        <v>9687</v>
      </c>
      <c r="C5632" t="s">
        <v>18</v>
      </c>
      <c r="D5632" t="s">
        <v>9689</v>
      </c>
      <c r="E5632" t="s">
        <v>3844</v>
      </c>
      <c r="F5632" t="s">
        <v>205</v>
      </c>
      <c r="G5632" t="s">
        <v>252</v>
      </c>
      <c r="I5632" t="b">
        <v>1</v>
      </c>
      <c r="J5632" t="b">
        <v>1</v>
      </c>
      <c r="L5632" t="b">
        <v>1</v>
      </c>
      <c r="M5632" t="str">
        <f>HYPERLINK("https://arizona.app.box.com/file/389258237163")</f>
        <v>https://arizona.app.box.com/file/389258237163</v>
      </c>
      <c r="N5632" t="str">
        <f>HYPERLINK("https://arizona.app.box.com/file/389166786688")</f>
        <v>https://arizona.app.box.com/file/389166786688</v>
      </c>
    </row>
    <row r="5633" spans="1:25" x14ac:dyDescent="0.2">
      <c r="A5633">
        <v>3783</v>
      </c>
      <c r="B5633" t="s">
        <v>9687</v>
      </c>
      <c r="C5633" t="s">
        <v>18</v>
      </c>
      <c r="D5633" t="s">
        <v>9690</v>
      </c>
      <c r="E5633" t="s">
        <v>9691</v>
      </c>
      <c r="F5633" t="s">
        <v>205</v>
      </c>
      <c r="G5633" t="s">
        <v>252</v>
      </c>
      <c r="I5633" t="b">
        <v>0</v>
      </c>
      <c r="J5633" t="b">
        <v>0</v>
      </c>
      <c r="L5633" t="b">
        <v>0</v>
      </c>
    </row>
    <row r="5634" spans="1:25" x14ac:dyDescent="0.2">
      <c r="A5634">
        <v>3784</v>
      </c>
      <c r="B5634" t="s">
        <v>9687</v>
      </c>
      <c r="C5634" t="s">
        <v>18</v>
      </c>
      <c r="D5634" t="s">
        <v>5283</v>
      </c>
      <c r="E5634" t="s">
        <v>1031</v>
      </c>
      <c r="F5634" t="s">
        <v>205</v>
      </c>
      <c r="G5634" t="s">
        <v>252</v>
      </c>
      <c r="I5634" t="b">
        <v>0</v>
      </c>
      <c r="J5634" t="b">
        <v>0</v>
      </c>
      <c r="L5634" t="b">
        <v>0</v>
      </c>
      <c r="M5634" t="str">
        <f>HYPERLINK("https://arizona.app.box.com/file/389167110727")</f>
        <v>https://arizona.app.box.com/file/389167110727</v>
      </c>
    </row>
    <row r="5635" spans="1:25" x14ac:dyDescent="0.2">
      <c r="A5635">
        <v>3785</v>
      </c>
      <c r="B5635" t="s">
        <v>9687</v>
      </c>
      <c r="C5635" t="s">
        <v>18</v>
      </c>
      <c r="D5635" t="s">
        <v>2154</v>
      </c>
      <c r="E5635" t="s">
        <v>2155</v>
      </c>
      <c r="F5635" t="s">
        <v>205</v>
      </c>
      <c r="G5635" t="s">
        <v>252</v>
      </c>
      <c r="I5635" t="b">
        <v>0</v>
      </c>
      <c r="J5635" t="b">
        <v>0</v>
      </c>
      <c r="L5635" t="b">
        <v>0</v>
      </c>
      <c r="M5635" t="str">
        <f>HYPERLINK("https://arizona.app.box.com/file/389264959828")</f>
        <v>https://arizona.app.box.com/file/389264959828</v>
      </c>
    </row>
    <row r="5637" spans="1:25" x14ac:dyDescent="0.2">
      <c r="A5637" s="2">
        <v>4585</v>
      </c>
      <c r="B5637" s="2" t="s">
        <v>9692</v>
      </c>
      <c r="C5637" s="2" t="s">
        <v>13</v>
      </c>
      <c r="D5637" s="2" t="s">
        <v>4582</v>
      </c>
      <c r="E5637" s="2" t="s">
        <v>4583</v>
      </c>
      <c r="F5637" s="2" t="s">
        <v>78</v>
      </c>
      <c r="G5637" s="2" t="s">
        <v>17</v>
      </c>
      <c r="H5637" s="2"/>
      <c r="I5637" s="2"/>
      <c r="J5637" s="2"/>
      <c r="K5637" s="2"/>
      <c r="L5637" s="2"/>
      <c r="M5637" s="2"/>
      <c r="N5637" s="2"/>
      <c r="O5637" s="2"/>
      <c r="P5637" s="2"/>
      <c r="Q5637" s="2"/>
      <c r="R5637" s="2"/>
      <c r="S5637" s="2"/>
      <c r="T5637" s="2"/>
      <c r="U5637" s="2"/>
      <c r="V5637" s="2"/>
      <c r="W5637" s="2"/>
      <c r="X5637" s="2"/>
      <c r="Y5637" s="2"/>
    </row>
    <row r="5638" spans="1:25" x14ac:dyDescent="0.2">
      <c r="A5638">
        <v>4586</v>
      </c>
      <c r="B5638" t="s">
        <v>9692</v>
      </c>
      <c r="C5638" t="s">
        <v>18</v>
      </c>
      <c r="D5638" t="s">
        <v>4582</v>
      </c>
      <c r="E5638" t="s">
        <v>4583</v>
      </c>
      <c r="F5638" t="s">
        <v>78</v>
      </c>
      <c r="G5638" t="s">
        <v>17</v>
      </c>
      <c r="I5638" t="b">
        <v>1</v>
      </c>
      <c r="J5638" t="b">
        <v>1</v>
      </c>
      <c r="L5638" t="b">
        <v>1</v>
      </c>
      <c r="M5638" t="str">
        <f>HYPERLINK("https://arizona.app.box.com/file/389137426531")</f>
        <v>https://arizona.app.box.com/file/389137426531</v>
      </c>
      <c r="N5638" t="str">
        <f>HYPERLINK("https://arizona.app.box.com/file/386241113911")</f>
        <v>https://arizona.app.box.com/file/386241113911</v>
      </c>
    </row>
    <row r="5639" spans="1:25" x14ac:dyDescent="0.2">
      <c r="A5639">
        <v>4587</v>
      </c>
      <c r="B5639" t="s">
        <v>9692</v>
      </c>
      <c r="C5639" t="s">
        <v>18</v>
      </c>
      <c r="D5639" t="s">
        <v>9693</v>
      </c>
      <c r="E5639" t="s">
        <v>9694</v>
      </c>
      <c r="F5639" t="s">
        <v>31</v>
      </c>
      <c r="G5639" t="s">
        <v>17</v>
      </c>
      <c r="I5639" t="b">
        <v>0</v>
      </c>
      <c r="J5639" t="b">
        <v>0</v>
      </c>
      <c r="L5639" t="b">
        <v>0</v>
      </c>
      <c r="M5639" t="str">
        <f>HYPERLINK("https://arizona.app.box.com/file/389169121370")</f>
        <v>https://arizona.app.box.com/file/389169121370</v>
      </c>
      <c r="N5639" t="str">
        <f>HYPERLINK("https://arizona.app.box.com/file/389151813444")</f>
        <v>https://arizona.app.box.com/file/389151813444</v>
      </c>
    </row>
    <row r="5640" spans="1:25" x14ac:dyDescent="0.2">
      <c r="A5640">
        <v>4588</v>
      </c>
      <c r="B5640" t="s">
        <v>9692</v>
      </c>
      <c r="C5640" t="s">
        <v>18</v>
      </c>
      <c r="D5640" t="s">
        <v>4578</v>
      </c>
      <c r="E5640" t="s">
        <v>4579</v>
      </c>
      <c r="F5640" t="s">
        <v>174</v>
      </c>
      <c r="G5640" t="s">
        <v>17</v>
      </c>
      <c r="I5640" t="b">
        <v>0</v>
      </c>
      <c r="J5640" t="b">
        <v>0</v>
      </c>
      <c r="L5640" t="b">
        <v>0</v>
      </c>
      <c r="M5640" t="str">
        <f>HYPERLINK("https://arizona.app.box.com/file/389151654031")</f>
        <v>https://arizona.app.box.com/file/389151654031</v>
      </c>
      <c r="N5640" t="str">
        <f>HYPERLINK("https://arizona.app.box.com/file/389151888808")</f>
        <v>https://arizona.app.box.com/file/389151888808</v>
      </c>
    </row>
    <row r="5641" spans="1:25" x14ac:dyDescent="0.2">
      <c r="A5641">
        <v>4589</v>
      </c>
      <c r="B5641" t="s">
        <v>9692</v>
      </c>
      <c r="C5641" t="s">
        <v>18</v>
      </c>
      <c r="D5641" t="s">
        <v>4574</v>
      </c>
      <c r="E5641" t="s">
        <v>4575</v>
      </c>
      <c r="F5641" t="s">
        <v>174</v>
      </c>
      <c r="G5641" t="s">
        <v>17</v>
      </c>
      <c r="I5641" t="b">
        <v>0</v>
      </c>
      <c r="J5641" t="b">
        <v>0</v>
      </c>
      <c r="L5641" t="b">
        <v>0</v>
      </c>
      <c r="M5641" t="str">
        <f>HYPERLINK("https://arizona.app.box.com/file/389166800530")</f>
        <v>https://arizona.app.box.com/file/389166800530</v>
      </c>
      <c r="N5641" t="str">
        <f>HYPERLINK("https://arizona.app.box.com/file/389165706606")</f>
        <v>https://arizona.app.box.com/file/389165706606</v>
      </c>
    </row>
    <row r="5642" spans="1:25" x14ac:dyDescent="0.2">
      <c r="A5642">
        <v>4590</v>
      </c>
      <c r="B5642" t="s">
        <v>9692</v>
      </c>
      <c r="C5642" t="s">
        <v>18</v>
      </c>
      <c r="D5642" t="s">
        <v>8548</v>
      </c>
      <c r="E5642" t="s">
        <v>8549</v>
      </c>
      <c r="F5642" t="s">
        <v>78</v>
      </c>
      <c r="G5642" t="s">
        <v>17</v>
      </c>
      <c r="I5642" t="b">
        <v>0</v>
      </c>
      <c r="J5642" t="b">
        <v>0</v>
      </c>
      <c r="L5642" t="b">
        <v>0</v>
      </c>
      <c r="M5642" t="str">
        <f>HYPERLINK("https://arizona.app.box.com/file/389165706278")</f>
        <v>https://arizona.app.box.com/file/389165706278</v>
      </c>
    </row>
    <row r="5644" spans="1:25" x14ac:dyDescent="0.2">
      <c r="A5644" s="2">
        <v>3108</v>
      </c>
      <c r="B5644" s="2" t="s">
        <v>9695</v>
      </c>
      <c r="C5644" s="2" t="s">
        <v>13</v>
      </c>
      <c r="D5644" s="2" t="s">
        <v>9696</v>
      </c>
      <c r="E5644" s="2" t="s">
        <v>9697</v>
      </c>
      <c r="F5644" s="2" t="s">
        <v>596</v>
      </c>
      <c r="G5644" s="2" t="s">
        <v>252</v>
      </c>
      <c r="H5644" s="2"/>
      <c r="I5644" s="2"/>
      <c r="J5644" s="2"/>
      <c r="K5644" s="2"/>
      <c r="L5644" s="2"/>
      <c r="M5644" s="2"/>
      <c r="N5644" s="2"/>
      <c r="O5644" s="2"/>
      <c r="P5644" s="2"/>
      <c r="Q5644" s="2"/>
      <c r="R5644" s="2"/>
      <c r="S5644" s="2"/>
      <c r="T5644" s="2"/>
      <c r="U5644" s="2"/>
      <c r="V5644" s="2"/>
      <c r="W5644" s="2"/>
      <c r="X5644" s="2"/>
      <c r="Y5644" s="2"/>
    </row>
    <row r="5645" spans="1:25" x14ac:dyDescent="0.2">
      <c r="A5645">
        <v>3109</v>
      </c>
      <c r="B5645" t="s">
        <v>9695</v>
      </c>
      <c r="C5645" t="s">
        <v>18</v>
      </c>
      <c r="D5645" t="s">
        <v>9298</v>
      </c>
      <c r="E5645" t="s">
        <v>170</v>
      </c>
      <c r="F5645" t="s">
        <v>159</v>
      </c>
      <c r="G5645" t="s">
        <v>265</v>
      </c>
      <c r="I5645" t="b">
        <v>0</v>
      </c>
      <c r="J5645" t="b">
        <v>0</v>
      </c>
      <c r="L5645" t="b">
        <v>0</v>
      </c>
      <c r="M5645" t="str">
        <f>HYPERLINK("https://arizona.app.box.com/file/389262588529")</f>
        <v>https://arizona.app.box.com/file/389262588529</v>
      </c>
      <c r="N5645" t="str">
        <f>HYPERLINK("https://arizona.app.box.com/file/389167535720")</f>
        <v>https://arizona.app.box.com/file/389167535720</v>
      </c>
    </row>
    <row r="5646" spans="1:25" x14ac:dyDescent="0.2">
      <c r="A5646">
        <v>3110</v>
      </c>
      <c r="B5646" t="s">
        <v>9695</v>
      </c>
      <c r="C5646" t="s">
        <v>18</v>
      </c>
      <c r="D5646" t="s">
        <v>9296</v>
      </c>
      <c r="E5646" t="s">
        <v>9297</v>
      </c>
      <c r="F5646" t="s">
        <v>159</v>
      </c>
      <c r="G5646" t="s">
        <v>265</v>
      </c>
      <c r="I5646" t="b">
        <v>0</v>
      </c>
      <c r="J5646" t="b">
        <v>0</v>
      </c>
      <c r="L5646" t="b">
        <v>0</v>
      </c>
      <c r="M5646" t="str">
        <f>HYPERLINK("https://arizona.app.box.com/file/389172737534")</f>
        <v>https://arizona.app.box.com/file/389172737534</v>
      </c>
      <c r="N5646" t="str">
        <f>HYPERLINK("https://arizona.app.box.com/file/386216713621")</f>
        <v>https://arizona.app.box.com/file/386216713621</v>
      </c>
    </row>
    <row r="5647" spans="1:25" x14ac:dyDescent="0.2">
      <c r="A5647">
        <v>3111</v>
      </c>
      <c r="B5647" t="s">
        <v>9695</v>
      </c>
      <c r="C5647" t="s">
        <v>18</v>
      </c>
      <c r="D5647" t="s">
        <v>9299</v>
      </c>
      <c r="E5647" t="s">
        <v>356</v>
      </c>
      <c r="F5647" t="s">
        <v>82</v>
      </c>
      <c r="G5647" t="s">
        <v>265</v>
      </c>
      <c r="I5647" t="b">
        <v>0</v>
      </c>
      <c r="J5647" t="b">
        <v>0</v>
      </c>
      <c r="L5647" t="b">
        <v>0</v>
      </c>
      <c r="M5647" t="str">
        <f>HYPERLINK("https://arizona.app.box.com/file/386244238591")</f>
        <v>https://arizona.app.box.com/file/386244238591</v>
      </c>
    </row>
    <row r="5648" spans="1:25" x14ac:dyDescent="0.2">
      <c r="A5648">
        <v>3112</v>
      </c>
      <c r="B5648" t="s">
        <v>9695</v>
      </c>
      <c r="C5648" t="s">
        <v>18</v>
      </c>
      <c r="D5648" t="s">
        <v>9698</v>
      </c>
      <c r="E5648" t="s">
        <v>427</v>
      </c>
      <c r="F5648" t="s">
        <v>596</v>
      </c>
      <c r="G5648" t="s">
        <v>252</v>
      </c>
      <c r="I5648" t="b">
        <v>1</v>
      </c>
      <c r="J5648" t="b">
        <v>1</v>
      </c>
      <c r="L5648" t="b">
        <v>1</v>
      </c>
      <c r="M5648" t="str">
        <f>HYPERLINK("https://arizona.app.box.com/file/389257355986")</f>
        <v>https://arizona.app.box.com/file/389257355986</v>
      </c>
      <c r="N5648" t="str">
        <f>HYPERLINK("https://arizona.app.box.com/file/386231151987")</f>
        <v>https://arizona.app.box.com/file/386231151987</v>
      </c>
    </row>
    <row r="5649" spans="1:25" x14ac:dyDescent="0.2">
      <c r="A5649">
        <v>3113</v>
      </c>
      <c r="B5649" t="s">
        <v>9695</v>
      </c>
      <c r="C5649" t="s">
        <v>18</v>
      </c>
      <c r="D5649" t="s">
        <v>7132</v>
      </c>
      <c r="E5649" t="s">
        <v>7133</v>
      </c>
      <c r="F5649" t="s">
        <v>122</v>
      </c>
      <c r="G5649" t="s">
        <v>864</v>
      </c>
      <c r="I5649" t="b">
        <v>0</v>
      </c>
      <c r="J5649" t="b">
        <v>0</v>
      </c>
      <c r="L5649" t="b">
        <v>0</v>
      </c>
      <c r="M5649" t="str">
        <f>HYPERLINK("https://arizona.app.box.com/file/389263008365")</f>
        <v>https://arizona.app.box.com/file/389263008365</v>
      </c>
      <c r="N5649" t="str">
        <f>HYPERLINK("https://arizona.app.box.com/file/389162264554")</f>
        <v>https://arizona.app.box.com/file/389162264554</v>
      </c>
      <c r="O5649" t="str">
        <f>HYPERLINK("https://arizona.app.box.com/file/389269464031")</f>
        <v>https://arizona.app.box.com/file/389269464031</v>
      </c>
      <c r="P5649" t="str">
        <f>HYPERLINK("https://arizona.app.box.com/file/389162199800")</f>
        <v>https://arizona.app.box.com/file/389162199800</v>
      </c>
    </row>
    <row r="5651" spans="1:25" x14ac:dyDescent="0.2">
      <c r="A5651" s="2">
        <v>5628</v>
      </c>
      <c r="B5651" s="2" t="s">
        <v>9699</v>
      </c>
      <c r="C5651" s="2" t="s">
        <v>13</v>
      </c>
      <c r="D5651" s="2" t="s">
        <v>9700</v>
      </c>
      <c r="E5651" s="2" t="s">
        <v>9701</v>
      </c>
      <c r="F5651" s="2" t="s">
        <v>159</v>
      </c>
      <c r="G5651" s="2" t="s">
        <v>638</v>
      </c>
      <c r="H5651" s="2"/>
      <c r="I5651" s="2"/>
      <c r="J5651" s="2"/>
      <c r="K5651" s="2"/>
      <c r="L5651" s="2"/>
      <c r="M5651" s="2"/>
      <c r="N5651" s="2"/>
      <c r="O5651" s="2"/>
      <c r="P5651" s="2"/>
      <c r="Q5651" s="2"/>
      <c r="R5651" s="2"/>
      <c r="S5651" s="2"/>
      <c r="T5651" s="2"/>
      <c r="U5651" s="2"/>
      <c r="V5651" s="2"/>
      <c r="W5651" s="2"/>
      <c r="X5651" s="2"/>
      <c r="Y5651" s="2"/>
    </row>
    <row r="5652" spans="1:25" x14ac:dyDescent="0.2">
      <c r="A5652">
        <v>5629</v>
      </c>
      <c r="B5652" t="s">
        <v>9699</v>
      </c>
      <c r="C5652" t="s">
        <v>18</v>
      </c>
      <c r="D5652" t="s">
        <v>9700</v>
      </c>
      <c r="E5652" t="s">
        <v>9701</v>
      </c>
      <c r="F5652" t="s">
        <v>9702</v>
      </c>
      <c r="G5652" t="s">
        <v>638</v>
      </c>
      <c r="I5652" t="b">
        <v>1</v>
      </c>
      <c r="J5652" t="b">
        <v>1</v>
      </c>
      <c r="L5652" t="b">
        <v>1</v>
      </c>
      <c r="M5652" t="str">
        <f>HYPERLINK("https://arizona.app.box.com/file/386264108890")</f>
        <v>https://arizona.app.box.com/file/386264108890</v>
      </c>
      <c r="N5652" t="str">
        <f>HYPERLINK("https://arizona.app.box.com/file/386249919703")</f>
        <v>https://arizona.app.box.com/file/386249919703</v>
      </c>
    </row>
    <row r="5653" spans="1:25" x14ac:dyDescent="0.2">
      <c r="A5653">
        <v>5630</v>
      </c>
      <c r="B5653" t="s">
        <v>9699</v>
      </c>
      <c r="C5653" t="s">
        <v>18</v>
      </c>
      <c r="D5653" t="s">
        <v>9703</v>
      </c>
      <c r="E5653" t="s">
        <v>9704</v>
      </c>
      <c r="F5653" t="s">
        <v>23</v>
      </c>
      <c r="G5653" t="s">
        <v>638</v>
      </c>
      <c r="I5653" t="b">
        <v>0</v>
      </c>
      <c r="J5653" t="b">
        <v>0</v>
      </c>
      <c r="L5653" t="b">
        <v>0</v>
      </c>
      <c r="M5653" t="str">
        <f>HYPERLINK("https://arizona.app.box.com/file/386264106490")</f>
        <v>https://arizona.app.box.com/file/386264106490</v>
      </c>
      <c r="N5653" t="str">
        <f>HYPERLINK("https://arizona.app.box.com/file/386263814186")</f>
        <v>https://arizona.app.box.com/file/386263814186</v>
      </c>
    </row>
    <row r="5654" spans="1:25" x14ac:dyDescent="0.2">
      <c r="A5654">
        <v>5631</v>
      </c>
      <c r="B5654" t="s">
        <v>9699</v>
      </c>
      <c r="C5654" t="s">
        <v>18</v>
      </c>
      <c r="D5654" t="s">
        <v>6111</v>
      </c>
      <c r="E5654" t="s">
        <v>6112</v>
      </c>
      <c r="F5654" t="s">
        <v>82</v>
      </c>
      <c r="G5654" t="s">
        <v>638</v>
      </c>
      <c r="I5654" t="b">
        <v>0</v>
      </c>
      <c r="J5654" t="b">
        <v>0</v>
      </c>
      <c r="L5654" t="b">
        <v>0</v>
      </c>
      <c r="M5654" t="str">
        <f>HYPERLINK("https://arizona.app.box.com/file/386246917610")</f>
        <v>https://arizona.app.box.com/file/386246917610</v>
      </c>
      <c r="N5654" t="str">
        <f>HYPERLINK("https://arizona.app.box.com/file/386263804215")</f>
        <v>https://arizona.app.box.com/file/386263804215</v>
      </c>
    </row>
    <row r="5655" spans="1:25" x14ac:dyDescent="0.2">
      <c r="A5655">
        <v>5632</v>
      </c>
      <c r="B5655" t="s">
        <v>9699</v>
      </c>
      <c r="C5655" t="s">
        <v>18</v>
      </c>
      <c r="D5655" t="s">
        <v>9705</v>
      </c>
      <c r="E5655" t="s">
        <v>9706</v>
      </c>
      <c r="F5655" t="s">
        <v>23</v>
      </c>
      <c r="G5655" t="s">
        <v>638</v>
      </c>
      <c r="I5655" t="b">
        <v>0</v>
      </c>
      <c r="J5655" t="b">
        <v>0</v>
      </c>
      <c r="L5655" t="b">
        <v>0</v>
      </c>
    </row>
    <row r="5656" spans="1:25" x14ac:dyDescent="0.2">
      <c r="A5656">
        <v>5633</v>
      </c>
      <c r="B5656" t="s">
        <v>9699</v>
      </c>
      <c r="C5656" t="s">
        <v>18</v>
      </c>
      <c r="D5656" t="s">
        <v>9707</v>
      </c>
      <c r="E5656" t="s">
        <v>6628</v>
      </c>
      <c r="F5656" t="s">
        <v>369</v>
      </c>
      <c r="G5656" t="s">
        <v>638</v>
      </c>
      <c r="I5656" t="b">
        <v>0</v>
      </c>
      <c r="J5656" t="b">
        <v>0</v>
      </c>
      <c r="L5656" t="b">
        <v>0</v>
      </c>
      <c r="M5656" t="str">
        <f>HYPERLINK("https://arizona.app.box.com/file/386242088730")</f>
        <v>https://arizona.app.box.com/file/386242088730</v>
      </c>
      <c r="N5656" t="str">
        <f>HYPERLINK("https://arizona.app.box.com/file/386249921439")</f>
        <v>https://arizona.app.box.com/file/386249921439</v>
      </c>
    </row>
    <row r="5658" spans="1:25" x14ac:dyDescent="0.2">
      <c r="A5658" s="2">
        <v>4312</v>
      </c>
      <c r="B5658" s="2" t="s">
        <v>9708</v>
      </c>
      <c r="C5658" s="2" t="s">
        <v>13</v>
      </c>
      <c r="D5658" s="2" t="s">
        <v>9709</v>
      </c>
      <c r="E5658" s="2" t="s">
        <v>9710</v>
      </c>
      <c r="F5658" s="2" t="s">
        <v>369</v>
      </c>
      <c r="G5658" s="2" t="s">
        <v>17</v>
      </c>
      <c r="H5658" s="2"/>
      <c r="I5658" s="2"/>
      <c r="J5658" s="2"/>
      <c r="K5658" s="2"/>
      <c r="L5658" s="2"/>
      <c r="M5658" s="2"/>
      <c r="N5658" s="2"/>
      <c r="O5658" s="2"/>
      <c r="P5658" s="2"/>
      <c r="Q5658" s="2"/>
      <c r="R5658" s="2"/>
      <c r="S5658" s="2"/>
      <c r="T5658" s="2"/>
      <c r="U5658" s="2"/>
      <c r="V5658" s="2"/>
      <c r="W5658" s="2"/>
      <c r="X5658" s="2"/>
      <c r="Y5658" s="2"/>
    </row>
    <row r="5659" spans="1:25" x14ac:dyDescent="0.2">
      <c r="A5659">
        <v>4313</v>
      </c>
      <c r="B5659" t="s">
        <v>9708</v>
      </c>
      <c r="C5659" t="s">
        <v>18</v>
      </c>
      <c r="D5659" t="s">
        <v>9709</v>
      </c>
      <c r="E5659" t="s">
        <v>9710</v>
      </c>
      <c r="F5659" t="s">
        <v>369</v>
      </c>
      <c r="G5659" t="s">
        <v>17</v>
      </c>
      <c r="I5659" t="b">
        <v>1</v>
      </c>
      <c r="J5659" t="b">
        <v>1</v>
      </c>
      <c r="L5659" t="b">
        <v>1</v>
      </c>
      <c r="M5659" t="str">
        <f>HYPERLINK("https://arizona.app.box.com/file/389260159858")</f>
        <v>https://arizona.app.box.com/file/389260159858</v>
      </c>
      <c r="N5659" t="str">
        <f>HYPERLINK("https://arizona.app.box.com/file/389163693893")</f>
        <v>https://arizona.app.box.com/file/389163693893</v>
      </c>
      <c r="O5659" t="str">
        <f>HYPERLINK("https://arizona.app.box.com/file/389264450277")</f>
        <v>https://arizona.app.box.com/file/389264450277</v>
      </c>
    </row>
    <row r="5660" spans="1:25" x14ac:dyDescent="0.2">
      <c r="A5660">
        <v>4314</v>
      </c>
      <c r="B5660" t="s">
        <v>9708</v>
      </c>
      <c r="C5660" t="s">
        <v>18</v>
      </c>
      <c r="D5660" t="s">
        <v>1099</v>
      </c>
      <c r="E5660" t="s">
        <v>1100</v>
      </c>
      <c r="F5660" t="s">
        <v>151</v>
      </c>
      <c r="G5660" t="s">
        <v>24</v>
      </c>
      <c r="I5660" t="b">
        <v>0</v>
      </c>
      <c r="J5660" t="b">
        <v>0</v>
      </c>
      <c r="L5660" t="b">
        <v>0</v>
      </c>
      <c r="M5660" t="str">
        <f>HYPERLINK("https://arizona.app.box.com/file/389173504352")</f>
        <v>https://arizona.app.box.com/file/389173504352</v>
      </c>
      <c r="N5660" t="str">
        <f>HYPERLINK("https://arizona.app.box.com/file/386241005505")</f>
        <v>https://arizona.app.box.com/file/386241005505</v>
      </c>
    </row>
    <row r="5661" spans="1:25" x14ac:dyDescent="0.2">
      <c r="A5661">
        <v>4315</v>
      </c>
      <c r="B5661" t="s">
        <v>9708</v>
      </c>
      <c r="C5661" t="s">
        <v>18</v>
      </c>
      <c r="D5661" t="s">
        <v>1397</v>
      </c>
      <c r="E5661" t="s">
        <v>1398</v>
      </c>
      <c r="F5661" t="s">
        <v>151</v>
      </c>
      <c r="G5661" t="s">
        <v>24</v>
      </c>
      <c r="I5661" t="b">
        <v>0</v>
      </c>
      <c r="J5661" t="b">
        <v>0</v>
      </c>
      <c r="L5661" t="b">
        <v>0</v>
      </c>
      <c r="M5661" t="str">
        <f>HYPERLINK("https://arizona.app.box.com/file/389173366951")</f>
        <v>https://arizona.app.box.com/file/389173366951</v>
      </c>
      <c r="N5661" t="str">
        <f>HYPERLINK("https://arizona.app.box.com/file/386240750230")</f>
        <v>https://arizona.app.box.com/file/386240750230</v>
      </c>
    </row>
    <row r="5662" spans="1:25" x14ac:dyDescent="0.2">
      <c r="A5662">
        <v>4316</v>
      </c>
      <c r="B5662" t="s">
        <v>9708</v>
      </c>
      <c r="C5662" t="s">
        <v>18</v>
      </c>
      <c r="D5662" t="s">
        <v>7359</v>
      </c>
      <c r="E5662" t="s">
        <v>7360</v>
      </c>
      <c r="F5662" t="s">
        <v>248</v>
      </c>
      <c r="G5662" t="s">
        <v>17</v>
      </c>
      <c r="I5662" t="b">
        <v>0</v>
      </c>
      <c r="J5662" t="b">
        <v>0</v>
      </c>
      <c r="L5662" t="b">
        <v>0</v>
      </c>
    </row>
    <row r="5663" spans="1:25" x14ac:dyDescent="0.2">
      <c r="A5663">
        <v>4317</v>
      </c>
      <c r="B5663" t="s">
        <v>9708</v>
      </c>
      <c r="C5663" t="s">
        <v>18</v>
      </c>
      <c r="D5663" t="s">
        <v>9711</v>
      </c>
      <c r="E5663" t="s">
        <v>9712</v>
      </c>
      <c r="F5663" t="s">
        <v>248</v>
      </c>
      <c r="G5663" t="s">
        <v>17</v>
      </c>
      <c r="I5663" t="b">
        <v>0</v>
      </c>
      <c r="J5663" t="b">
        <v>0</v>
      </c>
      <c r="L5663" t="b">
        <v>0</v>
      </c>
    </row>
    <row r="5665" spans="1:25" x14ac:dyDescent="0.2">
      <c r="A5665" s="2">
        <v>6769</v>
      </c>
      <c r="B5665" s="2" t="s">
        <v>9713</v>
      </c>
      <c r="C5665" s="2" t="s">
        <v>13</v>
      </c>
      <c r="D5665" s="2" t="s">
        <v>9714</v>
      </c>
      <c r="E5665" s="2" t="s">
        <v>9715</v>
      </c>
      <c r="F5665" s="2" t="s">
        <v>45</v>
      </c>
      <c r="G5665" s="2" t="s">
        <v>17</v>
      </c>
      <c r="H5665" s="2"/>
      <c r="I5665" s="2"/>
      <c r="J5665" s="2"/>
      <c r="K5665" s="2"/>
      <c r="L5665" s="2"/>
      <c r="M5665" s="2"/>
      <c r="N5665" s="2"/>
      <c r="O5665" s="2"/>
      <c r="P5665" s="2"/>
      <c r="Q5665" s="2"/>
      <c r="R5665" s="2"/>
      <c r="S5665" s="2"/>
      <c r="T5665" s="2"/>
      <c r="U5665" s="2"/>
      <c r="V5665" s="2"/>
      <c r="W5665" s="2"/>
      <c r="X5665" s="2"/>
      <c r="Y5665" s="2"/>
    </row>
    <row r="5666" spans="1:25" x14ac:dyDescent="0.2">
      <c r="A5666">
        <v>6770</v>
      </c>
      <c r="B5666" t="s">
        <v>9713</v>
      </c>
      <c r="C5666" t="s">
        <v>18</v>
      </c>
      <c r="D5666" t="s">
        <v>9714</v>
      </c>
      <c r="E5666" t="s">
        <v>3958</v>
      </c>
      <c r="F5666" t="s">
        <v>45</v>
      </c>
      <c r="G5666" t="s">
        <v>17</v>
      </c>
      <c r="I5666" t="b">
        <v>1</v>
      </c>
      <c r="J5666" t="b">
        <v>1</v>
      </c>
      <c r="L5666" t="b">
        <v>1</v>
      </c>
      <c r="M5666" t="str">
        <f>HYPERLINK("https://arizona.app.box.com/file/389255782913")</f>
        <v>https://arizona.app.box.com/file/389255782913</v>
      </c>
      <c r="N5666" t="str">
        <f>HYPERLINK("https://arizona.app.box.com/file/389167110799")</f>
        <v>https://arizona.app.box.com/file/389167110799</v>
      </c>
    </row>
    <row r="5667" spans="1:25" x14ac:dyDescent="0.2">
      <c r="A5667">
        <v>6771</v>
      </c>
      <c r="B5667" t="s">
        <v>9713</v>
      </c>
      <c r="C5667" t="s">
        <v>18</v>
      </c>
      <c r="D5667" t="s">
        <v>1325</v>
      </c>
      <c r="E5667" t="s">
        <v>1326</v>
      </c>
      <c r="F5667" t="s">
        <v>174</v>
      </c>
      <c r="G5667" t="s">
        <v>17</v>
      </c>
      <c r="I5667" t="b">
        <v>0</v>
      </c>
      <c r="J5667" t="b">
        <v>0</v>
      </c>
      <c r="L5667" t="b">
        <v>0</v>
      </c>
      <c r="M5667" t="str">
        <f>HYPERLINK("https://arizona.app.box.com/file/389170151327")</f>
        <v>https://arizona.app.box.com/file/389170151327</v>
      </c>
      <c r="N5667" t="str">
        <f>HYPERLINK("https://arizona.app.box.com/file/386237581247")</f>
        <v>https://arizona.app.box.com/file/386237581247</v>
      </c>
    </row>
    <row r="5668" spans="1:25" x14ac:dyDescent="0.2">
      <c r="A5668">
        <v>6772</v>
      </c>
      <c r="B5668" t="s">
        <v>9713</v>
      </c>
      <c r="C5668" t="s">
        <v>18</v>
      </c>
      <c r="D5668" t="s">
        <v>4218</v>
      </c>
      <c r="E5668" t="s">
        <v>4219</v>
      </c>
      <c r="F5668" t="s">
        <v>31</v>
      </c>
      <c r="G5668" t="s">
        <v>17</v>
      </c>
      <c r="I5668" t="b">
        <v>0</v>
      </c>
      <c r="J5668" t="b">
        <v>0</v>
      </c>
      <c r="L5668" t="b">
        <v>0</v>
      </c>
      <c r="M5668" t="str">
        <f>HYPERLINK("https://arizona.app.box.com/file/389174554307")</f>
        <v>https://arizona.app.box.com/file/389174554307</v>
      </c>
      <c r="N5668" t="str">
        <f>HYPERLINK("https://arizona.app.box.com/file/386244012142")</f>
        <v>https://arizona.app.box.com/file/386244012142</v>
      </c>
      <c r="O5668" t="str">
        <f>HYPERLINK("https://arizona.app.box.com/file/389170584146")</f>
        <v>https://arizona.app.box.com/file/389170584146</v>
      </c>
    </row>
    <row r="5669" spans="1:25" x14ac:dyDescent="0.2">
      <c r="A5669">
        <v>6773</v>
      </c>
      <c r="B5669" t="s">
        <v>9713</v>
      </c>
      <c r="C5669" t="s">
        <v>18</v>
      </c>
      <c r="D5669" t="s">
        <v>1329</v>
      </c>
      <c r="E5669" t="s">
        <v>1330</v>
      </c>
      <c r="F5669" t="s">
        <v>369</v>
      </c>
      <c r="G5669" t="s">
        <v>17</v>
      </c>
      <c r="I5669" t="b">
        <v>0</v>
      </c>
      <c r="J5669" t="b">
        <v>0</v>
      </c>
      <c r="L5669" t="b">
        <v>0</v>
      </c>
      <c r="M5669" t="str">
        <f>HYPERLINK("https://arizona.app.box.com/file/389168126825")</f>
        <v>https://arizona.app.box.com/file/389168126825</v>
      </c>
      <c r="N5669" t="str">
        <f>HYPERLINK("https://arizona.app.box.com/file/386244367824")</f>
        <v>https://arizona.app.box.com/file/386244367824</v>
      </c>
    </row>
    <row r="5670" spans="1:25" x14ac:dyDescent="0.2">
      <c r="A5670">
        <v>6774</v>
      </c>
      <c r="B5670" t="s">
        <v>9713</v>
      </c>
      <c r="C5670" t="s">
        <v>18</v>
      </c>
      <c r="D5670" t="s">
        <v>5568</v>
      </c>
      <c r="E5670" t="s">
        <v>5569</v>
      </c>
      <c r="F5670" t="s">
        <v>168</v>
      </c>
      <c r="G5670" t="s">
        <v>17</v>
      </c>
      <c r="I5670" t="b">
        <v>0</v>
      </c>
      <c r="J5670" t="b">
        <v>0</v>
      </c>
      <c r="L5670" t="b">
        <v>0</v>
      </c>
      <c r="M5670" t="str">
        <f>HYPERLINK("https://arizona.app.box.com/file/389267161342")</f>
        <v>https://arizona.app.box.com/file/389267161342</v>
      </c>
      <c r="N5670" t="str">
        <f>HYPERLINK("https://arizona.app.box.com/file/389167073061")</f>
        <v>https://arizona.app.box.com/file/389167073061</v>
      </c>
      <c r="O5670" t="str">
        <f>HYPERLINK("https://arizona.app.box.com/file/389265119737")</f>
        <v>https://arizona.app.box.com/file/389265119737</v>
      </c>
    </row>
    <row r="5672" spans="1:25" x14ac:dyDescent="0.2">
      <c r="A5672" s="2">
        <v>3094</v>
      </c>
      <c r="B5672" s="2" t="s">
        <v>9716</v>
      </c>
      <c r="C5672" s="2" t="s">
        <v>13</v>
      </c>
      <c r="D5672" s="2" t="s">
        <v>9717</v>
      </c>
      <c r="E5672" s="2" t="s">
        <v>9718</v>
      </c>
      <c r="F5672" s="2" t="s">
        <v>78</v>
      </c>
      <c r="G5672" s="2" t="s">
        <v>417</v>
      </c>
      <c r="H5672" s="2"/>
      <c r="I5672" s="2"/>
      <c r="J5672" s="2"/>
      <c r="K5672" s="2"/>
      <c r="L5672" s="2"/>
      <c r="M5672" s="2"/>
      <c r="N5672" s="2"/>
      <c r="O5672" s="2"/>
      <c r="P5672" s="2"/>
      <c r="Q5672" s="2"/>
      <c r="R5672" s="2"/>
      <c r="S5672" s="2"/>
      <c r="T5672" s="2"/>
      <c r="U5672" s="2"/>
      <c r="V5672" s="2"/>
      <c r="W5672" s="2"/>
      <c r="X5672" s="2"/>
      <c r="Y5672" s="2"/>
    </row>
    <row r="5673" spans="1:25" x14ac:dyDescent="0.2">
      <c r="A5673">
        <v>3095</v>
      </c>
      <c r="B5673" t="s">
        <v>9716</v>
      </c>
      <c r="C5673" t="s">
        <v>18</v>
      </c>
      <c r="D5673" t="s">
        <v>9717</v>
      </c>
      <c r="E5673" t="s">
        <v>4758</v>
      </c>
      <c r="F5673" t="s">
        <v>78</v>
      </c>
      <c r="G5673" t="s">
        <v>417</v>
      </c>
      <c r="I5673" t="b">
        <v>1</v>
      </c>
      <c r="J5673" t="b">
        <v>1</v>
      </c>
      <c r="L5673" t="b">
        <v>1</v>
      </c>
      <c r="M5673" t="str">
        <f>HYPERLINK("https://arizona.app.box.com/file/386245705484")</f>
        <v>https://arizona.app.box.com/file/386245705484</v>
      </c>
    </row>
    <row r="5674" spans="1:25" x14ac:dyDescent="0.2">
      <c r="A5674">
        <v>3096</v>
      </c>
      <c r="B5674" t="s">
        <v>9716</v>
      </c>
      <c r="C5674" t="s">
        <v>18</v>
      </c>
      <c r="D5674" t="s">
        <v>9719</v>
      </c>
      <c r="E5674" t="s">
        <v>9720</v>
      </c>
      <c r="F5674" t="s">
        <v>78</v>
      </c>
      <c r="G5674" t="s">
        <v>417</v>
      </c>
      <c r="I5674" t="b">
        <v>1</v>
      </c>
      <c r="J5674" t="b">
        <v>1</v>
      </c>
      <c r="L5674" t="b">
        <v>1</v>
      </c>
      <c r="M5674" t="str">
        <f>HYPERLINK("https://arizona.app.box.com/file/386249188972")</f>
        <v>https://arizona.app.box.com/file/386249188972</v>
      </c>
    </row>
    <row r="5675" spans="1:25" x14ac:dyDescent="0.2">
      <c r="A5675">
        <v>3097</v>
      </c>
      <c r="B5675" t="s">
        <v>9716</v>
      </c>
      <c r="C5675" t="s">
        <v>18</v>
      </c>
      <c r="D5675" t="s">
        <v>9721</v>
      </c>
      <c r="E5675" t="s">
        <v>9722</v>
      </c>
      <c r="F5675" t="s">
        <v>78</v>
      </c>
      <c r="G5675" t="s">
        <v>62</v>
      </c>
      <c r="I5675" t="b">
        <v>0</v>
      </c>
      <c r="J5675" t="b">
        <v>0</v>
      </c>
      <c r="L5675" t="b">
        <v>0</v>
      </c>
    </row>
    <row r="5676" spans="1:25" x14ac:dyDescent="0.2">
      <c r="A5676">
        <v>3098</v>
      </c>
      <c r="B5676" t="s">
        <v>9716</v>
      </c>
      <c r="C5676" t="s">
        <v>18</v>
      </c>
      <c r="D5676" t="s">
        <v>9723</v>
      </c>
      <c r="E5676" t="s">
        <v>9724</v>
      </c>
      <c r="F5676" t="s">
        <v>78</v>
      </c>
      <c r="G5676" t="s">
        <v>130</v>
      </c>
      <c r="I5676" t="b">
        <v>0</v>
      </c>
      <c r="J5676" t="b">
        <v>0</v>
      </c>
      <c r="L5676" t="b">
        <v>0</v>
      </c>
      <c r="M5676" t="str">
        <f>HYPERLINK("https://arizona.app.box.com/file/386227750360")</f>
        <v>https://arizona.app.box.com/file/386227750360</v>
      </c>
    </row>
    <row r="5677" spans="1:25" x14ac:dyDescent="0.2">
      <c r="A5677">
        <v>3099</v>
      </c>
      <c r="B5677" t="s">
        <v>9716</v>
      </c>
      <c r="C5677" t="s">
        <v>18</v>
      </c>
      <c r="D5677" t="s">
        <v>9725</v>
      </c>
      <c r="E5677" t="s">
        <v>9726</v>
      </c>
      <c r="F5677" t="s">
        <v>78</v>
      </c>
      <c r="G5677" t="s">
        <v>17</v>
      </c>
      <c r="I5677" t="b">
        <v>0</v>
      </c>
      <c r="J5677" t="b">
        <v>0</v>
      </c>
      <c r="L5677" t="b">
        <v>0</v>
      </c>
      <c r="M5677" t="str">
        <f>HYPERLINK("https://arizona.app.box.com/file/386243315496")</f>
        <v>https://arizona.app.box.com/file/386243315496</v>
      </c>
      <c r="N5677" t="str">
        <f>HYPERLINK("https://arizona.app.box.com/file/386241113911")</f>
        <v>https://arizona.app.box.com/file/386241113911</v>
      </c>
    </row>
    <row r="5679" spans="1:25" x14ac:dyDescent="0.2">
      <c r="A5679" s="2">
        <v>3920</v>
      </c>
      <c r="B5679" s="2" t="s">
        <v>9727</v>
      </c>
      <c r="C5679" s="2" t="s">
        <v>13</v>
      </c>
      <c r="D5679" s="2" t="s">
        <v>9728</v>
      </c>
      <c r="E5679" s="2" t="s">
        <v>9729</v>
      </c>
      <c r="F5679" s="2" t="s">
        <v>78</v>
      </c>
      <c r="G5679" s="2" t="s">
        <v>17</v>
      </c>
      <c r="H5679" s="2"/>
      <c r="I5679" s="2"/>
      <c r="J5679" s="2"/>
      <c r="K5679" s="2"/>
      <c r="L5679" s="2"/>
      <c r="M5679" s="2"/>
      <c r="N5679" s="2"/>
      <c r="O5679" s="2"/>
      <c r="P5679" s="2"/>
      <c r="Q5679" s="2"/>
      <c r="R5679" s="2"/>
      <c r="S5679" s="2"/>
      <c r="T5679" s="2"/>
      <c r="U5679" s="2"/>
      <c r="V5679" s="2"/>
      <c r="W5679" s="2"/>
      <c r="X5679" s="2"/>
      <c r="Y5679" s="2"/>
    </row>
    <row r="5680" spans="1:25" x14ac:dyDescent="0.2">
      <c r="A5680">
        <v>3921</v>
      </c>
      <c r="B5680" t="s">
        <v>9727</v>
      </c>
      <c r="C5680" t="s">
        <v>18</v>
      </c>
      <c r="D5680" t="s">
        <v>9649</v>
      </c>
      <c r="E5680" t="s">
        <v>3263</v>
      </c>
      <c r="F5680" t="s">
        <v>2343</v>
      </c>
      <c r="G5680" t="s">
        <v>88</v>
      </c>
      <c r="I5680" t="b">
        <v>0</v>
      </c>
      <c r="J5680" t="b">
        <v>0</v>
      </c>
      <c r="L5680" t="b">
        <v>0</v>
      </c>
      <c r="M5680" t="str">
        <f>HYPERLINK("https://arizona.app.box.com/file/389266859902")</f>
        <v>https://arizona.app.box.com/file/389266859902</v>
      </c>
      <c r="N5680" t="str">
        <f>HYPERLINK("https://arizona.app.box.com/file/389164303092")</f>
        <v>https://arizona.app.box.com/file/389164303092</v>
      </c>
    </row>
    <row r="5681" spans="1:25" x14ac:dyDescent="0.2">
      <c r="A5681">
        <v>3922</v>
      </c>
      <c r="B5681" t="s">
        <v>9727</v>
      </c>
      <c r="C5681" t="s">
        <v>18</v>
      </c>
      <c r="D5681" t="s">
        <v>9730</v>
      </c>
      <c r="E5681" t="s">
        <v>9731</v>
      </c>
      <c r="F5681" t="s">
        <v>78</v>
      </c>
      <c r="G5681" t="s">
        <v>17</v>
      </c>
      <c r="I5681" t="b">
        <v>0</v>
      </c>
      <c r="J5681" t="b">
        <v>0</v>
      </c>
      <c r="L5681" t="b">
        <v>0</v>
      </c>
    </row>
    <row r="5682" spans="1:25" x14ac:dyDescent="0.2">
      <c r="A5682">
        <v>3923</v>
      </c>
      <c r="B5682" t="s">
        <v>9727</v>
      </c>
      <c r="C5682" t="s">
        <v>18</v>
      </c>
      <c r="D5682" t="s">
        <v>9150</v>
      </c>
      <c r="E5682" t="s">
        <v>4302</v>
      </c>
      <c r="F5682" t="s">
        <v>78</v>
      </c>
      <c r="G5682" t="s">
        <v>130</v>
      </c>
      <c r="I5682" t="b">
        <v>0</v>
      </c>
      <c r="J5682" t="b">
        <v>0</v>
      </c>
      <c r="L5682" t="b">
        <v>0</v>
      </c>
      <c r="M5682" t="str">
        <f>HYPERLINK("https://arizona.app.box.com/file/389258531892")</f>
        <v>https://arizona.app.box.com/file/389258531892</v>
      </c>
      <c r="N5682" t="str">
        <f>HYPERLINK("https://arizona.app.box.com/file/389152011246")</f>
        <v>https://arizona.app.box.com/file/389152011246</v>
      </c>
    </row>
    <row r="5683" spans="1:25" x14ac:dyDescent="0.2">
      <c r="A5683">
        <v>3924</v>
      </c>
      <c r="B5683" t="s">
        <v>9727</v>
      </c>
      <c r="C5683" t="s">
        <v>18</v>
      </c>
      <c r="D5683" t="s">
        <v>1618</v>
      </c>
      <c r="E5683" t="s">
        <v>1619</v>
      </c>
      <c r="F5683" t="s">
        <v>31</v>
      </c>
      <c r="G5683" t="s">
        <v>17</v>
      </c>
      <c r="I5683" t="b">
        <v>0</v>
      </c>
      <c r="J5683" t="b">
        <v>0</v>
      </c>
      <c r="L5683" t="b">
        <v>0</v>
      </c>
      <c r="M5683" t="str">
        <f>HYPERLINK("https://arizona.app.box.com/file/389260456445")</f>
        <v>https://arizona.app.box.com/file/389260456445</v>
      </c>
      <c r="N5683" t="str">
        <f>HYPERLINK("https://arizona.app.box.com/file/389169107956")</f>
        <v>https://arizona.app.box.com/file/389169107956</v>
      </c>
      <c r="O5683" t="str">
        <f>HYPERLINK("https://arizona.app.box.com/file/389255876241")</f>
        <v>https://arizona.app.box.com/file/389255876241</v>
      </c>
    </row>
    <row r="5684" spans="1:25" x14ac:dyDescent="0.2">
      <c r="A5684">
        <v>3925</v>
      </c>
      <c r="B5684" t="s">
        <v>9727</v>
      </c>
      <c r="C5684" t="s">
        <v>18</v>
      </c>
      <c r="D5684" t="s">
        <v>2350</v>
      </c>
      <c r="E5684" t="s">
        <v>2351</v>
      </c>
      <c r="F5684" t="s">
        <v>31</v>
      </c>
      <c r="G5684" t="s">
        <v>17</v>
      </c>
      <c r="I5684" t="b">
        <v>0</v>
      </c>
      <c r="J5684" t="b">
        <v>0</v>
      </c>
      <c r="L5684" t="b">
        <v>0</v>
      </c>
      <c r="M5684" t="str">
        <f>HYPERLINK("https://arizona.app.box.com/file/389259393903")</f>
        <v>https://arizona.app.box.com/file/389259393903</v>
      </c>
    </row>
    <row r="5686" spans="1:25" x14ac:dyDescent="0.2">
      <c r="A5686" s="2">
        <v>5383</v>
      </c>
      <c r="B5686" s="2" t="s">
        <v>9732</v>
      </c>
      <c r="C5686" s="2" t="s">
        <v>13</v>
      </c>
      <c r="D5686" s="2" t="s">
        <v>9733</v>
      </c>
      <c r="E5686" s="2" t="s">
        <v>9734</v>
      </c>
      <c r="F5686" s="2" t="s">
        <v>168</v>
      </c>
      <c r="G5686" s="2" t="s">
        <v>24</v>
      </c>
      <c r="H5686" s="2"/>
      <c r="I5686" s="2"/>
      <c r="J5686" s="2"/>
      <c r="K5686" s="2"/>
      <c r="L5686" s="2"/>
      <c r="M5686" s="2"/>
      <c r="N5686" s="2"/>
      <c r="O5686" s="2"/>
      <c r="P5686" s="2"/>
      <c r="Q5686" s="2"/>
      <c r="R5686" s="2"/>
      <c r="S5686" s="2"/>
      <c r="T5686" s="2"/>
      <c r="U5686" s="2"/>
      <c r="V5686" s="2"/>
      <c r="W5686" s="2"/>
      <c r="X5686" s="2"/>
      <c r="Y5686" s="2"/>
    </row>
    <row r="5687" spans="1:25" x14ac:dyDescent="0.2">
      <c r="A5687">
        <v>5384</v>
      </c>
      <c r="B5687" t="s">
        <v>9732</v>
      </c>
      <c r="C5687" t="s">
        <v>18</v>
      </c>
      <c r="D5687" t="s">
        <v>9735</v>
      </c>
      <c r="E5687" t="s">
        <v>9734</v>
      </c>
      <c r="F5687" t="s">
        <v>168</v>
      </c>
      <c r="G5687" t="s">
        <v>24</v>
      </c>
      <c r="I5687" t="b">
        <v>1</v>
      </c>
      <c r="J5687" t="b">
        <v>1</v>
      </c>
      <c r="L5687" t="b">
        <v>1</v>
      </c>
      <c r="M5687" t="str">
        <f>HYPERLINK("https://arizona.app.box.com/file/386239183725")</f>
        <v>https://arizona.app.box.com/file/386239183725</v>
      </c>
      <c r="N5687" t="str">
        <f>HYPERLINK("https://arizona.app.box.com/file/386226733186")</f>
        <v>https://arizona.app.box.com/file/386226733186</v>
      </c>
    </row>
    <row r="5688" spans="1:25" x14ac:dyDescent="0.2">
      <c r="A5688">
        <v>5385</v>
      </c>
      <c r="B5688" t="s">
        <v>9732</v>
      </c>
      <c r="C5688" t="s">
        <v>18</v>
      </c>
      <c r="D5688" t="s">
        <v>5040</v>
      </c>
      <c r="E5688" t="s">
        <v>5041</v>
      </c>
      <c r="F5688" t="s">
        <v>78</v>
      </c>
      <c r="G5688" t="s">
        <v>24</v>
      </c>
      <c r="I5688" t="b">
        <v>0</v>
      </c>
      <c r="J5688" t="b">
        <v>0</v>
      </c>
      <c r="L5688" t="b">
        <v>0</v>
      </c>
      <c r="M5688" t="str">
        <f>HYPERLINK("https://arizona.app.box.com/file/386244861334")</f>
        <v>https://arizona.app.box.com/file/386244861334</v>
      </c>
      <c r="N5688" t="str">
        <f>HYPERLINK("https://arizona.app.box.com/file/386240278479")</f>
        <v>https://arizona.app.box.com/file/386240278479</v>
      </c>
    </row>
    <row r="5689" spans="1:25" x14ac:dyDescent="0.2">
      <c r="A5689">
        <v>5386</v>
      </c>
      <c r="B5689" t="s">
        <v>9732</v>
      </c>
      <c r="C5689" t="s">
        <v>18</v>
      </c>
      <c r="D5689" t="s">
        <v>5047</v>
      </c>
      <c r="E5689" t="s">
        <v>2361</v>
      </c>
      <c r="F5689" t="s">
        <v>31</v>
      </c>
      <c r="G5689" t="s">
        <v>24</v>
      </c>
      <c r="I5689" t="b">
        <v>0</v>
      </c>
      <c r="J5689" t="b">
        <v>0</v>
      </c>
      <c r="L5689" t="b">
        <v>0</v>
      </c>
      <c r="M5689" t="str">
        <f>HYPERLINK("https://arizona.app.box.com/file/386238797325")</f>
        <v>https://arizona.app.box.com/file/386238797325</v>
      </c>
    </row>
    <row r="5690" spans="1:25" x14ac:dyDescent="0.2">
      <c r="A5690">
        <v>5387</v>
      </c>
      <c r="B5690" t="s">
        <v>9732</v>
      </c>
      <c r="C5690" t="s">
        <v>18</v>
      </c>
      <c r="D5690" t="s">
        <v>9736</v>
      </c>
      <c r="E5690" t="s">
        <v>9737</v>
      </c>
      <c r="F5690" t="s">
        <v>31</v>
      </c>
      <c r="G5690" t="s">
        <v>24</v>
      </c>
      <c r="I5690" t="b">
        <v>0</v>
      </c>
      <c r="J5690" t="b">
        <v>0</v>
      </c>
      <c r="L5690" t="b">
        <v>0</v>
      </c>
      <c r="M5690" t="str">
        <f>HYPERLINK("https://arizona.app.box.com/file/386217468790")</f>
        <v>https://arizona.app.box.com/file/386217468790</v>
      </c>
    </row>
    <row r="5691" spans="1:25" x14ac:dyDescent="0.2">
      <c r="A5691">
        <v>5388</v>
      </c>
      <c r="B5691" t="s">
        <v>9732</v>
      </c>
      <c r="C5691" t="s">
        <v>18</v>
      </c>
      <c r="D5691" t="s">
        <v>5650</v>
      </c>
      <c r="E5691" t="s">
        <v>5651</v>
      </c>
      <c r="F5691" t="s">
        <v>670</v>
      </c>
      <c r="G5691" t="s">
        <v>24</v>
      </c>
      <c r="I5691" t="b">
        <v>0</v>
      </c>
      <c r="J5691" t="b">
        <v>0</v>
      </c>
      <c r="L5691" t="b">
        <v>0</v>
      </c>
      <c r="M5691" t="str">
        <f>HYPERLINK("https://arizona.app.box.com/file/386240294802")</f>
        <v>https://arizona.app.box.com/file/386240294802</v>
      </c>
      <c r="N5691" t="str">
        <f>HYPERLINK("https://arizona.app.box.com/file/386217135130")</f>
        <v>https://arizona.app.box.com/file/386217135130</v>
      </c>
    </row>
    <row r="5693" spans="1:25" x14ac:dyDescent="0.2">
      <c r="A5693" s="2">
        <v>770</v>
      </c>
      <c r="B5693" s="2" t="s">
        <v>9738</v>
      </c>
      <c r="C5693" s="2" t="s">
        <v>13</v>
      </c>
      <c r="D5693" s="2" t="s">
        <v>9739</v>
      </c>
      <c r="E5693" s="2" t="s">
        <v>9740</v>
      </c>
      <c r="F5693" s="2" t="s">
        <v>159</v>
      </c>
      <c r="G5693" s="2" t="s">
        <v>24</v>
      </c>
      <c r="H5693" s="2"/>
      <c r="I5693" s="2"/>
      <c r="J5693" s="2"/>
      <c r="K5693" s="2"/>
      <c r="L5693" s="2"/>
      <c r="M5693" s="2"/>
      <c r="N5693" s="2"/>
      <c r="O5693" s="2"/>
      <c r="P5693" s="2"/>
      <c r="Q5693" s="2"/>
      <c r="R5693" s="2"/>
      <c r="S5693" s="2"/>
      <c r="T5693" s="2"/>
      <c r="U5693" s="2"/>
      <c r="V5693" s="2"/>
      <c r="W5693" s="2"/>
      <c r="X5693" s="2"/>
      <c r="Y5693" s="2"/>
    </row>
    <row r="5694" spans="1:25" x14ac:dyDescent="0.2">
      <c r="A5694">
        <v>771</v>
      </c>
      <c r="B5694" t="s">
        <v>9738</v>
      </c>
      <c r="C5694" t="s">
        <v>18</v>
      </c>
      <c r="D5694" t="s">
        <v>9741</v>
      </c>
      <c r="E5694" t="s">
        <v>1202</v>
      </c>
      <c r="F5694" t="s">
        <v>174</v>
      </c>
      <c r="G5694" t="s">
        <v>24</v>
      </c>
      <c r="I5694" t="b">
        <v>1</v>
      </c>
      <c r="J5694" t="b">
        <v>1</v>
      </c>
      <c r="L5694" t="b">
        <v>1</v>
      </c>
      <c r="M5694" t="str">
        <f>HYPERLINK("https://arizona.app.box.com/file/389264156461")</f>
        <v>https://arizona.app.box.com/file/389264156461</v>
      </c>
      <c r="N5694" t="str">
        <f>HYPERLINK("https://arizona.app.box.com/file/389153092159")</f>
        <v>https://arizona.app.box.com/file/389153092159</v>
      </c>
    </row>
    <row r="5695" spans="1:25" x14ac:dyDescent="0.2">
      <c r="A5695">
        <v>772</v>
      </c>
      <c r="B5695" t="s">
        <v>9738</v>
      </c>
      <c r="C5695" t="s">
        <v>18</v>
      </c>
      <c r="D5695" t="s">
        <v>9742</v>
      </c>
      <c r="E5695" t="s">
        <v>6981</v>
      </c>
      <c r="F5695" t="s">
        <v>174</v>
      </c>
      <c r="G5695" t="s">
        <v>17</v>
      </c>
      <c r="I5695" t="b">
        <v>0</v>
      </c>
      <c r="J5695" t="b">
        <v>1</v>
      </c>
      <c r="L5695" t="b">
        <v>0</v>
      </c>
      <c r="M5695" t="str">
        <f>HYPERLINK("https://arizona.app.box.com/file/389167113658")</f>
        <v>https://arizona.app.box.com/file/389167113658</v>
      </c>
    </row>
    <row r="5696" spans="1:25" x14ac:dyDescent="0.2">
      <c r="A5696">
        <v>773</v>
      </c>
      <c r="B5696" t="s">
        <v>9738</v>
      </c>
      <c r="C5696" t="s">
        <v>18</v>
      </c>
      <c r="D5696" t="s">
        <v>166</v>
      </c>
      <c r="E5696" t="s">
        <v>167</v>
      </c>
      <c r="F5696" t="s">
        <v>168</v>
      </c>
      <c r="G5696" t="s">
        <v>24</v>
      </c>
      <c r="I5696" t="b">
        <v>0</v>
      </c>
      <c r="J5696" t="b">
        <v>0</v>
      </c>
      <c r="L5696" t="b">
        <v>0</v>
      </c>
      <c r="M5696" t="str">
        <f>HYPERLINK("https://arizona.app.box.com/file/389170381266")</f>
        <v>https://arizona.app.box.com/file/389170381266</v>
      </c>
      <c r="N5696" t="str">
        <f>HYPERLINK("https://arizona.app.box.com/file/386216367225")</f>
        <v>https://arizona.app.box.com/file/386216367225</v>
      </c>
    </row>
    <row r="5697" spans="1:25" x14ac:dyDescent="0.2">
      <c r="A5697">
        <v>774</v>
      </c>
      <c r="B5697" t="s">
        <v>9738</v>
      </c>
      <c r="C5697" t="s">
        <v>18</v>
      </c>
      <c r="D5697" t="s">
        <v>4186</v>
      </c>
      <c r="E5697" t="s">
        <v>1202</v>
      </c>
      <c r="F5697" t="s">
        <v>159</v>
      </c>
      <c r="G5697" t="s">
        <v>32</v>
      </c>
      <c r="I5697" t="b">
        <v>0</v>
      </c>
      <c r="J5697" t="b">
        <v>0</v>
      </c>
      <c r="L5697" t="b">
        <v>0</v>
      </c>
      <c r="M5697" t="str">
        <f>HYPERLINK("https://arizona.app.box.com/file/389265067004")</f>
        <v>https://arizona.app.box.com/file/389265067004</v>
      </c>
      <c r="N5697" t="str">
        <f>HYPERLINK("https://arizona.app.box.com/file/389167635134")</f>
        <v>https://arizona.app.box.com/file/389167635134</v>
      </c>
    </row>
    <row r="5698" spans="1:25" x14ac:dyDescent="0.2">
      <c r="A5698">
        <v>775</v>
      </c>
      <c r="B5698" t="s">
        <v>9738</v>
      </c>
      <c r="C5698" t="s">
        <v>18</v>
      </c>
      <c r="D5698" t="s">
        <v>1062</v>
      </c>
      <c r="E5698" t="s">
        <v>1063</v>
      </c>
      <c r="F5698" t="s">
        <v>159</v>
      </c>
      <c r="G5698" t="s">
        <v>32</v>
      </c>
      <c r="I5698" t="b">
        <v>0</v>
      </c>
      <c r="J5698" t="b">
        <v>0</v>
      </c>
      <c r="L5698" t="b">
        <v>0</v>
      </c>
      <c r="M5698" t="str">
        <f>HYPERLINK("https://arizona.app.box.com/file/389173873603")</f>
        <v>https://arizona.app.box.com/file/389173873603</v>
      </c>
    </row>
    <row r="5700" spans="1:25" x14ac:dyDescent="0.2">
      <c r="A5700" s="2">
        <v>959</v>
      </c>
      <c r="B5700" s="2" t="s">
        <v>9743</v>
      </c>
      <c r="C5700" s="2" t="s">
        <v>13</v>
      </c>
      <c r="D5700" s="2" t="s">
        <v>9744</v>
      </c>
      <c r="E5700" s="2" t="s">
        <v>9745</v>
      </c>
      <c r="F5700" s="2" t="s">
        <v>78</v>
      </c>
      <c r="G5700" s="2" t="s">
        <v>879</v>
      </c>
      <c r="H5700" s="2"/>
      <c r="I5700" s="2"/>
      <c r="J5700" s="2"/>
      <c r="K5700" s="2"/>
      <c r="L5700" s="2"/>
      <c r="M5700" s="2"/>
      <c r="N5700" s="2"/>
      <c r="O5700" s="2"/>
      <c r="P5700" s="2"/>
      <c r="Q5700" s="2"/>
      <c r="R5700" s="2"/>
      <c r="S5700" s="2"/>
      <c r="T5700" s="2"/>
      <c r="U5700" s="2"/>
      <c r="V5700" s="2"/>
      <c r="W5700" s="2"/>
      <c r="X5700" s="2"/>
      <c r="Y5700" s="2"/>
    </row>
    <row r="5701" spans="1:25" x14ac:dyDescent="0.2">
      <c r="A5701">
        <v>960</v>
      </c>
      <c r="B5701" t="s">
        <v>9743</v>
      </c>
      <c r="C5701" t="s">
        <v>18</v>
      </c>
      <c r="D5701" t="s">
        <v>2048</v>
      </c>
      <c r="E5701" t="s">
        <v>2049</v>
      </c>
      <c r="F5701" t="s">
        <v>78</v>
      </c>
      <c r="G5701" t="s">
        <v>2050</v>
      </c>
      <c r="I5701" t="b">
        <v>0</v>
      </c>
      <c r="J5701" t="b">
        <v>0</v>
      </c>
      <c r="L5701" t="b">
        <v>0</v>
      </c>
      <c r="M5701" t="str">
        <f>HYPERLINK("https://arizona.app.box.com/file/389263937128")</f>
        <v>https://arizona.app.box.com/file/389263937128</v>
      </c>
    </row>
    <row r="5702" spans="1:25" x14ac:dyDescent="0.2">
      <c r="A5702">
        <v>961</v>
      </c>
      <c r="B5702" t="s">
        <v>9743</v>
      </c>
      <c r="C5702" t="s">
        <v>18</v>
      </c>
      <c r="D5702" t="s">
        <v>2041</v>
      </c>
      <c r="E5702" t="s">
        <v>2043</v>
      </c>
      <c r="F5702" t="s">
        <v>78</v>
      </c>
      <c r="G5702" t="s">
        <v>879</v>
      </c>
      <c r="I5702" t="b">
        <v>0</v>
      </c>
      <c r="J5702" t="b">
        <v>0</v>
      </c>
      <c r="L5702" t="b">
        <v>0</v>
      </c>
      <c r="M5702" t="str">
        <f>HYPERLINK("https://arizona.app.box.com/file/389267630814")</f>
        <v>https://arizona.app.box.com/file/389267630814</v>
      </c>
      <c r="N5702" t="str">
        <f>HYPERLINK("https://arizona.app.box.com/file/389169927500")</f>
        <v>https://arizona.app.box.com/file/389169927500</v>
      </c>
    </row>
    <row r="5703" spans="1:25" x14ac:dyDescent="0.2">
      <c r="A5703">
        <v>962</v>
      </c>
      <c r="B5703" t="s">
        <v>9743</v>
      </c>
      <c r="C5703" t="s">
        <v>18</v>
      </c>
      <c r="D5703" t="s">
        <v>2046</v>
      </c>
      <c r="E5703" t="s">
        <v>2043</v>
      </c>
      <c r="F5703" t="s">
        <v>78</v>
      </c>
      <c r="G5703" t="s">
        <v>879</v>
      </c>
      <c r="I5703" t="b">
        <v>0</v>
      </c>
      <c r="J5703" t="b">
        <v>0</v>
      </c>
      <c r="L5703" t="b">
        <v>0</v>
      </c>
      <c r="M5703" t="str">
        <f>HYPERLINK("https://arizona.app.box.com/file/389169072860")</f>
        <v>https://arizona.app.box.com/file/389169072860</v>
      </c>
    </row>
    <row r="5704" spans="1:25" x14ac:dyDescent="0.2">
      <c r="A5704">
        <v>963</v>
      </c>
      <c r="B5704" t="s">
        <v>9743</v>
      </c>
      <c r="C5704" t="s">
        <v>18</v>
      </c>
      <c r="D5704" t="s">
        <v>9746</v>
      </c>
      <c r="E5704" t="s">
        <v>9745</v>
      </c>
      <c r="F5704" t="s">
        <v>78</v>
      </c>
      <c r="G5704" t="s">
        <v>879</v>
      </c>
      <c r="I5704" t="b">
        <v>1</v>
      </c>
      <c r="J5704" t="b">
        <v>1</v>
      </c>
      <c r="L5704" t="b">
        <v>1</v>
      </c>
      <c r="M5704" t="str">
        <f>HYPERLINK("https://arizona.app.box.com/file/386248444101")</f>
        <v>https://arizona.app.box.com/file/386248444101</v>
      </c>
      <c r="N5704" t="str">
        <f>HYPERLINK("https://arizona.app.box.com/file/386245393128")</f>
        <v>https://arizona.app.box.com/file/386245393128</v>
      </c>
    </row>
    <row r="5705" spans="1:25" x14ac:dyDescent="0.2">
      <c r="A5705">
        <v>964</v>
      </c>
      <c r="B5705" t="s">
        <v>9743</v>
      </c>
      <c r="C5705" t="s">
        <v>18</v>
      </c>
      <c r="D5705" t="s">
        <v>2398</v>
      </c>
      <c r="E5705" t="s">
        <v>2399</v>
      </c>
      <c r="F5705" t="s">
        <v>144</v>
      </c>
      <c r="G5705" t="s">
        <v>879</v>
      </c>
      <c r="I5705" t="b">
        <v>0</v>
      </c>
      <c r="J5705" t="b">
        <v>0</v>
      </c>
      <c r="L5705" t="b">
        <v>0</v>
      </c>
      <c r="M5705" t="str">
        <f>HYPERLINK("https://arizona.app.box.com/file/389264066670")</f>
        <v>https://arizona.app.box.com/file/389264066670</v>
      </c>
      <c r="N5705" t="str">
        <f>HYPERLINK("https://arizona.app.box.com/file/389159540067")</f>
        <v>https://arizona.app.box.com/file/389159540067</v>
      </c>
    </row>
    <row r="5707" spans="1:25" x14ac:dyDescent="0.2">
      <c r="A5707" s="2">
        <v>259</v>
      </c>
      <c r="B5707" s="2" t="s">
        <v>9747</v>
      </c>
      <c r="C5707" s="2" t="s">
        <v>13</v>
      </c>
      <c r="D5707" s="2" t="s">
        <v>4093</v>
      </c>
      <c r="E5707" s="2" t="s">
        <v>9748</v>
      </c>
      <c r="F5707" s="2" t="s">
        <v>159</v>
      </c>
      <c r="G5707" s="2" t="s">
        <v>265</v>
      </c>
      <c r="H5707" s="2"/>
      <c r="I5707" s="2"/>
      <c r="J5707" s="2"/>
      <c r="K5707" s="2"/>
      <c r="L5707" s="2"/>
      <c r="M5707" s="2"/>
      <c r="N5707" s="2"/>
      <c r="O5707" s="2"/>
      <c r="P5707" s="2"/>
      <c r="Q5707" s="2"/>
      <c r="R5707" s="2"/>
      <c r="S5707" s="2"/>
      <c r="T5707" s="2"/>
      <c r="U5707" s="2"/>
      <c r="V5707" s="2"/>
      <c r="W5707" s="2"/>
      <c r="X5707" s="2"/>
      <c r="Y5707" s="2"/>
    </row>
    <row r="5708" spans="1:25" x14ac:dyDescent="0.2">
      <c r="A5708">
        <v>260</v>
      </c>
      <c r="B5708" t="s">
        <v>9747</v>
      </c>
      <c r="C5708" t="s">
        <v>18</v>
      </c>
      <c r="D5708" t="s">
        <v>4093</v>
      </c>
      <c r="E5708" t="s">
        <v>170</v>
      </c>
      <c r="F5708" t="s">
        <v>159</v>
      </c>
      <c r="G5708" t="s">
        <v>265</v>
      </c>
      <c r="I5708" t="b">
        <v>1</v>
      </c>
      <c r="J5708" t="b">
        <v>1</v>
      </c>
      <c r="L5708" t="b">
        <v>1</v>
      </c>
      <c r="M5708" t="str">
        <f>HYPERLINK("https://arizona.app.box.com/file/389267332405")</f>
        <v>https://arizona.app.box.com/file/389267332405</v>
      </c>
      <c r="N5708" t="str">
        <f>HYPERLINK("https://arizona.app.box.com/file/389164845550")</f>
        <v>https://arizona.app.box.com/file/389164845550</v>
      </c>
    </row>
    <row r="5709" spans="1:25" x14ac:dyDescent="0.2">
      <c r="A5709">
        <v>261</v>
      </c>
      <c r="B5709" t="s">
        <v>9747</v>
      </c>
      <c r="C5709" t="s">
        <v>18</v>
      </c>
      <c r="D5709" t="s">
        <v>3786</v>
      </c>
      <c r="E5709" t="s">
        <v>3787</v>
      </c>
      <c r="F5709" t="s">
        <v>159</v>
      </c>
      <c r="G5709" t="s">
        <v>265</v>
      </c>
      <c r="I5709" t="b">
        <v>0</v>
      </c>
      <c r="J5709" t="b">
        <v>0</v>
      </c>
      <c r="L5709" t="b">
        <v>0</v>
      </c>
      <c r="M5709" t="str">
        <f>HYPERLINK("https://arizona.app.box.com/file/389170042484")</f>
        <v>https://arizona.app.box.com/file/389170042484</v>
      </c>
      <c r="N5709" t="str">
        <f>HYPERLINK("https://arizona.app.box.com/file/386225918791")</f>
        <v>https://arizona.app.box.com/file/386225918791</v>
      </c>
    </row>
    <row r="5710" spans="1:25" x14ac:dyDescent="0.2">
      <c r="A5710">
        <v>262</v>
      </c>
      <c r="B5710" t="s">
        <v>9747</v>
      </c>
      <c r="C5710" t="s">
        <v>18</v>
      </c>
      <c r="D5710" t="s">
        <v>3790</v>
      </c>
      <c r="E5710" t="s">
        <v>3791</v>
      </c>
      <c r="F5710" t="s">
        <v>159</v>
      </c>
      <c r="G5710" t="s">
        <v>265</v>
      </c>
      <c r="I5710" t="b">
        <v>0</v>
      </c>
      <c r="J5710" t="b">
        <v>0</v>
      </c>
      <c r="L5710" t="b">
        <v>0</v>
      </c>
      <c r="M5710" t="str">
        <f>HYPERLINK("https://arizona.app.box.com/file/389176078159")</f>
        <v>https://arizona.app.box.com/file/389176078159</v>
      </c>
      <c r="N5710" t="str">
        <f>HYPERLINK("https://arizona.app.box.com/file/386226347009")</f>
        <v>https://arizona.app.box.com/file/386226347009</v>
      </c>
    </row>
    <row r="5711" spans="1:25" x14ac:dyDescent="0.2">
      <c r="A5711">
        <v>263</v>
      </c>
      <c r="B5711" t="s">
        <v>9747</v>
      </c>
      <c r="C5711" t="s">
        <v>18</v>
      </c>
      <c r="D5711" t="s">
        <v>3782</v>
      </c>
      <c r="E5711" t="s">
        <v>3783</v>
      </c>
      <c r="F5711" t="s">
        <v>82</v>
      </c>
      <c r="G5711" t="s">
        <v>265</v>
      </c>
      <c r="I5711" t="b">
        <v>0</v>
      </c>
      <c r="J5711" t="b">
        <v>0</v>
      </c>
      <c r="L5711" t="b">
        <v>0</v>
      </c>
      <c r="M5711" t="str">
        <f>HYPERLINK("https://arizona.app.box.com/file/389267505766")</f>
        <v>https://arizona.app.box.com/file/389267505766</v>
      </c>
      <c r="N5711" t="str">
        <f>HYPERLINK("https://arizona.app.box.com/file/389171801862")</f>
        <v>https://arizona.app.box.com/file/389171801862</v>
      </c>
    </row>
    <row r="5712" spans="1:25" x14ac:dyDescent="0.2">
      <c r="A5712">
        <v>264</v>
      </c>
      <c r="B5712" t="s">
        <v>9747</v>
      </c>
      <c r="C5712" t="s">
        <v>18</v>
      </c>
      <c r="D5712" t="s">
        <v>4096</v>
      </c>
      <c r="E5712" t="s">
        <v>4097</v>
      </c>
      <c r="F5712" t="s">
        <v>82</v>
      </c>
      <c r="G5712" t="s">
        <v>265</v>
      </c>
      <c r="I5712" t="b">
        <v>1</v>
      </c>
      <c r="J5712" t="b">
        <v>0</v>
      </c>
      <c r="L5712" t="b">
        <v>1</v>
      </c>
      <c r="M5712" t="str">
        <f>HYPERLINK("https://arizona.app.box.com/file/389185034593")</f>
        <v>https://arizona.app.box.com/file/389185034593</v>
      </c>
      <c r="N5712" t="str">
        <f>HYPERLINK("https://arizona.app.box.com/file/386247621334")</f>
        <v>https://arizona.app.box.com/file/386247621334</v>
      </c>
    </row>
    <row r="5714" spans="1:25" x14ac:dyDescent="0.2">
      <c r="A5714" s="2">
        <v>490</v>
      </c>
      <c r="B5714" s="2" t="s">
        <v>9749</v>
      </c>
      <c r="C5714" s="2" t="s">
        <v>13</v>
      </c>
      <c r="D5714" s="2" t="s">
        <v>1099</v>
      </c>
      <c r="E5714" s="2" t="s">
        <v>9750</v>
      </c>
      <c r="F5714" s="2" t="s">
        <v>151</v>
      </c>
      <c r="G5714" s="2" t="s">
        <v>24</v>
      </c>
      <c r="H5714" s="2"/>
      <c r="I5714" s="2"/>
      <c r="J5714" s="2"/>
      <c r="K5714" s="2"/>
      <c r="L5714" s="2"/>
      <c r="M5714" s="2"/>
      <c r="N5714" s="2"/>
      <c r="O5714" s="2"/>
      <c r="P5714" s="2"/>
      <c r="Q5714" s="2"/>
      <c r="R5714" s="2"/>
      <c r="S5714" s="2"/>
      <c r="T5714" s="2"/>
      <c r="U5714" s="2"/>
      <c r="V5714" s="2"/>
      <c r="W5714" s="2"/>
      <c r="X5714" s="2"/>
      <c r="Y5714" s="2"/>
    </row>
    <row r="5715" spans="1:25" x14ac:dyDescent="0.2">
      <c r="A5715">
        <v>491</v>
      </c>
      <c r="B5715" t="s">
        <v>9749</v>
      </c>
      <c r="C5715" t="s">
        <v>18</v>
      </c>
      <c r="D5715" t="s">
        <v>1099</v>
      </c>
      <c r="E5715" t="s">
        <v>1100</v>
      </c>
      <c r="F5715" t="s">
        <v>151</v>
      </c>
      <c r="G5715" t="s">
        <v>24</v>
      </c>
      <c r="I5715" t="b">
        <v>1</v>
      </c>
      <c r="J5715" t="b">
        <v>1</v>
      </c>
      <c r="L5715" t="b">
        <v>1</v>
      </c>
      <c r="M5715" t="str">
        <f>HYPERLINK("https://arizona.app.box.com/file/389173504352")</f>
        <v>https://arizona.app.box.com/file/389173504352</v>
      </c>
      <c r="N5715" t="str">
        <f>HYPERLINK("https://arizona.app.box.com/file/386241005505")</f>
        <v>https://arizona.app.box.com/file/386241005505</v>
      </c>
    </row>
    <row r="5716" spans="1:25" x14ac:dyDescent="0.2">
      <c r="A5716">
        <v>492</v>
      </c>
      <c r="B5716" t="s">
        <v>9749</v>
      </c>
      <c r="C5716" t="s">
        <v>18</v>
      </c>
      <c r="D5716" t="s">
        <v>1397</v>
      </c>
      <c r="E5716" t="s">
        <v>1398</v>
      </c>
      <c r="F5716" t="s">
        <v>151</v>
      </c>
      <c r="G5716" t="s">
        <v>24</v>
      </c>
      <c r="I5716" t="b">
        <v>1</v>
      </c>
      <c r="J5716" t="b">
        <v>1</v>
      </c>
      <c r="L5716" t="b">
        <v>1</v>
      </c>
      <c r="M5716" t="str">
        <f>HYPERLINK("https://arizona.app.box.com/file/389173366951")</f>
        <v>https://arizona.app.box.com/file/389173366951</v>
      </c>
      <c r="N5716" t="str">
        <f>HYPERLINK("https://arizona.app.box.com/file/386240750230")</f>
        <v>https://arizona.app.box.com/file/386240750230</v>
      </c>
    </row>
    <row r="5717" spans="1:25" x14ac:dyDescent="0.2">
      <c r="A5717">
        <v>493</v>
      </c>
      <c r="B5717" t="s">
        <v>9749</v>
      </c>
      <c r="C5717" t="s">
        <v>18</v>
      </c>
      <c r="D5717" t="s">
        <v>9709</v>
      </c>
      <c r="E5717" t="s">
        <v>9710</v>
      </c>
      <c r="F5717" t="s">
        <v>369</v>
      </c>
      <c r="G5717" t="s">
        <v>17</v>
      </c>
      <c r="I5717" t="b">
        <v>0</v>
      </c>
      <c r="J5717" t="b">
        <v>0</v>
      </c>
      <c r="L5717" t="b">
        <v>0</v>
      </c>
      <c r="M5717" t="str">
        <f>HYPERLINK("https://arizona.app.box.com/file/389260159858")</f>
        <v>https://arizona.app.box.com/file/389260159858</v>
      </c>
      <c r="N5717" t="str">
        <f>HYPERLINK("https://arizona.app.box.com/file/389163693893")</f>
        <v>https://arizona.app.box.com/file/389163693893</v>
      </c>
      <c r="O5717" t="str">
        <f>HYPERLINK("https://arizona.app.box.com/file/389264450277")</f>
        <v>https://arizona.app.box.com/file/389264450277</v>
      </c>
    </row>
    <row r="5718" spans="1:25" x14ac:dyDescent="0.2">
      <c r="A5718">
        <v>494</v>
      </c>
      <c r="B5718" t="s">
        <v>9749</v>
      </c>
      <c r="C5718" t="s">
        <v>18</v>
      </c>
      <c r="D5718" t="s">
        <v>9751</v>
      </c>
      <c r="E5718" t="s">
        <v>9752</v>
      </c>
      <c r="F5718" t="s">
        <v>151</v>
      </c>
      <c r="G5718" t="s">
        <v>24</v>
      </c>
      <c r="I5718" t="b">
        <v>0</v>
      </c>
      <c r="J5718" t="b">
        <v>0</v>
      </c>
      <c r="L5718" t="b">
        <v>0</v>
      </c>
      <c r="M5718" t="str">
        <f>HYPERLINK("https://arizona.app.box.com/file/386240249841")</f>
        <v>https://arizona.app.box.com/file/386240249841</v>
      </c>
      <c r="N5718" t="str">
        <f>HYPERLINK("https://arizona.app.box.com/file/386216945602")</f>
        <v>https://arizona.app.box.com/file/386216945602</v>
      </c>
    </row>
    <row r="5719" spans="1:25" x14ac:dyDescent="0.2">
      <c r="A5719">
        <v>495</v>
      </c>
      <c r="B5719" t="s">
        <v>9749</v>
      </c>
      <c r="C5719" t="s">
        <v>18</v>
      </c>
      <c r="D5719" t="s">
        <v>9753</v>
      </c>
      <c r="E5719" t="s">
        <v>9754</v>
      </c>
      <c r="F5719" t="s">
        <v>151</v>
      </c>
      <c r="G5719" t="s">
        <v>24</v>
      </c>
      <c r="I5719" t="b">
        <v>0</v>
      </c>
      <c r="J5719" t="b">
        <v>0</v>
      </c>
      <c r="L5719" t="b">
        <v>0</v>
      </c>
    </row>
    <row r="5721" spans="1:25" x14ac:dyDescent="0.2">
      <c r="A5721" s="2">
        <v>483</v>
      </c>
      <c r="B5721" s="2" t="s">
        <v>9755</v>
      </c>
      <c r="C5721" s="2" t="s">
        <v>13</v>
      </c>
      <c r="D5721" s="2" t="s">
        <v>9756</v>
      </c>
      <c r="E5721" s="2" t="s">
        <v>9757</v>
      </c>
      <c r="F5721" s="2" t="s">
        <v>78</v>
      </c>
      <c r="G5721" s="2" t="s">
        <v>24</v>
      </c>
      <c r="H5721" s="2"/>
      <c r="I5721" s="2"/>
      <c r="J5721" s="2"/>
      <c r="K5721" s="2"/>
      <c r="L5721" s="2"/>
      <c r="M5721" s="2"/>
      <c r="N5721" s="2"/>
      <c r="O5721" s="2"/>
      <c r="P5721" s="2"/>
      <c r="Q5721" s="2"/>
      <c r="R5721" s="2"/>
      <c r="S5721" s="2"/>
      <c r="T5721" s="2"/>
      <c r="U5721" s="2"/>
      <c r="V5721" s="2"/>
      <c r="W5721" s="2"/>
      <c r="X5721" s="2"/>
      <c r="Y5721" s="2"/>
    </row>
    <row r="5722" spans="1:25" x14ac:dyDescent="0.2">
      <c r="A5722">
        <v>484</v>
      </c>
      <c r="B5722" t="s">
        <v>9755</v>
      </c>
      <c r="C5722" t="s">
        <v>18</v>
      </c>
      <c r="D5722" t="s">
        <v>9758</v>
      </c>
      <c r="E5722" t="s">
        <v>2493</v>
      </c>
      <c r="F5722" t="s">
        <v>78</v>
      </c>
      <c r="G5722" t="s">
        <v>24</v>
      </c>
      <c r="I5722" t="b">
        <v>1</v>
      </c>
      <c r="J5722" t="b">
        <v>1</v>
      </c>
      <c r="L5722" t="b">
        <v>1</v>
      </c>
      <c r="M5722" t="str">
        <f>HYPERLINK("https://arizona.app.box.com/file/386242936753")</f>
        <v>https://arizona.app.box.com/file/386242936753</v>
      </c>
    </row>
    <row r="5723" spans="1:25" x14ac:dyDescent="0.2">
      <c r="A5723">
        <v>485</v>
      </c>
      <c r="B5723" t="s">
        <v>9755</v>
      </c>
      <c r="C5723" t="s">
        <v>18</v>
      </c>
      <c r="D5723" t="s">
        <v>9759</v>
      </c>
      <c r="E5723" t="s">
        <v>4064</v>
      </c>
      <c r="F5723" t="s">
        <v>78</v>
      </c>
      <c r="G5723" t="s">
        <v>24</v>
      </c>
      <c r="I5723" t="b">
        <v>1</v>
      </c>
      <c r="J5723" t="b">
        <v>1</v>
      </c>
      <c r="L5723" t="b">
        <v>1</v>
      </c>
      <c r="M5723" t="str">
        <f>HYPERLINK("https://arizona.app.box.com/file/386215873628")</f>
        <v>https://arizona.app.box.com/file/386215873628</v>
      </c>
    </row>
    <row r="5724" spans="1:25" x14ac:dyDescent="0.2">
      <c r="A5724">
        <v>486</v>
      </c>
      <c r="B5724" t="s">
        <v>9755</v>
      </c>
      <c r="C5724" t="s">
        <v>18</v>
      </c>
      <c r="D5724" t="s">
        <v>9760</v>
      </c>
      <c r="E5724" t="s">
        <v>9761</v>
      </c>
      <c r="F5724" t="s">
        <v>78</v>
      </c>
      <c r="G5724" t="s">
        <v>24</v>
      </c>
      <c r="I5724" t="b">
        <v>0</v>
      </c>
      <c r="J5724" t="b">
        <v>0</v>
      </c>
      <c r="L5724" t="b">
        <v>0</v>
      </c>
    </row>
    <row r="5725" spans="1:25" x14ac:dyDescent="0.2">
      <c r="A5725">
        <v>487</v>
      </c>
      <c r="B5725" t="s">
        <v>9755</v>
      </c>
      <c r="C5725" t="s">
        <v>18</v>
      </c>
      <c r="D5725" t="s">
        <v>8820</v>
      </c>
      <c r="E5725" t="s">
        <v>8821</v>
      </c>
      <c r="F5725" t="s">
        <v>78</v>
      </c>
      <c r="G5725" t="s">
        <v>17</v>
      </c>
      <c r="I5725" t="b">
        <v>0</v>
      </c>
      <c r="J5725" t="b">
        <v>0</v>
      </c>
      <c r="L5725" t="b">
        <v>0</v>
      </c>
    </row>
    <row r="5726" spans="1:25" x14ac:dyDescent="0.2">
      <c r="A5726">
        <v>488</v>
      </c>
      <c r="B5726" t="s">
        <v>9755</v>
      </c>
      <c r="C5726" t="s">
        <v>18</v>
      </c>
      <c r="D5726" t="s">
        <v>9762</v>
      </c>
      <c r="E5726" t="s">
        <v>9763</v>
      </c>
      <c r="F5726" t="s">
        <v>78</v>
      </c>
      <c r="G5726" t="s">
        <v>17</v>
      </c>
      <c r="I5726" t="b">
        <v>0</v>
      </c>
      <c r="J5726" t="b">
        <v>0</v>
      </c>
      <c r="L5726" t="b">
        <v>0</v>
      </c>
      <c r="M5726" t="str">
        <f>HYPERLINK("https://arizona.app.box.com/file/386265800432")</f>
        <v>https://arizona.app.box.com/file/386265800432</v>
      </c>
      <c r="N5726" t="str">
        <f>HYPERLINK("https://arizona.app.box.com/file/389162931582")</f>
        <v>https://arizona.app.box.com/file/389162931582</v>
      </c>
    </row>
    <row r="5728" spans="1:25" x14ac:dyDescent="0.2">
      <c r="A5728" s="2">
        <v>5747</v>
      </c>
      <c r="B5728" s="2" t="s">
        <v>9764</v>
      </c>
      <c r="C5728" s="2" t="s">
        <v>13</v>
      </c>
      <c r="D5728" s="2" t="s">
        <v>9765</v>
      </c>
      <c r="E5728" s="2" t="s">
        <v>9766</v>
      </c>
      <c r="F5728" s="2" t="s">
        <v>159</v>
      </c>
      <c r="G5728" s="2" t="s">
        <v>88</v>
      </c>
      <c r="H5728" s="2"/>
      <c r="I5728" s="2"/>
      <c r="J5728" s="2"/>
      <c r="K5728" s="2"/>
      <c r="L5728" s="2"/>
      <c r="M5728" s="2"/>
      <c r="N5728" s="2"/>
      <c r="O5728" s="2"/>
      <c r="P5728" s="2"/>
      <c r="Q5728" s="2"/>
      <c r="R5728" s="2"/>
      <c r="S5728" s="2"/>
      <c r="T5728" s="2"/>
      <c r="U5728" s="2"/>
      <c r="V5728" s="2"/>
      <c r="W5728" s="2"/>
      <c r="X5728" s="2"/>
      <c r="Y5728" s="2"/>
    </row>
    <row r="5729" spans="1:25" x14ac:dyDescent="0.2">
      <c r="A5729">
        <v>5748</v>
      </c>
      <c r="B5729" t="s">
        <v>9764</v>
      </c>
      <c r="C5729" t="s">
        <v>18</v>
      </c>
      <c r="D5729" t="s">
        <v>9765</v>
      </c>
      <c r="E5729" t="s">
        <v>9766</v>
      </c>
      <c r="F5729" t="s">
        <v>1837</v>
      </c>
      <c r="G5729" t="s">
        <v>88</v>
      </c>
      <c r="I5729" t="b">
        <v>1</v>
      </c>
      <c r="J5729" t="b">
        <v>1</v>
      </c>
      <c r="L5729" t="b">
        <v>1</v>
      </c>
      <c r="M5729" t="str">
        <f>HYPERLINK("https://arizona.app.box.com/file/386245680453")</f>
        <v>https://arizona.app.box.com/file/386245680453</v>
      </c>
      <c r="N5729" t="str">
        <f>HYPERLINK("https://arizona.app.box.com/file/386267045185")</f>
        <v>https://arizona.app.box.com/file/386267045185</v>
      </c>
    </row>
    <row r="5730" spans="1:25" x14ac:dyDescent="0.2">
      <c r="A5730">
        <v>5749</v>
      </c>
      <c r="B5730" t="s">
        <v>9764</v>
      </c>
      <c r="C5730" t="s">
        <v>18</v>
      </c>
      <c r="D5730" t="s">
        <v>9767</v>
      </c>
      <c r="E5730" t="s">
        <v>9768</v>
      </c>
      <c r="F5730" t="s">
        <v>159</v>
      </c>
      <c r="G5730" t="s">
        <v>9769</v>
      </c>
      <c r="I5730" t="b">
        <v>1</v>
      </c>
      <c r="J5730" t="b">
        <v>1</v>
      </c>
      <c r="L5730" t="b">
        <v>1</v>
      </c>
    </row>
    <row r="5731" spans="1:25" x14ac:dyDescent="0.2">
      <c r="A5731">
        <v>5750</v>
      </c>
      <c r="B5731" t="s">
        <v>9764</v>
      </c>
      <c r="C5731" t="s">
        <v>18</v>
      </c>
      <c r="D5731" t="s">
        <v>1066</v>
      </c>
      <c r="E5731" t="s">
        <v>1067</v>
      </c>
      <c r="F5731" t="s">
        <v>616</v>
      </c>
      <c r="G5731" t="s">
        <v>88</v>
      </c>
      <c r="I5731" t="b">
        <v>0</v>
      </c>
      <c r="J5731" t="b">
        <v>0</v>
      </c>
      <c r="L5731" t="b">
        <v>0</v>
      </c>
      <c r="M5731" t="str">
        <f>HYPERLINK("https://arizona.app.box.com/file/389152762238")</f>
        <v>https://arizona.app.box.com/file/389152762238</v>
      </c>
      <c r="N5731" t="str">
        <f>HYPERLINK("https://arizona.app.box.com/file/389170891736")</f>
        <v>https://arizona.app.box.com/file/389170891736</v>
      </c>
      <c r="O5731" t="str">
        <f>HYPERLINK("https://arizona.app.box.com/file/386239229237")</f>
        <v>https://arizona.app.box.com/file/386239229237</v>
      </c>
    </row>
    <row r="5732" spans="1:25" x14ac:dyDescent="0.2">
      <c r="A5732">
        <v>5751</v>
      </c>
      <c r="B5732" t="s">
        <v>9764</v>
      </c>
      <c r="C5732" t="s">
        <v>18</v>
      </c>
      <c r="D5732" t="s">
        <v>9770</v>
      </c>
      <c r="E5732" t="s">
        <v>9771</v>
      </c>
      <c r="F5732" t="s">
        <v>785</v>
      </c>
      <c r="G5732" t="s">
        <v>88</v>
      </c>
      <c r="I5732" t="b">
        <v>0</v>
      </c>
      <c r="J5732" t="b">
        <v>0</v>
      </c>
      <c r="L5732" t="b">
        <v>0</v>
      </c>
      <c r="M5732" t="str">
        <f>HYPERLINK("https://arizona.app.box.com/file/386232050227")</f>
        <v>https://arizona.app.box.com/file/386232050227</v>
      </c>
    </row>
    <row r="5733" spans="1:25" x14ac:dyDescent="0.2">
      <c r="A5733">
        <v>5752</v>
      </c>
      <c r="B5733" t="s">
        <v>9764</v>
      </c>
      <c r="C5733" t="s">
        <v>18</v>
      </c>
      <c r="D5733" t="s">
        <v>1082</v>
      </c>
      <c r="E5733" t="s">
        <v>1083</v>
      </c>
      <c r="F5733" t="s">
        <v>82</v>
      </c>
      <c r="G5733" t="s">
        <v>88</v>
      </c>
      <c r="I5733" t="b">
        <v>0</v>
      </c>
      <c r="J5733" t="b">
        <v>0</v>
      </c>
      <c r="L5733" t="b">
        <v>0</v>
      </c>
    </row>
    <row r="5735" spans="1:25" x14ac:dyDescent="0.2">
      <c r="A5735" s="2">
        <v>742</v>
      </c>
      <c r="B5735" s="2" t="s">
        <v>9772</v>
      </c>
      <c r="C5735" s="2" t="s">
        <v>13</v>
      </c>
      <c r="D5735" s="2" t="s">
        <v>9773</v>
      </c>
      <c r="E5735" s="2" t="s">
        <v>9774</v>
      </c>
      <c r="F5735" s="2" t="s">
        <v>168</v>
      </c>
      <c r="G5735" s="2" t="s">
        <v>24</v>
      </c>
      <c r="H5735" s="2"/>
      <c r="I5735" s="2"/>
      <c r="J5735" s="2"/>
      <c r="K5735" s="2"/>
      <c r="L5735" s="2"/>
      <c r="M5735" s="2"/>
      <c r="N5735" s="2"/>
      <c r="O5735" s="2"/>
      <c r="P5735" s="2"/>
      <c r="Q5735" s="2"/>
      <c r="R5735" s="2"/>
      <c r="S5735" s="2"/>
      <c r="T5735" s="2"/>
      <c r="U5735" s="2"/>
      <c r="V5735" s="2"/>
      <c r="W5735" s="2"/>
      <c r="X5735" s="2"/>
      <c r="Y5735" s="2"/>
    </row>
    <row r="5736" spans="1:25" x14ac:dyDescent="0.2">
      <c r="A5736">
        <v>743</v>
      </c>
      <c r="B5736" t="s">
        <v>9772</v>
      </c>
      <c r="C5736" t="s">
        <v>18</v>
      </c>
      <c r="D5736" t="s">
        <v>9773</v>
      </c>
      <c r="E5736" t="s">
        <v>9774</v>
      </c>
      <c r="F5736" t="s">
        <v>9775</v>
      </c>
      <c r="G5736" t="s">
        <v>24</v>
      </c>
      <c r="I5736" t="b">
        <v>1</v>
      </c>
      <c r="J5736" t="b">
        <v>1</v>
      </c>
      <c r="L5736" t="b">
        <v>1</v>
      </c>
      <c r="M5736" t="str">
        <f>HYPERLINK("https://arizona.app.box.com/file/386240036991")</f>
        <v>https://arizona.app.box.com/file/386240036991</v>
      </c>
      <c r="N5736" t="str">
        <f>HYPERLINK("https://arizona.app.box.com/file/386231393652")</f>
        <v>https://arizona.app.box.com/file/386231393652</v>
      </c>
    </row>
    <row r="5737" spans="1:25" x14ac:dyDescent="0.2">
      <c r="A5737">
        <v>744</v>
      </c>
      <c r="B5737" t="s">
        <v>9772</v>
      </c>
      <c r="C5737" t="s">
        <v>18</v>
      </c>
      <c r="D5737" t="s">
        <v>9776</v>
      </c>
      <c r="E5737" t="s">
        <v>9777</v>
      </c>
      <c r="F5737" t="s">
        <v>31</v>
      </c>
      <c r="G5737" t="s">
        <v>24</v>
      </c>
      <c r="I5737" t="b">
        <v>0</v>
      </c>
      <c r="J5737" t="b">
        <v>0</v>
      </c>
      <c r="L5737" t="b">
        <v>0</v>
      </c>
      <c r="M5737" t="str">
        <f>HYPERLINK("https://arizona.app.box.com/file/386227918837")</f>
        <v>https://arizona.app.box.com/file/386227918837</v>
      </c>
      <c r="N5737" t="str">
        <f>HYPERLINK("https://arizona.app.box.com/file/386228486716")</f>
        <v>https://arizona.app.box.com/file/386228486716</v>
      </c>
    </row>
    <row r="5738" spans="1:25" x14ac:dyDescent="0.2">
      <c r="A5738">
        <v>745</v>
      </c>
      <c r="B5738" t="s">
        <v>9772</v>
      </c>
      <c r="C5738" t="s">
        <v>18</v>
      </c>
      <c r="D5738" t="s">
        <v>9778</v>
      </c>
      <c r="E5738" t="s">
        <v>9779</v>
      </c>
      <c r="F5738" t="s">
        <v>151</v>
      </c>
      <c r="G5738" t="s">
        <v>24</v>
      </c>
      <c r="I5738" t="b">
        <v>0</v>
      </c>
      <c r="J5738" t="b">
        <v>0</v>
      </c>
      <c r="L5738" t="b">
        <v>0</v>
      </c>
      <c r="M5738" t="str">
        <f>HYPERLINK("https://arizona.app.box.com/file/386239793947")</f>
        <v>https://arizona.app.box.com/file/386239793947</v>
      </c>
      <c r="N5738" t="str">
        <f>HYPERLINK("https://arizona.app.box.com/file/386241113911")</f>
        <v>https://arizona.app.box.com/file/386241113911</v>
      </c>
    </row>
    <row r="5739" spans="1:25" x14ac:dyDescent="0.2">
      <c r="A5739">
        <v>746</v>
      </c>
      <c r="B5739" t="s">
        <v>9772</v>
      </c>
      <c r="C5739" t="s">
        <v>18</v>
      </c>
      <c r="D5739" t="s">
        <v>7838</v>
      </c>
      <c r="E5739" t="s">
        <v>7839</v>
      </c>
      <c r="F5739" t="s">
        <v>168</v>
      </c>
      <c r="G5739" t="s">
        <v>24</v>
      </c>
      <c r="I5739" t="b">
        <v>0</v>
      </c>
      <c r="J5739" t="b">
        <v>0</v>
      </c>
      <c r="L5739" t="b">
        <v>0</v>
      </c>
      <c r="M5739" t="str">
        <f>HYPERLINK("https://arizona.app.box.com/file/386245753824")</f>
        <v>https://arizona.app.box.com/file/386245753824</v>
      </c>
      <c r="N5739" t="str">
        <f>HYPERLINK("https://arizona.app.box.com/file/386239823503")</f>
        <v>https://arizona.app.box.com/file/386239823503</v>
      </c>
    </row>
    <row r="5740" spans="1:25" x14ac:dyDescent="0.2">
      <c r="A5740">
        <v>747</v>
      </c>
      <c r="B5740" t="s">
        <v>9772</v>
      </c>
      <c r="C5740" t="s">
        <v>18</v>
      </c>
      <c r="D5740" t="s">
        <v>9780</v>
      </c>
      <c r="E5740" t="s">
        <v>803</v>
      </c>
      <c r="F5740" t="s">
        <v>168</v>
      </c>
      <c r="G5740" t="s">
        <v>17</v>
      </c>
      <c r="I5740" t="b">
        <v>0</v>
      </c>
      <c r="J5740" t="b">
        <v>0</v>
      </c>
      <c r="L5740" t="b">
        <v>0</v>
      </c>
      <c r="M5740" t="str">
        <f>HYPERLINK("https://arizona.app.box.com/file/386244817513")</f>
        <v>https://arizona.app.box.com/file/386244817513</v>
      </c>
    </row>
    <row r="5742" spans="1:25" x14ac:dyDescent="0.2">
      <c r="A5742" s="2">
        <v>301</v>
      </c>
      <c r="B5742" s="2" t="s">
        <v>9781</v>
      </c>
      <c r="C5742" s="2" t="s">
        <v>13</v>
      </c>
      <c r="D5742" s="2" t="s">
        <v>9782</v>
      </c>
      <c r="E5742" s="2" t="s">
        <v>9783</v>
      </c>
      <c r="F5742" s="2" t="s">
        <v>23</v>
      </c>
      <c r="G5742" s="2" t="s">
        <v>265</v>
      </c>
      <c r="H5742" s="2"/>
      <c r="I5742" s="2"/>
      <c r="J5742" s="2"/>
      <c r="K5742" s="2"/>
      <c r="L5742" s="2"/>
      <c r="M5742" s="2"/>
      <c r="N5742" s="2"/>
      <c r="O5742" s="2"/>
      <c r="P5742" s="2"/>
      <c r="Q5742" s="2"/>
      <c r="R5742" s="2"/>
      <c r="S5742" s="2"/>
      <c r="T5742" s="2"/>
      <c r="U5742" s="2"/>
      <c r="V5742" s="2"/>
      <c r="W5742" s="2"/>
      <c r="X5742" s="2"/>
      <c r="Y5742" s="2"/>
    </row>
    <row r="5743" spans="1:25" x14ac:dyDescent="0.2">
      <c r="A5743">
        <v>302</v>
      </c>
      <c r="B5743" t="s">
        <v>9781</v>
      </c>
      <c r="C5743" t="s">
        <v>18</v>
      </c>
      <c r="D5743" t="s">
        <v>9782</v>
      </c>
      <c r="E5743" t="s">
        <v>9783</v>
      </c>
      <c r="F5743" t="s">
        <v>23</v>
      </c>
      <c r="G5743" t="s">
        <v>265</v>
      </c>
      <c r="I5743" t="b">
        <v>1</v>
      </c>
      <c r="J5743" t="b">
        <v>1</v>
      </c>
      <c r="L5743" t="b">
        <v>1</v>
      </c>
      <c r="M5743" t="str">
        <f>HYPERLINK("https://arizona.app.box.com/file/389166144364")</f>
        <v>https://arizona.app.box.com/file/389166144364</v>
      </c>
      <c r="N5743" t="str">
        <f>HYPERLINK("https://arizona.app.box.com/file/386240873342")</f>
        <v>https://arizona.app.box.com/file/386240873342</v>
      </c>
      <c r="O5743" t="str">
        <f>HYPERLINK("https://arizona.app.box.com/file/389166602813")</f>
        <v>https://arizona.app.box.com/file/389166602813</v>
      </c>
      <c r="P5743" t="str">
        <f>HYPERLINK("https://arizona.app.box.com/file/386245058342")</f>
        <v>https://arizona.app.box.com/file/386245058342</v>
      </c>
    </row>
    <row r="5744" spans="1:25" x14ac:dyDescent="0.2">
      <c r="A5744">
        <v>303</v>
      </c>
      <c r="B5744" t="s">
        <v>9781</v>
      </c>
      <c r="C5744" t="s">
        <v>18</v>
      </c>
      <c r="D5744" t="s">
        <v>5557</v>
      </c>
      <c r="E5744" t="s">
        <v>5558</v>
      </c>
      <c r="F5744" t="s">
        <v>82</v>
      </c>
      <c r="G5744" t="s">
        <v>82</v>
      </c>
      <c r="I5744" t="b">
        <v>0</v>
      </c>
      <c r="J5744" t="b">
        <v>0</v>
      </c>
      <c r="L5744" t="b">
        <v>0</v>
      </c>
    </row>
    <row r="5745" spans="1:25" x14ac:dyDescent="0.2">
      <c r="A5745">
        <v>304</v>
      </c>
      <c r="B5745" t="s">
        <v>9781</v>
      </c>
      <c r="C5745" t="s">
        <v>18</v>
      </c>
      <c r="D5745" t="s">
        <v>2690</v>
      </c>
      <c r="E5745" t="s">
        <v>2691</v>
      </c>
      <c r="F5745" t="s">
        <v>23</v>
      </c>
      <c r="G5745" t="s">
        <v>265</v>
      </c>
      <c r="I5745" t="b">
        <v>0</v>
      </c>
      <c r="J5745" t="b">
        <v>0</v>
      </c>
      <c r="L5745" t="b">
        <v>0</v>
      </c>
      <c r="M5745" t="str">
        <f>HYPERLINK("https://arizona.app.box.com/file/389264974342")</f>
        <v>https://arizona.app.box.com/file/389264974342</v>
      </c>
      <c r="N5745" t="str">
        <f>HYPERLINK("https://arizona.app.box.com/file/389153072022")</f>
        <v>https://arizona.app.box.com/file/389153072022</v>
      </c>
    </row>
    <row r="5746" spans="1:25" x14ac:dyDescent="0.2">
      <c r="A5746">
        <v>305</v>
      </c>
      <c r="B5746" t="s">
        <v>9781</v>
      </c>
      <c r="C5746" t="s">
        <v>18</v>
      </c>
      <c r="D5746" t="s">
        <v>2687</v>
      </c>
      <c r="E5746" t="s">
        <v>2033</v>
      </c>
      <c r="F5746" t="s">
        <v>23</v>
      </c>
      <c r="G5746" t="s">
        <v>265</v>
      </c>
      <c r="I5746" t="b">
        <v>0</v>
      </c>
      <c r="J5746" t="b">
        <v>0</v>
      </c>
      <c r="L5746" t="b">
        <v>0</v>
      </c>
      <c r="M5746" t="str">
        <f>HYPERLINK("https://arizona.app.box.com/file/389183905978")</f>
        <v>https://arizona.app.box.com/file/389183905978</v>
      </c>
    </row>
    <row r="5747" spans="1:25" x14ac:dyDescent="0.2">
      <c r="A5747">
        <v>306</v>
      </c>
      <c r="B5747" t="s">
        <v>9781</v>
      </c>
      <c r="C5747" t="s">
        <v>18</v>
      </c>
      <c r="D5747" t="s">
        <v>9784</v>
      </c>
      <c r="E5747" t="s">
        <v>3197</v>
      </c>
      <c r="F5747" t="s">
        <v>23</v>
      </c>
      <c r="G5747" t="s">
        <v>88</v>
      </c>
      <c r="I5747" t="b">
        <v>0</v>
      </c>
      <c r="J5747" t="b">
        <v>0</v>
      </c>
      <c r="L5747" t="b">
        <v>0</v>
      </c>
      <c r="M5747" t="str">
        <f>HYPERLINK("https://arizona.app.box.com/file/389268161844")</f>
        <v>https://arizona.app.box.com/file/389268161844</v>
      </c>
      <c r="N5747" t="str">
        <f>HYPERLINK("https://arizona.app.box.com/file/389153343920")</f>
        <v>https://arizona.app.box.com/file/389153343920</v>
      </c>
    </row>
    <row r="5749" spans="1:25" x14ac:dyDescent="0.2">
      <c r="A5749" s="2">
        <v>1260</v>
      </c>
      <c r="B5749" s="2" t="s">
        <v>9785</v>
      </c>
      <c r="C5749" s="2" t="s">
        <v>13</v>
      </c>
      <c r="D5749" s="2" t="s">
        <v>2535</v>
      </c>
      <c r="E5749" s="2" t="s">
        <v>9786</v>
      </c>
      <c r="F5749" s="2" t="s">
        <v>168</v>
      </c>
      <c r="G5749" s="2" t="s">
        <v>17</v>
      </c>
      <c r="H5749" s="2"/>
      <c r="I5749" s="2"/>
      <c r="J5749" s="2"/>
      <c r="K5749" s="2"/>
      <c r="L5749" s="2"/>
      <c r="M5749" s="2"/>
      <c r="N5749" s="2"/>
      <c r="O5749" s="2"/>
      <c r="P5749" s="2"/>
      <c r="Q5749" s="2"/>
      <c r="R5749" s="2"/>
      <c r="S5749" s="2"/>
      <c r="T5749" s="2"/>
      <c r="U5749" s="2"/>
      <c r="V5749" s="2"/>
      <c r="W5749" s="2"/>
      <c r="X5749" s="2"/>
      <c r="Y5749" s="2"/>
    </row>
    <row r="5750" spans="1:25" x14ac:dyDescent="0.2">
      <c r="A5750">
        <v>1261</v>
      </c>
      <c r="B5750" t="s">
        <v>9785</v>
      </c>
      <c r="C5750" t="s">
        <v>18</v>
      </c>
      <c r="D5750" t="s">
        <v>2535</v>
      </c>
      <c r="E5750" t="s">
        <v>2536</v>
      </c>
      <c r="F5750" t="s">
        <v>168</v>
      </c>
      <c r="G5750" t="s">
        <v>17</v>
      </c>
      <c r="I5750" t="b">
        <v>1</v>
      </c>
      <c r="J5750" t="b">
        <v>1</v>
      </c>
      <c r="L5750" t="b">
        <v>1</v>
      </c>
      <c r="M5750" t="str">
        <f>HYPERLINK("https://arizona.app.box.com/file/389260294867")</f>
        <v>https://arizona.app.box.com/file/389260294867</v>
      </c>
      <c r="N5750" t="str">
        <f>HYPERLINK("https://arizona.app.box.com/file/389138293492")</f>
        <v>https://arizona.app.box.com/file/389138293492</v>
      </c>
      <c r="O5750" t="str">
        <f>HYPERLINK("https://arizona.app.box.com/file/389175690285")</f>
        <v>https://arizona.app.box.com/file/389175690285</v>
      </c>
      <c r="P5750" t="str">
        <f>HYPERLINK("https://arizona.app.box.com/file/386216748323")</f>
        <v>https://arizona.app.box.com/file/386216748323</v>
      </c>
      <c r="Q5750" t="str">
        <f>HYPERLINK("https://arizona.app.box.com/file/389173430706")</f>
        <v>https://arizona.app.box.com/file/389173430706</v>
      </c>
      <c r="R5750" t="str">
        <f>HYPERLINK("https://arizona.app.box.com/file/386242983334")</f>
        <v>https://arizona.app.box.com/file/386242983334</v>
      </c>
    </row>
    <row r="5751" spans="1:25" x14ac:dyDescent="0.2">
      <c r="A5751">
        <v>1262</v>
      </c>
      <c r="B5751" t="s">
        <v>9785</v>
      </c>
      <c r="C5751" t="s">
        <v>18</v>
      </c>
      <c r="D5751" t="s">
        <v>2544</v>
      </c>
      <c r="E5751" t="s">
        <v>2545</v>
      </c>
      <c r="F5751" t="s">
        <v>168</v>
      </c>
      <c r="G5751" t="s">
        <v>17</v>
      </c>
      <c r="I5751" t="b">
        <v>0</v>
      </c>
      <c r="J5751" t="b">
        <v>1</v>
      </c>
      <c r="L5751" t="b">
        <v>0</v>
      </c>
      <c r="M5751" t="str">
        <f>HYPERLINK("https://arizona.app.box.com/file/389268515438")</f>
        <v>https://arizona.app.box.com/file/389268515438</v>
      </c>
    </row>
    <row r="5752" spans="1:25" x14ac:dyDescent="0.2">
      <c r="A5752">
        <v>1263</v>
      </c>
      <c r="B5752" t="s">
        <v>9785</v>
      </c>
      <c r="C5752" t="s">
        <v>18</v>
      </c>
      <c r="D5752" t="s">
        <v>2530</v>
      </c>
      <c r="E5752" t="s">
        <v>888</v>
      </c>
      <c r="F5752" t="s">
        <v>78</v>
      </c>
      <c r="G5752" t="s">
        <v>24</v>
      </c>
      <c r="I5752" t="b">
        <v>0</v>
      </c>
      <c r="J5752" t="b">
        <v>0</v>
      </c>
      <c r="L5752" t="b">
        <v>0</v>
      </c>
      <c r="M5752" t="str">
        <f>HYPERLINK("https://arizona.app.box.com/file/389257239827")</f>
        <v>https://arizona.app.box.com/file/389257239827</v>
      </c>
      <c r="N5752" t="str">
        <f>HYPERLINK("https://arizona.app.box.com/file/389153819985")</f>
        <v>https://arizona.app.box.com/file/389153819985</v>
      </c>
    </row>
    <row r="5753" spans="1:25" x14ac:dyDescent="0.2">
      <c r="A5753">
        <v>1264</v>
      </c>
      <c r="B5753" t="s">
        <v>9785</v>
      </c>
      <c r="C5753" t="s">
        <v>18</v>
      </c>
      <c r="D5753" t="s">
        <v>9787</v>
      </c>
      <c r="E5753" t="s">
        <v>9788</v>
      </c>
      <c r="F5753" t="s">
        <v>78</v>
      </c>
      <c r="G5753" t="s">
        <v>88</v>
      </c>
      <c r="I5753" t="b">
        <v>0</v>
      </c>
      <c r="J5753" t="b">
        <v>0</v>
      </c>
      <c r="L5753" t="b">
        <v>0</v>
      </c>
      <c r="M5753" t="str">
        <f>HYPERLINK("https://arizona.app.box.com/file/386251166493")</f>
        <v>https://arizona.app.box.com/file/386251166493</v>
      </c>
    </row>
    <row r="5754" spans="1:25" x14ac:dyDescent="0.2">
      <c r="A5754">
        <v>1265</v>
      </c>
      <c r="B5754" t="s">
        <v>9785</v>
      </c>
      <c r="C5754" t="s">
        <v>18</v>
      </c>
      <c r="D5754" t="s">
        <v>2533</v>
      </c>
      <c r="E5754" t="s">
        <v>2534</v>
      </c>
      <c r="F5754" t="s">
        <v>78</v>
      </c>
      <c r="G5754" t="s">
        <v>24</v>
      </c>
      <c r="I5754" t="b">
        <v>0</v>
      </c>
      <c r="J5754" t="b">
        <v>0</v>
      </c>
      <c r="L5754" t="b">
        <v>0</v>
      </c>
    </row>
    <row r="5756" spans="1:25" x14ac:dyDescent="0.2">
      <c r="A5756" s="2">
        <v>1190</v>
      </c>
      <c r="B5756" s="2" t="s">
        <v>9789</v>
      </c>
      <c r="C5756" s="2" t="s">
        <v>13</v>
      </c>
      <c r="D5756" s="2" t="s">
        <v>9790</v>
      </c>
      <c r="E5756" s="2" t="s">
        <v>9791</v>
      </c>
      <c r="F5756" s="2" t="s">
        <v>122</v>
      </c>
      <c r="G5756" s="2" t="s">
        <v>17</v>
      </c>
      <c r="H5756" s="2"/>
      <c r="I5756" s="2"/>
      <c r="J5756" s="2"/>
      <c r="K5756" s="2"/>
      <c r="L5756" s="2"/>
      <c r="M5756" s="2"/>
      <c r="N5756" s="2"/>
      <c r="O5756" s="2"/>
      <c r="P5756" s="2"/>
      <c r="Q5756" s="2"/>
      <c r="R5756" s="2"/>
      <c r="S5756" s="2"/>
      <c r="T5756" s="2"/>
      <c r="U5756" s="2"/>
      <c r="V5756" s="2"/>
      <c r="W5756" s="2"/>
      <c r="X5756" s="2"/>
      <c r="Y5756" s="2"/>
    </row>
    <row r="5757" spans="1:25" x14ac:dyDescent="0.2">
      <c r="A5757">
        <v>1191</v>
      </c>
      <c r="B5757" t="s">
        <v>9789</v>
      </c>
      <c r="C5757" t="s">
        <v>18</v>
      </c>
      <c r="D5757" t="s">
        <v>9790</v>
      </c>
      <c r="E5757" t="s">
        <v>9791</v>
      </c>
      <c r="F5757" t="s">
        <v>122</v>
      </c>
      <c r="G5757" t="s">
        <v>17</v>
      </c>
      <c r="I5757" t="b">
        <v>1</v>
      </c>
      <c r="J5757" t="b">
        <v>1</v>
      </c>
      <c r="L5757" t="b">
        <v>1</v>
      </c>
      <c r="M5757" t="str">
        <f>HYPERLINK("https://arizona.app.box.com/file/389133644570")</f>
        <v>https://arizona.app.box.com/file/389133644570</v>
      </c>
      <c r="N5757" t="str">
        <f>HYPERLINK("https://arizona.app.box.com/file/389264050419")</f>
        <v>https://arizona.app.box.com/file/389264050419</v>
      </c>
      <c r="O5757" t="str">
        <f>HYPERLINK("https://arizona.app.box.com/file/389161796734")</f>
        <v>https://arizona.app.box.com/file/389161796734</v>
      </c>
    </row>
    <row r="5758" spans="1:25" x14ac:dyDescent="0.2">
      <c r="A5758">
        <v>1192</v>
      </c>
      <c r="B5758" t="s">
        <v>9789</v>
      </c>
      <c r="C5758" t="s">
        <v>18</v>
      </c>
      <c r="D5758" t="s">
        <v>971</v>
      </c>
      <c r="E5758" t="s">
        <v>972</v>
      </c>
      <c r="F5758" t="s">
        <v>82</v>
      </c>
      <c r="G5758" t="s">
        <v>17</v>
      </c>
      <c r="I5758" t="b">
        <v>0</v>
      </c>
      <c r="J5758" t="b">
        <v>0</v>
      </c>
      <c r="L5758" t="b">
        <v>0</v>
      </c>
    </row>
    <row r="5759" spans="1:25" x14ac:dyDescent="0.2">
      <c r="A5759">
        <v>1193</v>
      </c>
      <c r="B5759" t="s">
        <v>9789</v>
      </c>
      <c r="C5759" t="s">
        <v>18</v>
      </c>
      <c r="D5759" t="s">
        <v>9792</v>
      </c>
      <c r="E5759" t="s">
        <v>9793</v>
      </c>
      <c r="F5759" t="s">
        <v>122</v>
      </c>
      <c r="G5759" t="s">
        <v>130</v>
      </c>
      <c r="I5759" t="b">
        <v>0</v>
      </c>
      <c r="J5759" t="b">
        <v>0</v>
      </c>
      <c r="L5759" t="b">
        <v>0</v>
      </c>
    </row>
    <row r="5760" spans="1:25" x14ac:dyDescent="0.2">
      <c r="A5760">
        <v>1194</v>
      </c>
      <c r="B5760" t="s">
        <v>9789</v>
      </c>
      <c r="C5760" t="s">
        <v>18</v>
      </c>
      <c r="D5760" t="s">
        <v>9794</v>
      </c>
      <c r="E5760" t="s">
        <v>9795</v>
      </c>
      <c r="F5760" t="s">
        <v>82</v>
      </c>
      <c r="G5760" t="s">
        <v>17</v>
      </c>
      <c r="I5760" t="b">
        <v>0</v>
      </c>
      <c r="J5760" t="b">
        <v>0</v>
      </c>
      <c r="L5760" t="b">
        <v>0</v>
      </c>
    </row>
    <row r="5761" spans="1:25" x14ac:dyDescent="0.2">
      <c r="A5761">
        <v>1195</v>
      </c>
      <c r="B5761" t="s">
        <v>9789</v>
      </c>
      <c r="C5761" t="s">
        <v>18</v>
      </c>
      <c r="D5761" t="s">
        <v>9796</v>
      </c>
      <c r="E5761" t="s">
        <v>9797</v>
      </c>
      <c r="F5761" t="s">
        <v>122</v>
      </c>
      <c r="G5761" t="s">
        <v>17</v>
      </c>
      <c r="I5761" t="b">
        <v>0</v>
      </c>
      <c r="J5761" t="b">
        <v>0</v>
      </c>
      <c r="L5761" t="b">
        <v>0</v>
      </c>
      <c r="M5761" t="str">
        <f>HYPERLINK("https://arizona.app.box.com/file/389151650814")</f>
        <v>https://arizona.app.box.com/file/389151650814</v>
      </c>
      <c r="N5761" t="str">
        <f>HYPERLINK("https://arizona.app.box.com/file/389150779999")</f>
        <v>https://arizona.app.box.com/file/389150779999</v>
      </c>
    </row>
    <row r="5763" spans="1:25" x14ac:dyDescent="0.2">
      <c r="A5763" s="2">
        <v>6433</v>
      </c>
      <c r="B5763" s="2" t="s">
        <v>9798</v>
      </c>
      <c r="C5763" s="2" t="s">
        <v>13</v>
      </c>
      <c r="D5763" s="2" t="s">
        <v>9799</v>
      </c>
      <c r="E5763" s="2" t="s">
        <v>9800</v>
      </c>
      <c r="F5763" s="2" t="s">
        <v>248</v>
      </c>
      <c r="G5763" s="2" t="s">
        <v>134</v>
      </c>
      <c r="H5763" s="2"/>
      <c r="I5763" s="2"/>
      <c r="J5763" s="2"/>
      <c r="K5763" s="2"/>
      <c r="L5763" s="2"/>
      <c r="M5763" s="2"/>
      <c r="N5763" s="2"/>
      <c r="O5763" s="2"/>
      <c r="P5763" s="2"/>
      <c r="Q5763" s="2"/>
      <c r="R5763" s="2"/>
      <c r="S5763" s="2"/>
      <c r="T5763" s="2"/>
      <c r="U5763" s="2"/>
      <c r="V5763" s="2"/>
      <c r="W5763" s="2"/>
      <c r="X5763" s="2"/>
      <c r="Y5763" s="2"/>
    </row>
    <row r="5764" spans="1:25" x14ac:dyDescent="0.2">
      <c r="A5764">
        <v>6434</v>
      </c>
      <c r="B5764" t="s">
        <v>9798</v>
      </c>
      <c r="C5764" t="s">
        <v>18</v>
      </c>
      <c r="D5764" t="s">
        <v>9799</v>
      </c>
      <c r="E5764" t="s">
        <v>9801</v>
      </c>
      <c r="F5764" t="s">
        <v>248</v>
      </c>
      <c r="G5764" t="s">
        <v>134</v>
      </c>
      <c r="I5764" t="b">
        <v>1</v>
      </c>
      <c r="J5764" t="b">
        <v>1</v>
      </c>
      <c r="L5764" t="b">
        <v>1</v>
      </c>
      <c r="M5764" t="str">
        <f>HYPERLINK("https://arizona.app.box.com/file/389267426116")</f>
        <v>https://arizona.app.box.com/file/389267426116</v>
      </c>
      <c r="N5764" t="str">
        <f>HYPERLINK("https://arizona.app.box.com/file/389152725870")</f>
        <v>https://arizona.app.box.com/file/389152725870</v>
      </c>
    </row>
    <row r="5765" spans="1:25" x14ac:dyDescent="0.2">
      <c r="A5765">
        <v>6435</v>
      </c>
      <c r="B5765" t="s">
        <v>9798</v>
      </c>
      <c r="C5765" t="s">
        <v>18</v>
      </c>
      <c r="D5765" t="s">
        <v>9802</v>
      </c>
      <c r="E5765" t="s">
        <v>4854</v>
      </c>
      <c r="F5765" t="s">
        <v>248</v>
      </c>
      <c r="G5765" t="s">
        <v>134</v>
      </c>
      <c r="I5765" t="b">
        <v>1</v>
      </c>
      <c r="J5765" t="b">
        <v>1</v>
      </c>
      <c r="L5765" t="b">
        <v>1</v>
      </c>
      <c r="M5765" t="str">
        <f>HYPERLINK("https://arizona.app.box.com/file/389268210710")</f>
        <v>https://arizona.app.box.com/file/389268210710</v>
      </c>
      <c r="N5765" t="str">
        <f>HYPERLINK("https://arizona.app.box.com/file/389161774731")</f>
        <v>https://arizona.app.box.com/file/389161774731</v>
      </c>
    </row>
    <row r="5766" spans="1:25" x14ac:dyDescent="0.2">
      <c r="A5766">
        <v>6436</v>
      </c>
      <c r="B5766" t="s">
        <v>9798</v>
      </c>
      <c r="C5766" t="s">
        <v>18</v>
      </c>
      <c r="D5766" t="s">
        <v>1856</v>
      </c>
      <c r="E5766" t="s">
        <v>1857</v>
      </c>
      <c r="F5766" t="s">
        <v>248</v>
      </c>
      <c r="G5766" t="s">
        <v>134</v>
      </c>
      <c r="I5766" t="b">
        <v>0</v>
      </c>
      <c r="J5766" t="b">
        <v>0</v>
      </c>
      <c r="L5766" t="b">
        <v>0</v>
      </c>
    </row>
    <row r="5767" spans="1:25" x14ac:dyDescent="0.2">
      <c r="A5767">
        <v>6437</v>
      </c>
      <c r="B5767" t="s">
        <v>9798</v>
      </c>
      <c r="C5767" t="s">
        <v>18</v>
      </c>
      <c r="D5767" t="s">
        <v>9803</v>
      </c>
      <c r="E5767" t="s">
        <v>9804</v>
      </c>
      <c r="F5767" t="s">
        <v>248</v>
      </c>
      <c r="G5767" t="s">
        <v>134</v>
      </c>
      <c r="I5767" t="b">
        <v>0</v>
      </c>
      <c r="J5767" t="b">
        <v>0</v>
      </c>
      <c r="L5767" t="b">
        <v>0</v>
      </c>
    </row>
    <row r="5768" spans="1:25" x14ac:dyDescent="0.2">
      <c r="A5768">
        <v>6438</v>
      </c>
      <c r="B5768" t="s">
        <v>9798</v>
      </c>
      <c r="C5768" t="s">
        <v>18</v>
      </c>
      <c r="D5768" t="s">
        <v>1728</v>
      </c>
      <c r="E5768" t="s">
        <v>1729</v>
      </c>
      <c r="F5768" t="s">
        <v>248</v>
      </c>
      <c r="G5768" t="s">
        <v>134</v>
      </c>
      <c r="I5768" t="b">
        <v>0</v>
      </c>
      <c r="J5768" t="b">
        <v>0</v>
      </c>
      <c r="L5768" t="b">
        <v>0</v>
      </c>
      <c r="M5768" t="str">
        <f>HYPERLINK("https://arizona.app.box.com/file/389167798930")</f>
        <v>https://arizona.app.box.com/file/389167798930</v>
      </c>
      <c r="N5768" t="str">
        <f>HYPERLINK("https://arizona.app.box.com/file/386241113911")</f>
        <v>https://arizona.app.box.com/file/386241113911</v>
      </c>
    </row>
    <row r="5770" spans="1:25" x14ac:dyDescent="0.2">
      <c r="A5770" s="2">
        <v>6244</v>
      </c>
      <c r="B5770" s="2" t="s">
        <v>9805</v>
      </c>
      <c r="C5770" s="2" t="s">
        <v>13</v>
      </c>
      <c r="D5770" s="2" t="s">
        <v>9806</v>
      </c>
      <c r="E5770" s="2" t="s">
        <v>9807</v>
      </c>
      <c r="F5770" s="2" t="s">
        <v>31</v>
      </c>
      <c r="G5770" s="2" t="s">
        <v>62</v>
      </c>
      <c r="H5770" s="2"/>
      <c r="I5770" s="2"/>
      <c r="J5770" s="2"/>
      <c r="K5770" s="2"/>
      <c r="L5770" s="2"/>
      <c r="M5770" s="2"/>
      <c r="N5770" s="2"/>
      <c r="O5770" s="2"/>
      <c r="P5770" s="2"/>
      <c r="Q5770" s="2"/>
      <c r="R5770" s="2"/>
      <c r="S5770" s="2"/>
      <c r="T5770" s="2"/>
      <c r="U5770" s="2"/>
      <c r="V5770" s="2"/>
      <c r="W5770" s="2"/>
      <c r="X5770" s="2"/>
      <c r="Y5770" s="2"/>
    </row>
    <row r="5771" spans="1:25" x14ac:dyDescent="0.2">
      <c r="A5771">
        <v>6245</v>
      </c>
      <c r="B5771" t="s">
        <v>9805</v>
      </c>
      <c r="C5771" t="s">
        <v>18</v>
      </c>
      <c r="D5771" t="s">
        <v>9806</v>
      </c>
      <c r="E5771" t="s">
        <v>9807</v>
      </c>
      <c r="F5771" t="s">
        <v>31</v>
      </c>
      <c r="G5771" t="s">
        <v>62</v>
      </c>
      <c r="I5771" t="b">
        <v>1</v>
      </c>
      <c r="J5771" t="b">
        <v>1</v>
      </c>
      <c r="L5771" t="b">
        <v>1</v>
      </c>
      <c r="M5771" t="str">
        <f>HYPERLINK("https://arizona.app.box.com/file/386230130110")</f>
        <v>https://arizona.app.box.com/file/386230130110</v>
      </c>
      <c r="N5771" t="str">
        <f>HYPERLINK("https://arizona.app.box.com/file/386244805568")</f>
        <v>https://arizona.app.box.com/file/386244805568</v>
      </c>
    </row>
    <row r="5772" spans="1:25" x14ac:dyDescent="0.2">
      <c r="A5772">
        <v>6246</v>
      </c>
      <c r="B5772" t="s">
        <v>9805</v>
      </c>
      <c r="C5772" t="s">
        <v>18</v>
      </c>
      <c r="D5772" t="s">
        <v>9808</v>
      </c>
      <c r="E5772" t="s">
        <v>9809</v>
      </c>
      <c r="F5772" t="s">
        <v>316</v>
      </c>
      <c r="G5772" t="s">
        <v>62</v>
      </c>
      <c r="I5772" t="b">
        <v>0</v>
      </c>
      <c r="J5772" t="b">
        <v>0</v>
      </c>
      <c r="L5772" t="b">
        <v>0</v>
      </c>
      <c r="M5772" t="str">
        <f>HYPERLINK("https://arizona.app.box.com/file/386241127911")</f>
        <v>https://arizona.app.box.com/file/386241127911</v>
      </c>
    </row>
    <row r="5773" spans="1:25" x14ac:dyDescent="0.2">
      <c r="A5773">
        <v>6247</v>
      </c>
      <c r="B5773" t="s">
        <v>9805</v>
      </c>
      <c r="C5773" t="s">
        <v>18</v>
      </c>
      <c r="D5773" t="s">
        <v>9810</v>
      </c>
      <c r="E5773" t="s">
        <v>9811</v>
      </c>
      <c r="F5773" t="s">
        <v>122</v>
      </c>
      <c r="G5773" t="s">
        <v>62</v>
      </c>
      <c r="I5773" t="b">
        <v>0</v>
      </c>
      <c r="J5773" t="b">
        <v>0</v>
      </c>
      <c r="L5773" t="b">
        <v>0</v>
      </c>
      <c r="M5773" t="str">
        <f>HYPERLINK("https://arizona.app.box.com/file/386229420769")</f>
        <v>https://arizona.app.box.com/file/386229420769</v>
      </c>
    </row>
    <row r="5774" spans="1:25" x14ac:dyDescent="0.2">
      <c r="A5774">
        <v>6248</v>
      </c>
      <c r="B5774" t="s">
        <v>9805</v>
      </c>
      <c r="C5774" t="s">
        <v>18</v>
      </c>
      <c r="D5774" t="s">
        <v>9812</v>
      </c>
      <c r="E5774" t="s">
        <v>6798</v>
      </c>
      <c r="F5774" t="s">
        <v>122</v>
      </c>
      <c r="G5774" t="s">
        <v>62</v>
      </c>
      <c r="I5774" t="b">
        <v>0</v>
      </c>
      <c r="J5774" t="b">
        <v>0</v>
      </c>
      <c r="L5774" t="b">
        <v>0</v>
      </c>
      <c r="M5774" t="str">
        <f>HYPERLINK("https://arizona.app.box.com/file/386229518513")</f>
        <v>https://arizona.app.box.com/file/386229518513</v>
      </c>
    </row>
    <row r="5775" spans="1:25" x14ac:dyDescent="0.2">
      <c r="A5775">
        <v>6249</v>
      </c>
      <c r="B5775" t="s">
        <v>9805</v>
      </c>
      <c r="C5775" t="s">
        <v>18</v>
      </c>
      <c r="D5775" t="s">
        <v>9813</v>
      </c>
      <c r="E5775" t="s">
        <v>9814</v>
      </c>
      <c r="F5775" t="s">
        <v>561</v>
      </c>
      <c r="G5775" t="s">
        <v>255</v>
      </c>
      <c r="I5775" t="b">
        <v>0</v>
      </c>
      <c r="J5775" t="b">
        <v>0</v>
      </c>
      <c r="L5775" t="b">
        <v>0</v>
      </c>
      <c r="M5775" t="str">
        <f>HYPERLINK("https://arizona.app.box.com/file/386243385883")</f>
        <v>https://arizona.app.box.com/file/386243385883</v>
      </c>
    </row>
    <row r="5777" spans="1:25" x14ac:dyDescent="0.2">
      <c r="A5777" s="2">
        <v>7378</v>
      </c>
      <c r="B5777" s="2" t="s">
        <v>9815</v>
      </c>
      <c r="C5777" s="2" t="s">
        <v>13</v>
      </c>
      <c r="D5777" s="2" t="s">
        <v>9816</v>
      </c>
      <c r="E5777" s="2" t="s">
        <v>9817</v>
      </c>
      <c r="F5777" s="2" t="s">
        <v>264</v>
      </c>
      <c r="G5777" s="2" t="s">
        <v>17</v>
      </c>
      <c r="H5777" s="2"/>
      <c r="I5777" s="2"/>
      <c r="J5777" s="2"/>
      <c r="K5777" s="2"/>
      <c r="L5777" s="2"/>
      <c r="M5777" s="2"/>
      <c r="N5777" s="2"/>
      <c r="O5777" s="2"/>
      <c r="P5777" s="2"/>
      <c r="Q5777" s="2"/>
      <c r="R5777" s="2"/>
      <c r="S5777" s="2"/>
      <c r="T5777" s="2"/>
      <c r="U5777" s="2"/>
      <c r="V5777" s="2"/>
      <c r="W5777" s="2"/>
      <c r="X5777" s="2"/>
      <c r="Y5777" s="2"/>
    </row>
    <row r="5778" spans="1:25" x14ac:dyDescent="0.2">
      <c r="A5778">
        <v>7379</v>
      </c>
      <c r="B5778" t="s">
        <v>9815</v>
      </c>
      <c r="C5778" t="s">
        <v>18</v>
      </c>
      <c r="D5778" t="s">
        <v>9818</v>
      </c>
      <c r="E5778" t="s">
        <v>9817</v>
      </c>
      <c r="F5778" t="s">
        <v>264</v>
      </c>
      <c r="G5778" t="s">
        <v>17</v>
      </c>
      <c r="I5778" t="b">
        <v>1</v>
      </c>
      <c r="J5778" t="b">
        <v>1</v>
      </c>
      <c r="L5778" t="b">
        <v>1</v>
      </c>
      <c r="M5778" t="str">
        <f>HYPERLINK("https://arizona.app.box.com/file/389152066290")</f>
        <v>https://arizona.app.box.com/file/389152066290</v>
      </c>
      <c r="N5778" t="str">
        <f>HYPERLINK("https://arizona.app.box.com/file/389137510987")</f>
        <v>https://arizona.app.box.com/file/389137510987</v>
      </c>
    </row>
    <row r="5779" spans="1:25" x14ac:dyDescent="0.2">
      <c r="A5779">
        <v>7380</v>
      </c>
      <c r="B5779" t="s">
        <v>9815</v>
      </c>
      <c r="C5779" t="s">
        <v>18</v>
      </c>
      <c r="D5779" t="s">
        <v>9819</v>
      </c>
      <c r="E5779" t="s">
        <v>9820</v>
      </c>
      <c r="F5779" t="s">
        <v>264</v>
      </c>
      <c r="G5779" t="s">
        <v>17</v>
      </c>
      <c r="I5779" t="b">
        <v>0</v>
      </c>
      <c r="J5779" t="b">
        <v>0</v>
      </c>
      <c r="L5779" t="b">
        <v>0</v>
      </c>
      <c r="M5779" t="str">
        <f>HYPERLINK("https://arizona.app.box.com/file/389151413855")</f>
        <v>https://arizona.app.box.com/file/389151413855</v>
      </c>
      <c r="N5779" t="str">
        <f>HYPERLINK("https://arizona.app.box.com/file/389160400850")</f>
        <v>https://arizona.app.box.com/file/389160400850</v>
      </c>
    </row>
    <row r="5780" spans="1:25" x14ac:dyDescent="0.2">
      <c r="A5780">
        <v>7381</v>
      </c>
      <c r="B5780" t="s">
        <v>9815</v>
      </c>
      <c r="C5780" t="s">
        <v>18</v>
      </c>
      <c r="D5780" t="s">
        <v>9821</v>
      </c>
      <c r="E5780" t="s">
        <v>9822</v>
      </c>
      <c r="F5780" t="s">
        <v>264</v>
      </c>
      <c r="G5780" t="s">
        <v>17</v>
      </c>
      <c r="I5780" t="b">
        <v>0</v>
      </c>
      <c r="J5780" t="b">
        <v>0</v>
      </c>
      <c r="L5780" t="b">
        <v>0</v>
      </c>
      <c r="M5780" t="str">
        <f>HYPERLINK("https://arizona.app.box.com/file/389262596491")</f>
        <v>https://arizona.app.box.com/file/389262596491</v>
      </c>
      <c r="N5780" t="str">
        <f>HYPERLINK("https://arizona.app.box.com/file/389151352949")</f>
        <v>https://arizona.app.box.com/file/389151352949</v>
      </c>
      <c r="O5780" t="str">
        <f>HYPERLINK("https://arizona.app.box.com/file/389151724404")</f>
        <v>https://arizona.app.box.com/file/389151724404</v>
      </c>
    </row>
    <row r="5781" spans="1:25" x14ac:dyDescent="0.2">
      <c r="A5781">
        <v>7382</v>
      </c>
      <c r="B5781" t="s">
        <v>9815</v>
      </c>
      <c r="C5781" t="s">
        <v>18</v>
      </c>
      <c r="D5781" t="s">
        <v>9823</v>
      </c>
      <c r="E5781" t="s">
        <v>4509</v>
      </c>
      <c r="F5781" t="s">
        <v>264</v>
      </c>
      <c r="G5781" t="s">
        <v>17</v>
      </c>
      <c r="I5781" t="b">
        <v>0</v>
      </c>
      <c r="J5781" t="b">
        <v>0</v>
      </c>
      <c r="L5781" t="b">
        <v>0</v>
      </c>
      <c r="M5781" t="str">
        <f>HYPERLINK("https://arizona.app.box.com/file/389165371756")</f>
        <v>https://arizona.app.box.com/file/389165371756</v>
      </c>
    </row>
    <row r="5782" spans="1:25" x14ac:dyDescent="0.2">
      <c r="A5782">
        <v>7383</v>
      </c>
      <c r="B5782" t="s">
        <v>9815</v>
      </c>
      <c r="C5782" t="s">
        <v>18</v>
      </c>
      <c r="D5782" t="s">
        <v>9824</v>
      </c>
      <c r="E5782" t="s">
        <v>5619</v>
      </c>
      <c r="F5782" t="s">
        <v>264</v>
      </c>
      <c r="G5782" t="s">
        <v>17</v>
      </c>
      <c r="I5782" t="b">
        <v>0</v>
      </c>
      <c r="J5782" t="b">
        <v>0</v>
      </c>
      <c r="L5782" t="b">
        <v>0</v>
      </c>
      <c r="M5782" t="str">
        <f>HYPERLINK("https://arizona.app.box.com/file/389151664516")</f>
        <v>https://arizona.app.box.com/file/389151664516</v>
      </c>
    </row>
    <row r="5784" spans="1:25" x14ac:dyDescent="0.2">
      <c r="A5784" s="2">
        <v>189</v>
      </c>
      <c r="B5784" s="2" t="s">
        <v>9825</v>
      </c>
      <c r="C5784" s="2" t="s">
        <v>13</v>
      </c>
      <c r="D5784" s="2" t="s">
        <v>9826</v>
      </c>
      <c r="E5784" s="2" t="s">
        <v>9827</v>
      </c>
      <c r="F5784" s="2" t="s">
        <v>82</v>
      </c>
      <c r="G5784" s="2" t="s">
        <v>265</v>
      </c>
      <c r="H5784" s="2"/>
      <c r="I5784" s="2"/>
      <c r="J5784" s="2"/>
      <c r="K5784" s="2"/>
      <c r="L5784" s="2"/>
      <c r="M5784" s="2"/>
      <c r="N5784" s="2"/>
      <c r="O5784" s="2"/>
      <c r="P5784" s="2"/>
      <c r="Q5784" s="2"/>
      <c r="R5784" s="2"/>
      <c r="S5784" s="2"/>
      <c r="T5784" s="2"/>
      <c r="U5784" s="2"/>
      <c r="V5784" s="2"/>
      <c r="W5784" s="2"/>
      <c r="X5784" s="2"/>
      <c r="Y5784" s="2"/>
    </row>
    <row r="5785" spans="1:25" x14ac:dyDescent="0.2">
      <c r="A5785">
        <v>190</v>
      </c>
      <c r="B5785" t="s">
        <v>9825</v>
      </c>
      <c r="C5785" t="s">
        <v>18</v>
      </c>
      <c r="D5785" t="s">
        <v>3294</v>
      </c>
      <c r="E5785" t="s">
        <v>356</v>
      </c>
      <c r="F5785" t="s">
        <v>82</v>
      </c>
      <c r="G5785" t="s">
        <v>265</v>
      </c>
      <c r="I5785" t="b">
        <v>1</v>
      </c>
      <c r="J5785" t="b">
        <v>1</v>
      </c>
      <c r="L5785" t="b">
        <v>1</v>
      </c>
      <c r="M5785" t="str">
        <f>HYPERLINK("https://arizona.app.box.com/file/386240081787")</f>
        <v>https://arizona.app.box.com/file/386240081787</v>
      </c>
    </row>
    <row r="5786" spans="1:25" x14ac:dyDescent="0.2">
      <c r="A5786">
        <v>191</v>
      </c>
      <c r="B5786" t="s">
        <v>9825</v>
      </c>
      <c r="C5786" t="s">
        <v>18</v>
      </c>
      <c r="D5786" t="s">
        <v>3299</v>
      </c>
      <c r="E5786" t="s">
        <v>3300</v>
      </c>
      <c r="F5786" t="s">
        <v>82</v>
      </c>
      <c r="G5786" t="s">
        <v>265</v>
      </c>
      <c r="I5786" t="b">
        <v>0</v>
      </c>
      <c r="J5786" t="b">
        <v>0</v>
      </c>
      <c r="L5786" t="b">
        <v>0</v>
      </c>
    </row>
    <row r="5787" spans="1:25" x14ac:dyDescent="0.2">
      <c r="A5787">
        <v>192</v>
      </c>
      <c r="B5787" t="s">
        <v>9825</v>
      </c>
      <c r="C5787" t="s">
        <v>18</v>
      </c>
      <c r="D5787" t="s">
        <v>3291</v>
      </c>
      <c r="E5787" t="s">
        <v>3292</v>
      </c>
      <c r="F5787" t="s">
        <v>82</v>
      </c>
      <c r="G5787" t="s">
        <v>265</v>
      </c>
      <c r="I5787" t="b">
        <v>0</v>
      </c>
      <c r="J5787" t="b">
        <v>0</v>
      </c>
      <c r="L5787" t="b">
        <v>0</v>
      </c>
      <c r="M5787" t="str">
        <f>HYPERLINK("https://arizona.app.box.com/file/386243947282")</f>
        <v>https://arizona.app.box.com/file/386243947282</v>
      </c>
    </row>
    <row r="5788" spans="1:25" x14ac:dyDescent="0.2">
      <c r="A5788">
        <v>193</v>
      </c>
      <c r="B5788" t="s">
        <v>9825</v>
      </c>
      <c r="C5788" t="s">
        <v>18</v>
      </c>
      <c r="D5788" t="s">
        <v>3296</v>
      </c>
      <c r="E5788" t="s">
        <v>3297</v>
      </c>
      <c r="F5788" t="s">
        <v>82</v>
      </c>
      <c r="G5788" t="s">
        <v>265</v>
      </c>
      <c r="I5788" t="b">
        <v>0</v>
      </c>
      <c r="J5788" t="b">
        <v>0</v>
      </c>
      <c r="L5788" t="b">
        <v>0</v>
      </c>
      <c r="M5788" t="str">
        <f>HYPERLINK("https://arizona.app.box.com/file/386248062167")</f>
        <v>https://arizona.app.box.com/file/386248062167</v>
      </c>
      <c r="N5788" t="str">
        <f>HYPERLINK("https://arizona.app.box.com/file/386241113911")</f>
        <v>https://arizona.app.box.com/file/386241113911</v>
      </c>
    </row>
    <row r="5789" spans="1:25" x14ac:dyDescent="0.2">
      <c r="A5789">
        <v>194</v>
      </c>
      <c r="B5789" t="s">
        <v>9825</v>
      </c>
      <c r="C5789" t="s">
        <v>18</v>
      </c>
      <c r="D5789" t="s">
        <v>9828</v>
      </c>
      <c r="E5789" t="s">
        <v>9829</v>
      </c>
      <c r="F5789" t="s">
        <v>82</v>
      </c>
      <c r="G5789" t="s">
        <v>265</v>
      </c>
      <c r="I5789" t="b">
        <v>0</v>
      </c>
      <c r="J5789" t="b">
        <v>0</v>
      </c>
      <c r="L5789" t="b">
        <v>0</v>
      </c>
      <c r="M5789" t="str">
        <f>HYPERLINK("https://arizona.app.box.com/file/386214598056")</f>
        <v>https://arizona.app.box.com/file/386214598056</v>
      </c>
    </row>
    <row r="5791" spans="1:25" x14ac:dyDescent="0.2">
      <c r="A5791" s="2">
        <v>1645</v>
      </c>
      <c r="B5791" s="2" t="s">
        <v>9830</v>
      </c>
      <c r="C5791" s="2" t="s">
        <v>13</v>
      </c>
      <c r="D5791" s="2" t="s">
        <v>8806</v>
      </c>
      <c r="E5791" s="2" t="s">
        <v>9831</v>
      </c>
      <c r="F5791" s="2" t="s">
        <v>248</v>
      </c>
      <c r="G5791" s="2" t="s">
        <v>252</v>
      </c>
      <c r="H5791" s="2"/>
      <c r="I5791" s="2"/>
      <c r="J5791" s="2"/>
      <c r="K5791" s="2"/>
      <c r="L5791" s="2"/>
      <c r="M5791" s="2"/>
      <c r="N5791" s="2"/>
      <c r="O5791" s="2"/>
      <c r="P5791" s="2"/>
      <c r="Q5791" s="2"/>
      <c r="R5791" s="2"/>
      <c r="S5791" s="2"/>
      <c r="T5791" s="2"/>
      <c r="U5791" s="2"/>
      <c r="V5791" s="2"/>
      <c r="W5791" s="2"/>
      <c r="X5791" s="2"/>
      <c r="Y5791" s="2"/>
    </row>
    <row r="5792" spans="1:25" x14ac:dyDescent="0.2">
      <c r="A5792">
        <v>1646</v>
      </c>
      <c r="B5792" t="s">
        <v>9830</v>
      </c>
      <c r="C5792" t="s">
        <v>18</v>
      </c>
      <c r="D5792" t="s">
        <v>8806</v>
      </c>
      <c r="E5792" t="s">
        <v>455</v>
      </c>
      <c r="F5792" t="s">
        <v>248</v>
      </c>
      <c r="G5792" t="s">
        <v>252</v>
      </c>
      <c r="I5792" t="b">
        <v>1</v>
      </c>
      <c r="J5792" t="b">
        <v>1</v>
      </c>
      <c r="L5792" t="b">
        <v>1</v>
      </c>
      <c r="M5792" t="str">
        <f>HYPERLINK("https://arizona.app.box.com/file/386247812345")</f>
        <v>https://arizona.app.box.com/file/386247812345</v>
      </c>
    </row>
    <row r="5793" spans="1:25" x14ac:dyDescent="0.2">
      <c r="A5793">
        <v>1647</v>
      </c>
      <c r="B5793" t="s">
        <v>9830</v>
      </c>
      <c r="C5793" t="s">
        <v>18</v>
      </c>
      <c r="D5793" t="s">
        <v>8807</v>
      </c>
      <c r="E5793" t="s">
        <v>301</v>
      </c>
      <c r="F5793" t="s">
        <v>248</v>
      </c>
      <c r="G5793" t="s">
        <v>252</v>
      </c>
      <c r="I5793" t="b">
        <v>1</v>
      </c>
      <c r="J5793" t="b">
        <v>1</v>
      </c>
      <c r="L5793" t="b">
        <v>1</v>
      </c>
      <c r="M5793" t="str">
        <f>HYPERLINK("https://arizona.app.box.com/file/386247007438")</f>
        <v>https://arizona.app.box.com/file/386247007438</v>
      </c>
    </row>
    <row r="5794" spans="1:25" x14ac:dyDescent="0.2">
      <c r="A5794">
        <v>1648</v>
      </c>
      <c r="B5794" t="s">
        <v>9830</v>
      </c>
      <c r="C5794" t="s">
        <v>18</v>
      </c>
      <c r="D5794" t="s">
        <v>9832</v>
      </c>
      <c r="E5794" t="s">
        <v>1803</v>
      </c>
      <c r="F5794" t="s">
        <v>248</v>
      </c>
      <c r="G5794" t="s">
        <v>252</v>
      </c>
      <c r="I5794" t="b">
        <v>0</v>
      </c>
      <c r="J5794" t="b">
        <v>0</v>
      </c>
      <c r="L5794" t="b">
        <v>0</v>
      </c>
    </row>
    <row r="5795" spans="1:25" x14ac:dyDescent="0.2">
      <c r="A5795">
        <v>1649</v>
      </c>
      <c r="B5795" t="s">
        <v>9830</v>
      </c>
      <c r="C5795" t="s">
        <v>18</v>
      </c>
      <c r="D5795" t="s">
        <v>7903</v>
      </c>
      <c r="E5795" t="s">
        <v>7904</v>
      </c>
      <c r="F5795" t="s">
        <v>248</v>
      </c>
      <c r="G5795" t="s">
        <v>252</v>
      </c>
      <c r="I5795" t="b">
        <v>0</v>
      </c>
      <c r="J5795" t="b">
        <v>0</v>
      </c>
      <c r="L5795" t="b">
        <v>0</v>
      </c>
      <c r="M5795" t="str">
        <f>HYPERLINK("https://arizona.app.box.com/file/386246410010")</f>
        <v>https://arizona.app.box.com/file/386246410010</v>
      </c>
    </row>
    <row r="5796" spans="1:25" x14ac:dyDescent="0.2">
      <c r="A5796">
        <v>1650</v>
      </c>
      <c r="B5796" t="s">
        <v>9830</v>
      </c>
      <c r="C5796" t="s">
        <v>18</v>
      </c>
      <c r="D5796" t="s">
        <v>2967</v>
      </c>
      <c r="E5796" t="s">
        <v>2968</v>
      </c>
      <c r="F5796" t="s">
        <v>248</v>
      </c>
      <c r="G5796" t="s">
        <v>252</v>
      </c>
      <c r="I5796" t="b">
        <v>0</v>
      </c>
      <c r="J5796" t="b">
        <v>0</v>
      </c>
      <c r="L5796" t="b">
        <v>0</v>
      </c>
      <c r="M5796" t="str">
        <f>HYPERLINK("https://arizona.app.box.com/file/386263589556")</f>
        <v>https://arizona.app.box.com/file/386263589556</v>
      </c>
    </row>
    <row r="5798" spans="1:25" x14ac:dyDescent="0.2">
      <c r="A5798" s="2">
        <v>3843</v>
      </c>
      <c r="B5798" s="2" t="s">
        <v>9833</v>
      </c>
      <c r="C5798" s="2" t="s">
        <v>13</v>
      </c>
      <c r="D5798" s="2" t="s">
        <v>9834</v>
      </c>
      <c r="E5798" s="2" t="s">
        <v>9835</v>
      </c>
      <c r="F5798" s="2" t="s">
        <v>159</v>
      </c>
      <c r="G5798" s="2" t="s">
        <v>345</v>
      </c>
      <c r="H5798" s="2"/>
      <c r="I5798" s="2"/>
      <c r="J5798" s="2"/>
      <c r="K5798" s="2"/>
      <c r="L5798" s="2"/>
      <c r="M5798" s="2"/>
      <c r="N5798" s="2"/>
      <c r="O5798" s="2"/>
      <c r="P5798" s="2"/>
      <c r="Q5798" s="2"/>
      <c r="R5798" s="2"/>
      <c r="S5798" s="2"/>
      <c r="T5798" s="2"/>
      <c r="U5798" s="2"/>
      <c r="V5798" s="2"/>
      <c r="W5798" s="2"/>
      <c r="X5798" s="2"/>
      <c r="Y5798" s="2"/>
    </row>
    <row r="5799" spans="1:25" x14ac:dyDescent="0.2">
      <c r="A5799">
        <v>3844</v>
      </c>
      <c r="B5799" t="s">
        <v>9833</v>
      </c>
      <c r="C5799" t="s">
        <v>18</v>
      </c>
      <c r="D5799" t="s">
        <v>6061</v>
      </c>
      <c r="E5799" t="s">
        <v>5404</v>
      </c>
      <c r="F5799" t="s">
        <v>159</v>
      </c>
      <c r="G5799" t="s">
        <v>345</v>
      </c>
      <c r="I5799" t="b">
        <v>0</v>
      </c>
      <c r="J5799" t="b">
        <v>0</v>
      </c>
      <c r="L5799" t="b">
        <v>0</v>
      </c>
      <c r="M5799" t="str">
        <f>HYPERLINK("https://arizona.app.box.com/file/389176812440")</f>
        <v>https://arizona.app.box.com/file/389176812440</v>
      </c>
      <c r="N5799" t="str">
        <f>HYPERLINK("https://arizona.app.box.com/file/386224227135")</f>
        <v>https://arizona.app.box.com/file/386224227135</v>
      </c>
    </row>
    <row r="5800" spans="1:25" x14ac:dyDescent="0.2">
      <c r="A5800">
        <v>3845</v>
      </c>
      <c r="B5800" t="s">
        <v>9833</v>
      </c>
      <c r="C5800" t="s">
        <v>18</v>
      </c>
      <c r="D5800" t="s">
        <v>6063</v>
      </c>
      <c r="E5800" t="s">
        <v>6064</v>
      </c>
      <c r="F5800" t="s">
        <v>159</v>
      </c>
      <c r="G5800" t="s">
        <v>345</v>
      </c>
      <c r="I5800" t="b">
        <v>0</v>
      </c>
      <c r="J5800" t="b">
        <v>0</v>
      </c>
      <c r="L5800" t="b">
        <v>0</v>
      </c>
      <c r="M5800" t="str">
        <f>HYPERLINK("https://arizona.app.box.com/file/389164459922")</f>
        <v>https://arizona.app.box.com/file/389164459922</v>
      </c>
      <c r="N5800" t="str">
        <f>HYPERLINK("https://arizona.app.box.com/file/386226908586")</f>
        <v>https://arizona.app.box.com/file/386226908586</v>
      </c>
    </row>
    <row r="5801" spans="1:25" x14ac:dyDescent="0.2">
      <c r="A5801">
        <v>3846</v>
      </c>
      <c r="B5801" t="s">
        <v>9833</v>
      </c>
      <c r="C5801" t="s">
        <v>18</v>
      </c>
      <c r="D5801" t="s">
        <v>9836</v>
      </c>
      <c r="E5801" t="s">
        <v>9837</v>
      </c>
      <c r="F5801" t="s">
        <v>670</v>
      </c>
      <c r="G5801" t="s">
        <v>24</v>
      </c>
      <c r="I5801" t="b">
        <v>0</v>
      </c>
      <c r="J5801" t="b">
        <v>0</v>
      </c>
      <c r="L5801" t="b">
        <v>0</v>
      </c>
    </row>
    <row r="5802" spans="1:25" x14ac:dyDescent="0.2">
      <c r="A5802">
        <v>3847</v>
      </c>
      <c r="B5802" t="s">
        <v>9833</v>
      </c>
      <c r="C5802" t="s">
        <v>18</v>
      </c>
      <c r="D5802" t="s">
        <v>9247</v>
      </c>
      <c r="E5802" t="s">
        <v>9249</v>
      </c>
      <c r="F5802" t="s">
        <v>200</v>
      </c>
      <c r="G5802" t="s">
        <v>345</v>
      </c>
      <c r="I5802" t="b">
        <v>0</v>
      </c>
      <c r="J5802" t="b">
        <v>0</v>
      </c>
      <c r="L5802" t="b">
        <v>0</v>
      </c>
      <c r="M5802" t="str">
        <f>HYPERLINK("https://arizona.app.box.com/file/389173241881")</f>
        <v>https://arizona.app.box.com/file/389173241881</v>
      </c>
      <c r="N5802" t="str">
        <f>HYPERLINK("https://arizona.app.box.com/file/386216066002")</f>
        <v>https://arizona.app.box.com/file/386216066002</v>
      </c>
    </row>
    <row r="5803" spans="1:25" x14ac:dyDescent="0.2">
      <c r="A5803">
        <v>3848</v>
      </c>
      <c r="B5803" t="s">
        <v>9833</v>
      </c>
      <c r="C5803" t="s">
        <v>18</v>
      </c>
      <c r="D5803" t="s">
        <v>8953</v>
      </c>
      <c r="E5803" t="s">
        <v>1398</v>
      </c>
      <c r="F5803" t="s">
        <v>159</v>
      </c>
      <c r="G5803" t="s">
        <v>345</v>
      </c>
      <c r="I5803" t="b">
        <v>0</v>
      </c>
      <c r="J5803" t="b">
        <v>0</v>
      </c>
      <c r="L5803" t="b">
        <v>0</v>
      </c>
      <c r="M5803" t="str">
        <f>HYPERLINK("https://arizona.app.box.com/file/389163344848")</f>
        <v>https://arizona.app.box.com/file/389163344848</v>
      </c>
      <c r="N5803" t="str">
        <f>HYPERLINK("https://arizona.app.box.com/file/386216407617")</f>
        <v>https://arizona.app.box.com/file/386216407617</v>
      </c>
    </row>
    <row r="5805" spans="1:25" x14ac:dyDescent="0.2">
      <c r="A5805" s="2">
        <v>4760</v>
      </c>
      <c r="B5805" s="2" t="s">
        <v>9838</v>
      </c>
      <c r="C5805" s="2" t="s">
        <v>13</v>
      </c>
      <c r="D5805" s="2" t="s">
        <v>9839</v>
      </c>
      <c r="E5805" s="2" t="s">
        <v>9840</v>
      </c>
      <c r="F5805" s="2" t="s">
        <v>6670</v>
      </c>
      <c r="G5805" s="2" t="s">
        <v>32</v>
      </c>
      <c r="H5805" s="2"/>
      <c r="I5805" s="2"/>
      <c r="J5805" s="2"/>
      <c r="K5805" s="2"/>
      <c r="L5805" s="2"/>
      <c r="M5805" s="2"/>
      <c r="N5805" s="2"/>
      <c r="O5805" s="2"/>
      <c r="P5805" s="2"/>
      <c r="Q5805" s="2"/>
      <c r="R5805" s="2"/>
      <c r="S5805" s="2"/>
      <c r="T5805" s="2"/>
      <c r="U5805" s="2"/>
      <c r="V5805" s="2"/>
      <c r="W5805" s="2"/>
      <c r="X5805" s="2"/>
      <c r="Y5805" s="2"/>
    </row>
    <row r="5806" spans="1:25" x14ac:dyDescent="0.2">
      <c r="A5806">
        <v>4761</v>
      </c>
      <c r="B5806" t="s">
        <v>9838</v>
      </c>
      <c r="C5806" t="s">
        <v>18</v>
      </c>
      <c r="D5806" t="s">
        <v>6668</v>
      </c>
      <c r="E5806" t="s">
        <v>6669</v>
      </c>
      <c r="F5806" t="s">
        <v>6670</v>
      </c>
      <c r="G5806" t="s">
        <v>32</v>
      </c>
      <c r="I5806" t="b">
        <v>1</v>
      </c>
      <c r="J5806" t="b">
        <v>1</v>
      </c>
      <c r="L5806" t="b">
        <v>1</v>
      </c>
      <c r="M5806" t="str">
        <f>HYPERLINK("https://arizona.app.box.com/file/389172756241")</f>
        <v>https://arizona.app.box.com/file/389172756241</v>
      </c>
      <c r="N5806" t="str">
        <f>HYPERLINK("https://arizona.app.box.com/file/386211686058")</f>
        <v>https://arizona.app.box.com/file/386211686058</v>
      </c>
    </row>
    <row r="5807" spans="1:25" x14ac:dyDescent="0.2">
      <c r="A5807">
        <v>4762</v>
      </c>
      <c r="B5807" t="s">
        <v>9838</v>
      </c>
      <c r="C5807" t="s">
        <v>18</v>
      </c>
      <c r="D5807" t="s">
        <v>3616</v>
      </c>
      <c r="E5807" t="s">
        <v>3618</v>
      </c>
      <c r="F5807" t="s">
        <v>23</v>
      </c>
      <c r="G5807" t="s">
        <v>417</v>
      </c>
      <c r="I5807" t="b">
        <v>0</v>
      </c>
      <c r="J5807" t="b">
        <v>0</v>
      </c>
      <c r="L5807" t="b">
        <v>0</v>
      </c>
      <c r="M5807" t="str">
        <f>HYPERLINK("https://arizona.app.box.com/file/389268547638")</f>
        <v>https://arizona.app.box.com/file/389268547638</v>
      </c>
      <c r="N5807" t="str">
        <f>HYPERLINK("https://arizona.app.box.com/file/389172685106")</f>
        <v>https://arizona.app.box.com/file/389172685106</v>
      </c>
    </row>
    <row r="5808" spans="1:25" x14ac:dyDescent="0.2">
      <c r="A5808">
        <v>4763</v>
      </c>
      <c r="B5808" t="s">
        <v>9838</v>
      </c>
      <c r="C5808" t="s">
        <v>18</v>
      </c>
      <c r="D5808" t="s">
        <v>614</v>
      </c>
      <c r="E5808" t="s">
        <v>615</v>
      </c>
      <c r="F5808" t="s">
        <v>616</v>
      </c>
      <c r="G5808" t="s">
        <v>32</v>
      </c>
      <c r="I5808" t="b">
        <v>0</v>
      </c>
      <c r="J5808" t="b">
        <v>0</v>
      </c>
      <c r="L5808" t="b">
        <v>0</v>
      </c>
      <c r="M5808" t="str">
        <f>HYPERLINK("https://arizona.app.box.com/file/386217442189")</f>
        <v>https://arizona.app.box.com/file/386217442189</v>
      </c>
    </row>
    <row r="5809" spans="1:25" x14ac:dyDescent="0.2">
      <c r="A5809">
        <v>4764</v>
      </c>
      <c r="B5809" t="s">
        <v>9838</v>
      </c>
      <c r="C5809" t="s">
        <v>18</v>
      </c>
      <c r="D5809" t="s">
        <v>6673</v>
      </c>
      <c r="E5809" t="s">
        <v>6674</v>
      </c>
      <c r="F5809" t="s">
        <v>270</v>
      </c>
      <c r="G5809" t="s">
        <v>32</v>
      </c>
      <c r="I5809" t="b">
        <v>0</v>
      </c>
      <c r="J5809" t="b">
        <v>0</v>
      </c>
      <c r="L5809" t="b">
        <v>0</v>
      </c>
      <c r="M5809" t="str">
        <f>HYPERLINK("https://arizona.app.box.com/file/389261163371")</f>
        <v>https://arizona.app.box.com/file/389261163371</v>
      </c>
      <c r="N5809" t="str">
        <f>HYPERLINK("https://arizona.app.box.com/file/389165835050")</f>
        <v>https://arizona.app.box.com/file/389165835050</v>
      </c>
      <c r="O5809" t="str">
        <f>HYPERLINK("https://arizona.app.box.com/file/389163372735")</f>
        <v>https://arizona.app.box.com/file/389163372735</v>
      </c>
      <c r="P5809" t="str">
        <f>HYPERLINK("https://arizona.app.box.com/file/386225853731")</f>
        <v>https://arizona.app.box.com/file/386225853731</v>
      </c>
    </row>
    <row r="5810" spans="1:25" x14ac:dyDescent="0.2">
      <c r="A5810">
        <v>4765</v>
      </c>
      <c r="B5810" t="s">
        <v>9838</v>
      </c>
      <c r="C5810" t="s">
        <v>18</v>
      </c>
      <c r="D5810" t="s">
        <v>9841</v>
      </c>
      <c r="E5810" t="s">
        <v>9842</v>
      </c>
      <c r="F5810" t="s">
        <v>616</v>
      </c>
      <c r="G5810" t="s">
        <v>32</v>
      </c>
      <c r="I5810" t="b">
        <v>0</v>
      </c>
      <c r="J5810" t="b">
        <v>0</v>
      </c>
      <c r="L5810" t="b">
        <v>0</v>
      </c>
      <c r="M5810" t="str">
        <f>HYPERLINK("https://arizona.app.box.com/file/386241272891")</f>
        <v>https://arizona.app.box.com/file/386241272891</v>
      </c>
    </row>
    <row r="5812" spans="1:25" x14ac:dyDescent="0.2">
      <c r="A5812" s="2">
        <v>2744</v>
      </c>
      <c r="B5812" s="2" t="s">
        <v>9843</v>
      </c>
      <c r="C5812" s="2" t="s">
        <v>13</v>
      </c>
      <c r="D5812" s="2" t="s">
        <v>9844</v>
      </c>
      <c r="E5812" s="2" t="s">
        <v>9845</v>
      </c>
      <c r="F5812" s="2" t="s">
        <v>122</v>
      </c>
      <c r="G5812" s="2" t="s">
        <v>24</v>
      </c>
      <c r="H5812" s="2"/>
      <c r="I5812" s="2"/>
      <c r="J5812" s="2"/>
      <c r="K5812" s="2"/>
      <c r="L5812" s="2"/>
      <c r="M5812" s="2"/>
      <c r="N5812" s="2"/>
      <c r="O5812" s="2"/>
      <c r="P5812" s="2"/>
      <c r="Q5812" s="2"/>
      <c r="R5812" s="2"/>
      <c r="S5812" s="2"/>
      <c r="T5812" s="2"/>
      <c r="U5812" s="2"/>
      <c r="V5812" s="2"/>
      <c r="W5812" s="2"/>
      <c r="X5812" s="2"/>
      <c r="Y5812" s="2"/>
    </row>
    <row r="5813" spans="1:25" x14ac:dyDescent="0.2">
      <c r="A5813">
        <v>2745</v>
      </c>
      <c r="B5813" t="s">
        <v>9843</v>
      </c>
      <c r="C5813" t="s">
        <v>18</v>
      </c>
      <c r="D5813" t="s">
        <v>9844</v>
      </c>
      <c r="E5813" t="s">
        <v>6576</v>
      </c>
      <c r="F5813" t="s">
        <v>122</v>
      </c>
      <c r="G5813" t="s">
        <v>24</v>
      </c>
      <c r="I5813" t="b">
        <v>1</v>
      </c>
      <c r="J5813" t="b">
        <v>1</v>
      </c>
      <c r="L5813" t="b">
        <v>1</v>
      </c>
      <c r="M5813" t="str">
        <f>HYPERLINK("https://arizona.app.box.com/file/386216028799")</f>
        <v>https://arizona.app.box.com/file/386216028799</v>
      </c>
    </row>
    <row r="5814" spans="1:25" x14ac:dyDescent="0.2">
      <c r="A5814">
        <v>2746</v>
      </c>
      <c r="B5814" t="s">
        <v>9843</v>
      </c>
      <c r="C5814" t="s">
        <v>18</v>
      </c>
      <c r="D5814" t="s">
        <v>9846</v>
      </c>
      <c r="E5814" t="s">
        <v>3710</v>
      </c>
      <c r="F5814" t="s">
        <v>122</v>
      </c>
      <c r="G5814" t="s">
        <v>24</v>
      </c>
      <c r="I5814" t="b">
        <v>1</v>
      </c>
      <c r="J5814" t="b">
        <v>1</v>
      </c>
      <c r="L5814" t="b">
        <v>1</v>
      </c>
      <c r="M5814" t="str">
        <f>HYPERLINK("https://arizona.app.box.com/file/386242346781")</f>
        <v>https://arizona.app.box.com/file/386242346781</v>
      </c>
    </row>
    <row r="5815" spans="1:25" x14ac:dyDescent="0.2">
      <c r="A5815">
        <v>2747</v>
      </c>
      <c r="B5815" t="s">
        <v>9843</v>
      </c>
      <c r="C5815" t="s">
        <v>18</v>
      </c>
      <c r="D5815" t="s">
        <v>9847</v>
      </c>
      <c r="E5815" t="s">
        <v>9848</v>
      </c>
      <c r="F5815" t="s">
        <v>122</v>
      </c>
      <c r="G5815" t="s">
        <v>24</v>
      </c>
      <c r="I5815" t="b">
        <v>0</v>
      </c>
      <c r="J5815" t="b">
        <v>1</v>
      </c>
      <c r="L5815" t="b">
        <v>1</v>
      </c>
      <c r="M5815" t="str">
        <f>HYPERLINK("https://arizona.app.box.com/file/386240422660")</f>
        <v>https://arizona.app.box.com/file/386240422660</v>
      </c>
    </row>
    <row r="5816" spans="1:25" x14ac:dyDescent="0.2">
      <c r="A5816">
        <v>2748</v>
      </c>
      <c r="B5816" t="s">
        <v>9843</v>
      </c>
      <c r="C5816" t="s">
        <v>18</v>
      </c>
      <c r="D5816" t="s">
        <v>9849</v>
      </c>
      <c r="E5816" t="s">
        <v>9850</v>
      </c>
      <c r="F5816" t="s">
        <v>16</v>
      </c>
      <c r="G5816" t="s">
        <v>24</v>
      </c>
      <c r="I5816" t="b">
        <v>0</v>
      </c>
      <c r="J5816" t="b">
        <v>0</v>
      </c>
      <c r="L5816" t="b">
        <v>0</v>
      </c>
    </row>
    <row r="5817" spans="1:25" x14ac:dyDescent="0.2">
      <c r="A5817">
        <v>2749</v>
      </c>
      <c r="B5817" t="s">
        <v>9843</v>
      </c>
      <c r="C5817" t="s">
        <v>18</v>
      </c>
      <c r="D5817" t="s">
        <v>9851</v>
      </c>
      <c r="E5817" t="s">
        <v>9852</v>
      </c>
      <c r="F5817" t="s">
        <v>122</v>
      </c>
      <c r="G5817" t="s">
        <v>24</v>
      </c>
      <c r="I5817" t="b">
        <v>0</v>
      </c>
      <c r="J5817" t="b">
        <v>0</v>
      </c>
      <c r="L5817" t="b">
        <v>0</v>
      </c>
      <c r="M5817" t="str">
        <f>HYPERLINK("https://arizona.app.box.com/file/386234947627")</f>
        <v>https://arizona.app.box.com/file/386234947627</v>
      </c>
      <c r="N5817" t="str">
        <f>HYPERLINK("https://arizona.app.box.com/file/386212637232")</f>
        <v>https://arizona.app.box.com/file/386212637232</v>
      </c>
    </row>
    <row r="5819" spans="1:25" x14ac:dyDescent="0.2">
      <c r="A5819" s="2">
        <v>1876</v>
      </c>
      <c r="B5819" s="2" t="s">
        <v>9853</v>
      </c>
      <c r="C5819" s="2" t="s">
        <v>13</v>
      </c>
      <c r="D5819" s="2" t="s">
        <v>2242</v>
      </c>
      <c r="E5819" s="2" t="s">
        <v>9854</v>
      </c>
      <c r="F5819" s="2" t="s">
        <v>420</v>
      </c>
      <c r="G5819" s="2" t="s">
        <v>252</v>
      </c>
      <c r="H5819" s="2"/>
      <c r="I5819" s="2"/>
      <c r="J5819" s="2"/>
      <c r="K5819" s="2"/>
      <c r="L5819" s="2"/>
      <c r="M5819" s="2"/>
      <c r="N5819" s="2"/>
      <c r="O5819" s="2"/>
      <c r="P5819" s="2"/>
      <c r="Q5819" s="2"/>
      <c r="R5819" s="2"/>
      <c r="S5819" s="2"/>
      <c r="T5819" s="2"/>
      <c r="U5819" s="2"/>
      <c r="V5819" s="2"/>
      <c r="W5819" s="2"/>
      <c r="X5819" s="2"/>
      <c r="Y5819" s="2"/>
    </row>
    <row r="5820" spans="1:25" x14ac:dyDescent="0.2">
      <c r="A5820">
        <v>1877</v>
      </c>
      <c r="B5820" t="s">
        <v>9853</v>
      </c>
      <c r="C5820" t="s">
        <v>18</v>
      </c>
      <c r="D5820" t="s">
        <v>2242</v>
      </c>
      <c r="E5820" t="s">
        <v>2243</v>
      </c>
      <c r="F5820" t="s">
        <v>420</v>
      </c>
      <c r="G5820" t="s">
        <v>252</v>
      </c>
      <c r="I5820" t="b">
        <v>1</v>
      </c>
      <c r="J5820" t="b">
        <v>1</v>
      </c>
      <c r="L5820" t="b">
        <v>1</v>
      </c>
      <c r="M5820" t="str">
        <f>HYPERLINK("https://arizona.app.box.com/file/389167429150")</f>
        <v>https://arizona.app.box.com/file/389167429150</v>
      </c>
      <c r="N5820" t="str">
        <f>HYPERLINK("https://arizona.app.box.com/file/386239004046")</f>
        <v>https://arizona.app.box.com/file/386239004046</v>
      </c>
    </row>
    <row r="5821" spans="1:25" x14ac:dyDescent="0.2">
      <c r="A5821">
        <v>1878</v>
      </c>
      <c r="B5821" t="s">
        <v>9853</v>
      </c>
      <c r="C5821" t="s">
        <v>18</v>
      </c>
      <c r="D5821" t="s">
        <v>3508</v>
      </c>
      <c r="E5821" t="s">
        <v>2087</v>
      </c>
      <c r="F5821" t="s">
        <v>420</v>
      </c>
      <c r="G5821" t="s">
        <v>252</v>
      </c>
      <c r="I5821" t="b">
        <v>1</v>
      </c>
      <c r="J5821" t="b">
        <v>1</v>
      </c>
      <c r="L5821" t="b">
        <v>1</v>
      </c>
      <c r="M5821" t="str">
        <f>HYPERLINK("https://arizona.app.box.com/file/389262344457")</f>
        <v>https://arizona.app.box.com/file/389262344457</v>
      </c>
      <c r="N5821" t="str">
        <f>HYPERLINK("https://arizona.app.box.com/file/389137713683")</f>
        <v>https://arizona.app.box.com/file/389137713683</v>
      </c>
    </row>
    <row r="5822" spans="1:25" x14ac:dyDescent="0.2">
      <c r="A5822">
        <v>1879</v>
      </c>
      <c r="B5822" t="s">
        <v>9853</v>
      </c>
      <c r="C5822" t="s">
        <v>18</v>
      </c>
      <c r="D5822" t="s">
        <v>3494</v>
      </c>
      <c r="E5822" t="s">
        <v>209</v>
      </c>
      <c r="F5822" t="s">
        <v>420</v>
      </c>
      <c r="G5822" t="s">
        <v>252</v>
      </c>
      <c r="I5822" t="b">
        <v>0</v>
      </c>
      <c r="J5822" t="b">
        <v>0</v>
      </c>
      <c r="L5822" t="b">
        <v>0</v>
      </c>
      <c r="M5822" t="str">
        <f>HYPERLINK("https://arizona.app.box.com/file/389255941642")</f>
        <v>https://arizona.app.box.com/file/389255941642</v>
      </c>
      <c r="N5822" t="str">
        <f>HYPERLINK("https://arizona.app.box.com/file/389169161420")</f>
        <v>https://arizona.app.box.com/file/389169161420</v>
      </c>
    </row>
    <row r="5823" spans="1:25" x14ac:dyDescent="0.2">
      <c r="A5823">
        <v>1880</v>
      </c>
      <c r="B5823" t="s">
        <v>9853</v>
      </c>
      <c r="C5823" t="s">
        <v>18</v>
      </c>
      <c r="D5823" t="s">
        <v>2227</v>
      </c>
      <c r="E5823" t="s">
        <v>2228</v>
      </c>
      <c r="F5823" t="s">
        <v>420</v>
      </c>
      <c r="G5823" t="s">
        <v>88</v>
      </c>
      <c r="I5823" t="b">
        <v>0</v>
      </c>
      <c r="J5823" t="b">
        <v>0</v>
      </c>
      <c r="L5823" t="b">
        <v>0</v>
      </c>
      <c r="M5823" t="str">
        <f>HYPERLINK("https://arizona.app.box.com/file/389263190669")</f>
        <v>https://arizona.app.box.com/file/389263190669</v>
      </c>
      <c r="N5823" t="str">
        <f>HYPERLINK("https://arizona.app.box.com/file/389167077199")</f>
        <v>https://arizona.app.box.com/file/389167077199</v>
      </c>
      <c r="O5823" t="str">
        <f>HYPERLINK("https://arizona.app.box.com/file/389259920693")</f>
        <v>https://arizona.app.box.com/file/389259920693</v>
      </c>
      <c r="P5823" t="str">
        <f>HYPERLINK("https://arizona.app.box.com/file/389171201197")</f>
        <v>https://arizona.app.box.com/file/389171201197</v>
      </c>
    </row>
    <row r="5824" spans="1:25" x14ac:dyDescent="0.2">
      <c r="A5824">
        <v>1881</v>
      </c>
      <c r="B5824" t="s">
        <v>9853</v>
      </c>
      <c r="C5824" t="s">
        <v>18</v>
      </c>
      <c r="D5824" t="s">
        <v>2239</v>
      </c>
      <c r="E5824" t="s">
        <v>809</v>
      </c>
      <c r="F5824" t="s">
        <v>420</v>
      </c>
      <c r="G5824" t="s">
        <v>88</v>
      </c>
      <c r="I5824" t="b">
        <v>0</v>
      </c>
      <c r="J5824" t="b">
        <v>0</v>
      </c>
      <c r="L5824" t="b">
        <v>0</v>
      </c>
      <c r="M5824" t="str">
        <f>HYPERLINK("https://arizona.app.box.com/file/389264783634")</f>
        <v>https://arizona.app.box.com/file/389264783634</v>
      </c>
      <c r="N5824" t="str">
        <f>HYPERLINK("https://arizona.app.box.com/file/389163230225")</f>
        <v>https://arizona.app.box.com/file/389163230225</v>
      </c>
    </row>
    <row r="5826" spans="1:25" x14ac:dyDescent="0.2">
      <c r="A5826" s="2">
        <v>4284</v>
      </c>
      <c r="B5826" s="2" t="s">
        <v>9855</v>
      </c>
      <c r="C5826" s="2" t="s">
        <v>13</v>
      </c>
      <c r="D5826" s="2" t="s">
        <v>9856</v>
      </c>
      <c r="E5826" s="2" t="s">
        <v>9857</v>
      </c>
      <c r="F5826" s="2" t="s">
        <v>264</v>
      </c>
      <c r="G5826" s="2" t="s">
        <v>1752</v>
      </c>
      <c r="H5826" s="2"/>
      <c r="I5826" s="2"/>
      <c r="J5826" s="2"/>
      <c r="K5826" s="2"/>
      <c r="L5826" s="2"/>
      <c r="M5826" s="2"/>
      <c r="N5826" s="2"/>
      <c r="O5826" s="2"/>
      <c r="P5826" s="2"/>
      <c r="Q5826" s="2"/>
      <c r="R5826" s="2"/>
      <c r="S5826" s="2"/>
      <c r="T5826" s="2"/>
      <c r="U5826" s="2"/>
      <c r="V5826" s="2"/>
      <c r="W5826" s="2"/>
      <c r="X5826" s="2"/>
      <c r="Y5826" s="2"/>
    </row>
    <row r="5827" spans="1:25" x14ac:dyDescent="0.2">
      <c r="A5827">
        <v>4285</v>
      </c>
      <c r="B5827" t="s">
        <v>9855</v>
      </c>
      <c r="C5827" t="s">
        <v>18</v>
      </c>
      <c r="D5827" t="s">
        <v>9856</v>
      </c>
      <c r="E5827" t="s">
        <v>455</v>
      </c>
      <c r="F5827" t="s">
        <v>264</v>
      </c>
      <c r="G5827" t="s">
        <v>917</v>
      </c>
      <c r="I5827" t="b">
        <v>1</v>
      </c>
      <c r="J5827" t="b">
        <v>1</v>
      </c>
      <c r="L5827" t="b">
        <v>1</v>
      </c>
      <c r="M5827" t="str">
        <f>HYPERLINK("https://arizona.app.box.com/file/386240000228")</f>
        <v>https://arizona.app.box.com/file/386240000228</v>
      </c>
    </row>
    <row r="5828" spans="1:25" x14ac:dyDescent="0.2">
      <c r="A5828">
        <v>4286</v>
      </c>
      <c r="B5828" t="s">
        <v>9855</v>
      </c>
      <c r="C5828" t="s">
        <v>18</v>
      </c>
      <c r="D5828" t="s">
        <v>9858</v>
      </c>
      <c r="E5828" t="s">
        <v>9859</v>
      </c>
      <c r="F5828" t="s">
        <v>264</v>
      </c>
      <c r="G5828" t="s">
        <v>917</v>
      </c>
      <c r="I5828" t="b">
        <v>1</v>
      </c>
      <c r="J5828" t="b">
        <v>1</v>
      </c>
      <c r="L5828" t="b">
        <v>1</v>
      </c>
      <c r="M5828" t="str">
        <f>HYPERLINK("https://arizona.app.box.com/file/386245161710")</f>
        <v>https://arizona.app.box.com/file/386245161710</v>
      </c>
    </row>
    <row r="5829" spans="1:25" x14ac:dyDescent="0.2">
      <c r="A5829">
        <v>4287</v>
      </c>
      <c r="B5829" t="s">
        <v>9855</v>
      </c>
      <c r="C5829" t="s">
        <v>18</v>
      </c>
      <c r="D5829" t="s">
        <v>5782</v>
      </c>
      <c r="E5829" t="s">
        <v>5783</v>
      </c>
      <c r="F5829" t="s">
        <v>78</v>
      </c>
      <c r="G5829" t="s">
        <v>917</v>
      </c>
      <c r="I5829" t="b">
        <v>0</v>
      </c>
      <c r="J5829" t="b">
        <v>0</v>
      </c>
      <c r="L5829" t="b">
        <v>0</v>
      </c>
    </row>
    <row r="5830" spans="1:25" x14ac:dyDescent="0.2">
      <c r="A5830">
        <v>4288</v>
      </c>
      <c r="B5830" t="s">
        <v>9855</v>
      </c>
      <c r="C5830" t="s">
        <v>18</v>
      </c>
      <c r="D5830" t="s">
        <v>9860</v>
      </c>
      <c r="E5830" t="s">
        <v>9861</v>
      </c>
      <c r="F5830" t="s">
        <v>78</v>
      </c>
      <c r="G5830" t="s">
        <v>917</v>
      </c>
      <c r="I5830" t="b">
        <v>0</v>
      </c>
      <c r="J5830" t="b">
        <v>0</v>
      </c>
      <c r="L5830" t="b">
        <v>0</v>
      </c>
      <c r="M5830" t="str">
        <f>HYPERLINK("https://arizona.app.box.com/file/386235348134")</f>
        <v>https://arizona.app.box.com/file/386235348134</v>
      </c>
    </row>
    <row r="5831" spans="1:25" x14ac:dyDescent="0.2">
      <c r="A5831">
        <v>4289</v>
      </c>
      <c r="B5831" t="s">
        <v>9855</v>
      </c>
      <c r="C5831" t="s">
        <v>18</v>
      </c>
      <c r="D5831" t="s">
        <v>4910</v>
      </c>
      <c r="E5831" t="s">
        <v>4911</v>
      </c>
      <c r="F5831" t="s">
        <v>78</v>
      </c>
      <c r="G5831" t="s">
        <v>917</v>
      </c>
      <c r="I5831" t="b">
        <v>0</v>
      </c>
      <c r="J5831" t="b">
        <v>0</v>
      </c>
      <c r="L5831" t="b">
        <v>0</v>
      </c>
      <c r="M5831" t="str">
        <f>HYPERLINK("https://arizona.app.box.com/file/386240703084")</f>
        <v>https://arizona.app.box.com/file/386240703084</v>
      </c>
    </row>
    <row r="5833" spans="1:25" x14ac:dyDescent="0.2">
      <c r="A5833" s="2">
        <v>7077</v>
      </c>
      <c r="B5833" s="2" t="s">
        <v>9862</v>
      </c>
      <c r="C5833" s="2" t="s">
        <v>13</v>
      </c>
      <c r="D5833" s="2" t="s">
        <v>9455</v>
      </c>
      <c r="E5833" s="2" t="s">
        <v>9863</v>
      </c>
      <c r="F5833" s="2" t="s">
        <v>174</v>
      </c>
      <c r="G5833" s="2" t="s">
        <v>17</v>
      </c>
      <c r="H5833" s="2"/>
      <c r="I5833" s="2"/>
      <c r="J5833" s="2"/>
      <c r="K5833" s="2"/>
      <c r="L5833" s="2"/>
      <c r="M5833" s="2"/>
      <c r="N5833" s="2"/>
      <c r="O5833" s="2"/>
      <c r="P5833" s="2"/>
      <c r="Q5833" s="2"/>
      <c r="R5833" s="2"/>
      <c r="S5833" s="2"/>
      <c r="T5833" s="2"/>
      <c r="U5833" s="2"/>
      <c r="V5833" s="2"/>
      <c r="W5833" s="2"/>
      <c r="X5833" s="2"/>
      <c r="Y5833" s="2"/>
    </row>
    <row r="5834" spans="1:25" x14ac:dyDescent="0.2">
      <c r="A5834">
        <v>7078</v>
      </c>
      <c r="B5834" t="s">
        <v>9862</v>
      </c>
      <c r="C5834" t="s">
        <v>18</v>
      </c>
      <c r="D5834" t="s">
        <v>9455</v>
      </c>
      <c r="E5834" t="s">
        <v>3787</v>
      </c>
      <c r="F5834" t="s">
        <v>174</v>
      </c>
      <c r="G5834" t="s">
        <v>17</v>
      </c>
      <c r="I5834" t="b">
        <v>1</v>
      </c>
      <c r="J5834" t="b">
        <v>1</v>
      </c>
      <c r="L5834" t="b">
        <v>1</v>
      </c>
      <c r="M5834" t="str">
        <f>HYPERLINK("https://arizona.app.box.com/file/389164604422")</f>
        <v>https://arizona.app.box.com/file/389164604422</v>
      </c>
      <c r="N5834" t="str">
        <f>HYPERLINK("https://arizona.app.box.com/file/386241441010")</f>
        <v>https://arizona.app.box.com/file/386241441010</v>
      </c>
    </row>
    <row r="5835" spans="1:25" x14ac:dyDescent="0.2">
      <c r="A5835">
        <v>7079</v>
      </c>
      <c r="B5835" t="s">
        <v>9862</v>
      </c>
      <c r="C5835" t="s">
        <v>18</v>
      </c>
      <c r="D5835" t="s">
        <v>7514</v>
      </c>
      <c r="E5835" t="s">
        <v>416</v>
      </c>
      <c r="F5835" t="s">
        <v>31</v>
      </c>
      <c r="G5835" t="s">
        <v>17</v>
      </c>
      <c r="I5835" t="b">
        <v>0</v>
      </c>
      <c r="J5835" t="b">
        <v>0</v>
      </c>
      <c r="L5835" t="b">
        <v>0</v>
      </c>
      <c r="M5835" t="str">
        <f>HYPERLINK("https://arizona.app.box.com/file/389176107870")</f>
        <v>https://arizona.app.box.com/file/389176107870</v>
      </c>
      <c r="N5835" t="str">
        <f>HYPERLINK("https://arizona.app.box.com/file/386239216506")</f>
        <v>https://arizona.app.box.com/file/386239216506</v>
      </c>
    </row>
    <row r="5836" spans="1:25" x14ac:dyDescent="0.2">
      <c r="A5836">
        <v>7080</v>
      </c>
      <c r="B5836" t="s">
        <v>9862</v>
      </c>
      <c r="C5836" t="s">
        <v>18</v>
      </c>
      <c r="D5836" t="s">
        <v>4223</v>
      </c>
      <c r="E5836" t="s">
        <v>4224</v>
      </c>
      <c r="F5836" t="s">
        <v>78</v>
      </c>
      <c r="G5836" t="s">
        <v>17</v>
      </c>
      <c r="I5836" t="b">
        <v>0</v>
      </c>
      <c r="J5836" t="b">
        <v>0</v>
      </c>
      <c r="L5836" t="b">
        <v>0</v>
      </c>
      <c r="M5836" t="str">
        <f>HYPERLINK("https://arizona.app.box.com/file/389168502801")</f>
        <v>https://arizona.app.box.com/file/389168502801</v>
      </c>
      <c r="N5836" t="str">
        <f>HYPERLINK("https://arizona.app.box.com/file/386239289620")</f>
        <v>https://arizona.app.box.com/file/386239289620</v>
      </c>
      <c r="O5836" t="str">
        <f>HYPERLINK("https://arizona.app.box.com/file/389174375348")</f>
        <v>https://arizona.app.box.com/file/389174375348</v>
      </c>
    </row>
    <row r="5837" spans="1:25" x14ac:dyDescent="0.2">
      <c r="A5837">
        <v>7081</v>
      </c>
      <c r="B5837" t="s">
        <v>9862</v>
      </c>
      <c r="C5837" t="s">
        <v>18</v>
      </c>
      <c r="D5837" t="s">
        <v>9864</v>
      </c>
      <c r="E5837" t="s">
        <v>9865</v>
      </c>
      <c r="F5837" t="s">
        <v>670</v>
      </c>
      <c r="G5837" t="s">
        <v>917</v>
      </c>
      <c r="I5837" t="b">
        <v>0</v>
      </c>
      <c r="J5837" t="b">
        <v>0</v>
      </c>
      <c r="L5837" t="b">
        <v>0</v>
      </c>
      <c r="M5837" t="str">
        <f>HYPERLINK("https://arizona.app.box.com/file/386239900517")</f>
        <v>https://arizona.app.box.com/file/386239900517</v>
      </c>
    </row>
    <row r="5838" spans="1:25" x14ac:dyDescent="0.2">
      <c r="A5838">
        <v>7082</v>
      </c>
      <c r="B5838" t="s">
        <v>9862</v>
      </c>
      <c r="C5838" t="s">
        <v>18</v>
      </c>
      <c r="D5838" t="s">
        <v>9866</v>
      </c>
      <c r="E5838" t="s">
        <v>9867</v>
      </c>
      <c r="F5838" t="s">
        <v>670</v>
      </c>
      <c r="G5838" t="s">
        <v>917</v>
      </c>
      <c r="I5838" t="b">
        <v>0</v>
      </c>
      <c r="J5838" t="b">
        <v>0</v>
      </c>
      <c r="L5838" t="b">
        <v>0</v>
      </c>
    </row>
    <row r="5840" spans="1:25" x14ac:dyDescent="0.2">
      <c r="A5840" s="2">
        <v>6202</v>
      </c>
      <c r="B5840" s="2" t="s">
        <v>9868</v>
      </c>
      <c r="C5840" s="2" t="s">
        <v>13</v>
      </c>
      <c r="D5840" s="2" t="s">
        <v>2760</v>
      </c>
      <c r="E5840" s="2" t="s">
        <v>2761</v>
      </c>
      <c r="F5840" s="2" t="s">
        <v>159</v>
      </c>
      <c r="G5840" s="2" t="s">
        <v>345</v>
      </c>
      <c r="H5840" s="2"/>
      <c r="I5840" s="2"/>
      <c r="J5840" s="2"/>
      <c r="K5840" s="2"/>
      <c r="L5840" s="2"/>
      <c r="M5840" s="2"/>
      <c r="N5840" s="2"/>
      <c r="O5840" s="2"/>
      <c r="P5840" s="2"/>
      <c r="Q5840" s="2"/>
      <c r="R5840" s="2"/>
      <c r="S5840" s="2"/>
      <c r="T5840" s="2"/>
      <c r="U5840" s="2"/>
      <c r="V5840" s="2"/>
      <c r="W5840" s="2"/>
      <c r="X5840" s="2"/>
      <c r="Y5840" s="2"/>
    </row>
    <row r="5841" spans="1:25" x14ac:dyDescent="0.2">
      <c r="A5841">
        <v>6203</v>
      </c>
      <c r="B5841" t="s">
        <v>9868</v>
      </c>
      <c r="C5841" t="s">
        <v>18</v>
      </c>
      <c r="D5841" t="s">
        <v>2760</v>
      </c>
      <c r="E5841" t="s">
        <v>2761</v>
      </c>
      <c r="F5841" t="s">
        <v>159</v>
      </c>
      <c r="G5841" t="s">
        <v>345</v>
      </c>
      <c r="I5841" t="b">
        <v>1</v>
      </c>
      <c r="J5841" t="b">
        <v>1</v>
      </c>
      <c r="L5841" t="b">
        <v>1</v>
      </c>
      <c r="M5841" t="str">
        <f>HYPERLINK("https://arizona.app.box.com/file/389163564798")</f>
        <v>https://arizona.app.box.com/file/389163564798</v>
      </c>
      <c r="N5841" t="str">
        <f>HYPERLINK("https://arizona.app.box.com/file/386225665560")</f>
        <v>https://arizona.app.box.com/file/386225665560</v>
      </c>
      <c r="O5841" t="str">
        <f>HYPERLINK("https://arizona.app.box.com/file/389175700104")</f>
        <v>https://arizona.app.box.com/file/389175700104</v>
      </c>
      <c r="P5841" t="str">
        <f>HYPERLINK("https://arizona.app.box.com/file/386254508563")</f>
        <v>https://arizona.app.box.com/file/386254508563</v>
      </c>
    </row>
    <row r="5842" spans="1:25" x14ac:dyDescent="0.2">
      <c r="A5842">
        <v>6204</v>
      </c>
      <c r="B5842" t="s">
        <v>9868</v>
      </c>
      <c r="C5842" t="s">
        <v>18</v>
      </c>
      <c r="D5842" t="s">
        <v>2754</v>
      </c>
      <c r="E5842" t="s">
        <v>2755</v>
      </c>
      <c r="F5842" t="s">
        <v>144</v>
      </c>
      <c r="G5842" t="s">
        <v>345</v>
      </c>
      <c r="I5842" t="b">
        <v>0</v>
      </c>
      <c r="J5842" t="b">
        <v>0</v>
      </c>
      <c r="L5842" t="b">
        <v>0</v>
      </c>
      <c r="M5842" t="str">
        <f>HYPERLINK("https://arizona.app.box.com/file/389261128604")</f>
        <v>https://arizona.app.box.com/file/389261128604</v>
      </c>
      <c r="N5842" t="str">
        <f>HYPERLINK("https://arizona.app.box.com/file/389153002785")</f>
        <v>https://arizona.app.box.com/file/389153002785</v>
      </c>
      <c r="O5842" t="str">
        <f>HYPERLINK("https://arizona.app.box.com/file/389263554539")</f>
        <v>https://arizona.app.box.com/file/389263554539</v>
      </c>
      <c r="P5842" t="str">
        <f>HYPERLINK("https://arizona.app.box.com/file/389138422429")</f>
        <v>https://arizona.app.box.com/file/389138422429</v>
      </c>
    </row>
    <row r="5843" spans="1:25" x14ac:dyDescent="0.2">
      <c r="A5843">
        <v>6205</v>
      </c>
      <c r="B5843" t="s">
        <v>9868</v>
      </c>
      <c r="C5843" t="s">
        <v>18</v>
      </c>
      <c r="D5843" t="s">
        <v>9869</v>
      </c>
      <c r="E5843" t="s">
        <v>4088</v>
      </c>
      <c r="F5843" t="s">
        <v>82</v>
      </c>
      <c r="G5843" t="s">
        <v>2208</v>
      </c>
      <c r="I5843" t="b">
        <v>0</v>
      </c>
      <c r="J5843" t="b">
        <v>0</v>
      </c>
      <c r="L5843" t="b">
        <v>0</v>
      </c>
      <c r="M5843" t="str">
        <f>HYPERLINK("https://arizona.app.box.com/file/386213799258")</f>
        <v>https://arizona.app.box.com/file/386213799258</v>
      </c>
    </row>
    <row r="5844" spans="1:25" x14ac:dyDescent="0.2">
      <c r="A5844">
        <v>6206</v>
      </c>
      <c r="B5844" t="s">
        <v>9868</v>
      </c>
      <c r="C5844" t="s">
        <v>18</v>
      </c>
      <c r="D5844" t="s">
        <v>9870</v>
      </c>
      <c r="E5844" t="s">
        <v>9871</v>
      </c>
      <c r="F5844" t="s">
        <v>82</v>
      </c>
      <c r="G5844" t="s">
        <v>2208</v>
      </c>
      <c r="I5844" t="b">
        <v>0</v>
      </c>
      <c r="J5844" t="b">
        <v>0</v>
      </c>
      <c r="L5844" t="b">
        <v>0</v>
      </c>
    </row>
    <row r="5845" spans="1:25" x14ac:dyDescent="0.2">
      <c r="A5845">
        <v>6207</v>
      </c>
      <c r="B5845" t="s">
        <v>9868</v>
      </c>
      <c r="C5845" t="s">
        <v>18</v>
      </c>
      <c r="D5845" t="s">
        <v>9872</v>
      </c>
      <c r="E5845" t="s">
        <v>9873</v>
      </c>
      <c r="F5845" t="s">
        <v>168</v>
      </c>
      <c r="G5845" t="s">
        <v>17</v>
      </c>
      <c r="I5845" t="b">
        <v>0</v>
      </c>
      <c r="J5845" t="b">
        <v>0</v>
      </c>
      <c r="L5845" t="b">
        <v>0</v>
      </c>
    </row>
    <row r="5847" spans="1:25" x14ac:dyDescent="0.2">
      <c r="A5847" s="2">
        <v>7168</v>
      </c>
      <c r="B5847" s="2" t="s">
        <v>9874</v>
      </c>
      <c r="C5847" s="2" t="s">
        <v>13</v>
      </c>
      <c r="D5847" s="2" t="s">
        <v>6385</v>
      </c>
      <c r="E5847" s="2" t="s">
        <v>6386</v>
      </c>
      <c r="F5847" s="2" t="s">
        <v>174</v>
      </c>
      <c r="G5847" s="2" t="s">
        <v>17</v>
      </c>
      <c r="H5847" s="2"/>
      <c r="I5847" s="2"/>
      <c r="J5847" s="2"/>
      <c r="K5847" s="2"/>
      <c r="L5847" s="2"/>
      <c r="M5847" s="2"/>
      <c r="N5847" s="2"/>
      <c r="O5847" s="2"/>
      <c r="P5847" s="2"/>
      <c r="Q5847" s="2"/>
      <c r="R5847" s="2"/>
      <c r="S5847" s="2"/>
      <c r="T5847" s="2"/>
      <c r="U5847" s="2"/>
      <c r="V5847" s="2"/>
      <c r="W5847" s="2"/>
      <c r="X5847" s="2"/>
      <c r="Y5847" s="2"/>
    </row>
    <row r="5848" spans="1:25" x14ac:dyDescent="0.2">
      <c r="A5848">
        <v>7169</v>
      </c>
      <c r="B5848" t="s">
        <v>9874</v>
      </c>
      <c r="C5848" t="s">
        <v>18</v>
      </c>
      <c r="D5848" t="s">
        <v>6385</v>
      </c>
      <c r="E5848" t="s">
        <v>6386</v>
      </c>
      <c r="F5848" t="s">
        <v>174</v>
      </c>
      <c r="G5848" t="s">
        <v>17</v>
      </c>
      <c r="I5848" t="b">
        <v>1</v>
      </c>
      <c r="J5848" t="b">
        <v>1</v>
      </c>
      <c r="L5848" t="b">
        <v>1</v>
      </c>
      <c r="M5848" t="str">
        <f>HYPERLINK("https://arizona.app.box.com/file/389137668446")</f>
        <v>https://arizona.app.box.com/file/389137668446</v>
      </c>
      <c r="N5848" t="str">
        <f>HYPERLINK("https://arizona.app.box.com/file/389161815056")</f>
        <v>https://arizona.app.box.com/file/389161815056</v>
      </c>
    </row>
    <row r="5849" spans="1:25" x14ac:dyDescent="0.2">
      <c r="A5849">
        <v>7170</v>
      </c>
      <c r="B5849" t="s">
        <v>9874</v>
      </c>
      <c r="C5849" t="s">
        <v>18</v>
      </c>
      <c r="D5849" t="s">
        <v>7339</v>
      </c>
      <c r="E5849" t="s">
        <v>7341</v>
      </c>
      <c r="F5849" t="s">
        <v>174</v>
      </c>
      <c r="G5849" t="s">
        <v>17</v>
      </c>
      <c r="I5849" t="b">
        <v>0</v>
      </c>
      <c r="J5849" t="b">
        <v>0</v>
      </c>
      <c r="L5849" t="b">
        <v>0</v>
      </c>
      <c r="M5849" t="str">
        <f>HYPERLINK("https://arizona.app.box.com/file/389264727006")</f>
        <v>https://arizona.app.box.com/file/389264727006</v>
      </c>
    </row>
    <row r="5850" spans="1:25" x14ac:dyDescent="0.2">
      <c r="A5850">
        <v>7171</v>
      </c>
      <c r="B5850" t="s">
        <v>9874</v>
      </c>
      <c r="C5850" t="s">
        <v>18</v>
      </c>
      <c r="D5850" t="s">
        <v>9875</v>
      </c>
      <c r="E5850" t="s">
        <v>6030</v>
      </c>
      <c r="F5850" t="s">
        <v>174</v>
      </c>
      <c r="G5850" t="s">
        <v>24</v>
      </c>
      <c r="I5850" t="b">
        <v>0</v>
      </c>
      <c r="J5850" t="b">
        <v>0</v>
      </c>
      <c r="L5850" t="b">
        <v>0</v>
      </c>
      <c r="M5850" t="str">
        <f>HYPERLINK("https://arizona.app.box.com/file/386238850066")</f>
        <v>https://arizona.app.box.com/file/386238850066</v>
      </c>
    </row>
    <row r="5851" spans="1:25" x14ac:dyDescent="0.2">
      <c r="A5851">
        <v>7172</v>
      </c>
      <c r="B5851" t="s">
        <v>9874</v>
      </c>
      <c r="C5851" t="s">
        <v>18</v>
      </c>
      <c r="D5851" t="s">
        <v>6398</v>
      </c>
      <c r="E5851" t="s">
        <v>6399</v>
      </c>
      <c r="F5851" t="s">
        <v>174</v>
      </c>
      <c r="G5851" t="s">
        <v>17</v>
      </c>
      <c r="I5851" t="b">
        <v>0</v>
      </c>
      <c r="J5851" t="b">
        <v>0</v>
      </c>
      <c r="L5851" t="b">
        <v>0</v>
      </c>
      <c r="M5851" t="str">
        <f>HYPERLINK("https://arizona.app.box.com/file/389165507925")</f>
        <v>https://arizona.app.box.com/file/389165507925</v>
      </c>
      <c r="N5851" t="str">
        <f>HYPERLINK("https://arizona.app.box.com/file/389168845820")</f>
        <v>https://arizona.app.box.com/file/389168845820</v>
      </c>
    </row>
    <row r="5852" spans="1:25" x14ac:dyDescent="0.2">
      <c r="A5852">
        <v>7173</v>
      </c>
      <c r="B5852" t="s">
        <v>9874</v>
      </c>
      <c r="C5852" t="s">
        <v>18</v>
      </c>
      <c r="D5852" t="s">
        <v>6372</v>
      </c>
      <c r="E5852" t="s">
        <v>6374</v>
      </c>
      <c r="F5852" t="s">
        <v>174</v>
      </c>
      <c r="G5852" t="s">
        <v>17</v>
      </c>
      <c r="I5852" t="b">
        <v>0</v>
      </c>
      <c r="J5852" t="b">
        <v>0</v>
      </c>
      <c r="L5852" t="b">
        <v>0</v>
      </c>
      <c r="M5852" t="str">
        <f>HYPERLINK("https://arizona.app.box.com/file/389151714142")</f>
        <v>https://arizona.app.box.com/file/389151714142</v>
      </c>
      <c r="N5852" t="str">
        <f>HYPERLINK("https://arizona.app.box.com/file/389151491806")</f>
        <v>https://arizona.app.box.com/file/389151491806</v>
      </c>
    </row>
    <row r="5854" spans="1:25" x14ac:dyDescent="0.2">
      <c r="A5854" s="2">
        <v>5649</v>
      </c>
      <c r="B5854" s="2" t="s">
        <v>9876</v>
      </c>
      <c r="C5854" s="2" t="s">
        <v>13</v>
      </c>
      <c r="D5854" s="2" t="s">
        <v>9877</v>
      </c>
      <c r="E5854" s="2" t="s">
        <v>9878</v>
      </c>
      <c r="F5854" s="2" t="s">
        <v>369</v>
      </c>
      <c r="G5854" s="2" t="s">
        <v>62</v>
      </c>
      <c r="H5854" s="2"/>
      <c r="I5854" s="2"/>
      <c r="J5854" s="2"/>
      <c r="K5854" s="2"/>
      <c r="L5854" s="2"/>
      <c r="M5854" s="2"/>
      <c r="N5854" s="2"/>
      <c r="O5854" s="2"/>
      <c r="P5854" s="2"/>
      <c r="Q5854" s="2"/>
      <c r="R5854" s="2"/>
      <c r="S5854" s="2"/>
      <c r="T5854" s="2"/>
      <c r="U5854" s="2"/>
      <c r="V5854" s="2"/>
      <c r="W5854" s="2"/>
      <c r="X5854" s="2"/>
      <c r="Y5854" s="2"/>
    </row>
    <row r="5855" spans="1:25" x14ac:dyDescent="0.2">
      <c r="A5855">
        <v>5650</v>
      </c>
      <c r="B5855" t="s">
        <v>9876</v>
      </c>
      <c r="C5855" t="s">
        <v>18</v>
      </c>
      <c r="D5855" t="s">
        <v>9877</v>
      </c>
      <c r="E5855" t="s">
        <v>9879</v>
      </c>
      <c r="F5855" t="s">
        <v>369</v>
      </c>
      <c r="G5855" t="s">
        <v>62</v>
      </c>
      <c r="I5855" t="b">
        <v>1</v>
      </c>
      <c r="J5855" t="b">
        <v>1</v>
      </c>
      <c r="L5855" t="b">
        <v>1</v>
      </c>
      <c r="M5855" t="str">
        <f>HYPERLINK("https://arizona.app.box.com/file/386219831853")</f>
        <v>https://arizona.app.box.com/file/386219831853</v>
      </c>
      <c r="N5855" t="str">
        <f>HYPERLINK("https://arizona.app.box.com/file/386217870102")</f>
        <v>https://arizona.app.box.com/file/386217870102</v>
      </c>
      <c r="O5855" t="str">
        <f>HYPERLINK("https://arizona.app.box.com/file/386243259565")</f>
        <v>https://arizona.app.box.com/file/386243259565</v>
      </c>
    </row>
    <row r="5856" spans="1:25" x14ac:dyDescent="0.2">
      <c r="A5856">
        <v>5651</v>
      </c>
      <c r="B5856" t="s">
        <v>9876</v>
      </c>
      <c r="C5856" t="s">
        <v>18</v>
      </c>
      <c r="D5856" t="s">
        <v>9880</v>
      </c>
      <c r="E5856" t="s">
        <v>9881</v>
      </c>
      <c r="F5856" t="s">
        <v>369</v>
      </c>
      <c r="G5856" t="s">
        <v>24</v>
      </c>
      <c r="I5856" t="b">
        <v>0</v>
      </c>
      <c r="J5856" t="b">
        <v>0</v>
      </c>
      <c r="L5856" t="b">
        <v>0</v>
      </c>
    </row>
    <row r="5857" spans="1:25" x14ac:dyDescent="0.2">
      <c r="A5857">
        <v>5652</v>
      </c>
      <c r="B5857" t="s">
        <v>9876</v>
      </c>
      <c r="C5857" t="s">
        <v>18</v>
      </c>
      <c r="D5857" t="s">
        <v>2672</v>
      </c>
      <c r="E5857" t="s">
        <v>2673</v>
      </c>
      <c r="F5857" t="s">
        <v>369</v>
      </c>
      <c r="G5857" t="s">
        <v>24</v>
      </c>
      <c r="I5857" t="b">
        <v>0</v>
      </c>
      <c r="J5857" t="b">
        <v>0</v>
      </c>
      <c r="L5857" t="b">
        <v>0</v>
      </c>
      <c r="M5857" t="str">
        <f>HYPERLINK("https://arizona.app.box.com/file/386228035386")</f>
        <v>https://arizona.app.box.com/file/386228035386</v>
      </c>
    </row>
    <row r="5858" spans="1:25" x14ac:dyDescent="0.2">
      <c r="A5858">
        <v>5653</v>
      </c>
      <c r="B5858" t="s">
        <v>9876</v>
      </c>
      <c r="C5858" t="s">
        <v>18</v>
      </c>
      <c r="D5858" t="s">
        <v>9882</v>
      </c>
      <c r="E5858" t="s">
        <v>9883</v>
      </c>
      <c r="F5858" t="s">
        <v>369</v>
      </c>
      <c r="G5858" t="s">
        <v>24</v>
      </c>
      <c r="I5858" t="b">
        <v>0</v>
      </c>
      <c r="J5858" t="b">
        <v>0</v>
      </c>
      <c r="L5858" t="b">
        <v>0</v>
      </c>
    </row>
    <row r="5859" spans="1:25" x14ac:dyDescent="0.2">
      <c r="A5859">
        <v>5654</v>
      </c>
      <c r="B5859" t="s">
        <v>9876</v>
      </c>
      <c r="C5859" t="s">
        <v>18</v>
      </c>
      <c r="D5859" t="s">
        <v>9884</v>
      </c>
      <c r="E5859" t="s">
        <v>9885</v>
      </c>
      <c r="F5859" t="s">
        <v>510</v>
      </c>
      <c r="G5859" t="s">
        <v>62</v>
      </c>
      <c r="I5859" t="b">
        <v>0</v>
      </c>
      <c r="J5859" t="b">
        <v>0</v>
      </c>
      <c r="L5859" t="b">
        <v>0</v>
      </c>
      <c r="M5859" t="str">
        <f>HYPERLINK("https://arizona.app.box.com/file/386229575560")</f>
        <v>https://arizona.app.box.com/file/386229575560</v>
      </c>
      <c r="N5859" t="str">
        <f>HYPERLINK("https://arizona.app.box.com/file/386247581734")</f>
        <v>https://arizona.app.box.com/file/386247581734</v>
      </c>
    </row>
    <row r="5861" spans="1:25" x14ac:dyDescent="0.2">
      <c r="A5861" s="2">
        <v>5516</v>
      </c>
      <c r="B5861" s="2" t="s">
        <v>9886</v>
      </c>
      <c r="C5861" s="2" t="s">
        <v>13</v>
      </c>
      <c r="D5861" s="2" t="s">
        <v>7583</v>
      </c>
      <c r="E5861" s="2" t="s">
        <v>9887</v>
      </c>
      <c r="F5861" s="2" t="s">
        <v>78</v>
      </c>
      <c r="G5861" s="2" t="s">
        <v>252</v>
      </c>
      <c r="H5861" s="2"/>
      <c r="I5861" s="2"/>
      <c r="J5861" s="2"/>
      <c r="K5861" s="2"/>
      <c r="L5861" s="2"/>
      <c r="M5861" s="2"/>
      <c r="N5861" s="2"/>
      <c r="O5861" s="2"/>
      <c r="P5861" s="2"/>
      <c r="Q5861" s="2"/>
      <c r="R5861" s="2"/>
      <c r="S5861" s="2"/>
      <c r="T5861" s="2"/>
      <c r="U5861" s="2"/>
      <c r="V5861" s="2"/>
      <c r="W5861" s="2"/>
      <c r="X5861" s="2"/>
      <c r="Y5861" s="2"/>
    </row>
    <row r="5862" spans="1:25" x14ac:dyDescent="0.2">
      <c r="A5862">
        <v>5517</v>
      </c>
      <c r="B5862" t="s">
        <v>9886</v>
      </c>
      <c r="C5862" t="s">
        <v>18</v>
      </c>
      <c r="D5862" t="s">
        <v>7583</v>
      </c>
      <c r="E5862" t="s">
        <v>7584</v>
      </c>
      <c r="F5862" t="s">
        <v>78</v>
      </c>
      <c r="G5862" t="s">
        <v>252</v>
      </c>
      <c r="I5862" t="b">
        <v>1</v>
      </c>
      <c r="J5862" t="b">
        <v>1</v>
      </c>
      <c r="L5862" t="b">
        <v>1</v>
      </c>
      <c r="M5862" t="str">
        <f>HYPERLINK("https://arizona.app.box.com/file/386244513424")</f>
        <v>https://arizona.app.box.com/file/386244513424</v>
      </c>
      <c r="N5862" t="str">
        <f>HYPERLINK("https://arizona.app.box.com/file/386218851984")</f>
        <v>https://arizona.app.box.com/file/386218851984</v>
      </c>
    </row>
    <row r="5863" spans="1:25" x14ac:dyDescent="0.2">
      <c r="A5863">
        <v>5518</v>
      </c>
      <c r="B5863" t="s">
        <v>9886</v>
      </c>
      <c r="C5863" t="s">
        <v>18</v>
      </c>
      <c r="D5863" t="s">
        <v>9888</v>
      </c>
      <c r="E5863" t="s">
        <v>9889</v>
      </c>
      <c r="F5863" t="s">
        <v>78</v>
      </c>
      <c r="G5863" t="s">
        <v>252</v>
      </c>
      <c r="I5863" t="b">
        <v>0</v>
      </c>
      <c r="J5863" t="b">
        <v>0</v>
      </c>
      <c r="L5863" t="b">
        <v>0</v>
      </c>
      <c r="M5863" t="str">
        <f>HYPERLINK("https://arizona.app.box.com/file/386239506749")</f>
        <v>https://arizona.app.box.com/file/386239506749</v>
      </c>
    </row>
    <row r="5864" spans="1:25" x14ac:dyDescent="0.2">
      <c r="A5864">
        <v>5519</v>
      </c>
      <c r="B5864" t="s">
        <v>9886</v>
      </c>
      <c r="C5864" t="s">
        <v>18</v>
      </c>
      <c r="D5864" t="s">
        <v>9890</v>
      </c>
      <c r="E5864" t="s">
        <v>2384</v>
      </c>
      <c r="F5864" t="s">
        <v>78</v>
      </c>
      <c r="G5864" t="s">
        <v>252</v>
      </c>
      <c r="I5864" t="b">
        <v>0</v>
      </c>
      <c r="J5864" t="b">
        <v>0</v>
      </c>
      <c r="L5864" t="b">
        <v>0</v>
      </c>
      <c r="M5864" t="str">
        <f>HYPERLINK("https://arizona.app.box.com/file/386246412660")</f>
        <v>https://arizona.app.box.com/file/386246412660</v>
      </c>
    </row>
    <row r="5865" spans="1:25" x14ac:dyDescent="0.2">
      <c r="A5865">
        <v>5520</v>
      </c>
      <c r="B5865" t="s">
        <v>9886</v>
      </c>
      <c r="C5865" t="s">
        <v>18</v>
      </c>
      <c r="D5865" t="s">
        <v>9891</v>
      </c>
      <c r="E5865" t="s">
        <v>9892</v>
      </c>
      <c r="F5865" t="s">
        <v>78</v>
      </c>
      <c r="G5865" t="s">
        <v>252</v>
      </c>
      <c r="I5865" t="b">
        <v>0</v>
      </c>
      <c r="J5865" t="b">
        <v>0</v>
      </c>
      <c r="L5865" t="b">
        <v>0</v>
      </c>
      <c r="M5865" t="str">
        <f>HYPERLINK("https://arizona.app.box.com/file/386249506239")</f>
        <v>https://arizona.app.box.com/file/386249506239</v>
      </c>
    </row>
    <row r="5866" spans="1:25" x14ac:dyDescent="0.2">
      <c r="A5866">
        <v>5521</v>
      </c>
      <c r="B5866" t="s">
        <v>9886</v>
      </c>
      <c r="C5866" t="s">
        <v>18</v>
      </c>
      <c r="D5866" t="s">
        <v>9893</v>
      </c>
      <c r="E5866" t="s">
        <v>9894</v>
      </c>
      <c r="F5866" t="s">
        <v>78</v>
      </c>
      <c r="G5866" t="s">
        <v>252</v>
      </c>
      <c r="I5866" t="b">
        <v>0</v>
      </c>
      <c r="J5866" t="b">
        <v>0</v>
      </c>
      <c r="L5866" t="b">
        <v>0</v>
      </c>
    </row>
    <row r="5868" spans="1:25" x14ac:dyDescent="0.2">
      <c r="A5868" s="2">
        <v>7749</v>
      </c>
      <c r="B5868" s="2" t="s">
        <v>9895</v>
      </c>
      <c r="C5868" s="2" t="s">
        <v>13</v>
      </c>
      <c r="D5868" s="2" t="s">
        <v>9549</v>
      </c>
      <c r="E5868" s="2" t="s">
        <v>9896</v>
      </c>
      <c r="F5868" s="2" t="s">
        <v>952</v>
      </c>
      <c r="G5868" s="2" t="s">
        <v>62</v>
      </c>
      <c r="H5868" s="2"/>
      <c r="I5868" s="2"/>
      <c r="J5868" s="2"/>
      <c r="K5868" s="2"/>
      <c r="L5868" s="2"/>
      <c r="M5868" s="2"/>
      <c r="N5868" s="2"/>
      <c r="O5868" s="2"/>
      <c r="P5868" s="2"/>
      <c r="Q5868" s="2"/>
      <c r="R5868" s="2"/>
      <c r="S5868" s="2"/>
      <c r="T5868" s="2"/>
      <c r="U5868" s="2"/>
      <c r="V5868" s="2"/>
      <c r="W5868" s="2"/>
      <c r="X5868" s="2"/>
      <c r="Y5868" s="2"/>
    </row>
    <row r="5869" spans="1:25" x14ac:dyDescent="0.2">
      <c r="A5869">
        <v>7750</v>
      </c>
      <c r="B5869" t="s">
        <v>9895</v>
      </c>
      <c r="C5869" t="s">
        <v>18</v>
      </c>
      <c r="D5869" t="s">
        <v>9549</v>
      </c>
      <c r="E5869" t="s">
        <v>9550</v>
      </c>
      <c r="F5869" t="s">
        <v>952</v>
      </c>
      <c r="G5869" t="s">
        <v>62</v>
      </c>
      <c r="I5869" t="b">
        <v>1</v>
      </c>
      <c r="J5869" t="b">
        <v>1</v>
      </c>
      <c r="L5869" t="b">
        <v>1</v>
      </c>
      <c r="M5869" t="str">
        <f>HYPERLINK("https://arizona.app.box.com/file/389260296983")</f>
        <v>https://arizona.app.box.com/file/389260296983</v>
      </c>
      <c r="N5869" t="str">
        <f>HYPERLINK("https://arizona.app.box.com/file/389145070382")</f>
        <v>https://arizona.app.box.com/file/389145070382</v>
      </c>
      <c r="O5869" t="str">
        <f>HYPERLINK("https://arizona.app.box.com/file/389263103085")</f>
        <v>https://arizona.app.box.com/file/389263103085</v>
      </c>
      <c r="P5869" t="str">
        <f>HYPERLINK("https://arizona.app.box.com/file/389167268927")</f>
        <v>https://arizona.app.box.com/file/389167268927</v>
      </c>
    </row>
    <row r="5870" spans="1:25" x14ac:dyDescent="0.2">
      <c r="A5870">
        <v>7751</v>
      </c>
      <c r="B5870" t="s">
        <v>9895</v>
      </c>
      <c r="C5870" t="s">
        <v>18</v>
      </c>
      <c r="D5870" t="s">
        <v>6745</v>
      </c>
      <c r="E5870" t="s">
        <v>3910</v>
      </c>
      <c r="F5870" t="s">
        <v>316</v>
      </c>
      <c r="G5870" t="s">
        <v>879</v>
      </c>
      <c r="I5870" t="b">
        <v>0</v>
      </c>
      <c r="J5870" t="b">
        <v>0</v>
      </c>
      <c r="L5870" t="b">
        <v>0</v>
      </c>
      <c r="M5870" t="str">
        <f>HYPERLINK("https://arizona.app.box.com/file/389173947906")</f>
        <v>https://arizona.app.box.com/file/389173947906</v>
      </c>
      <c r="N5870" t="str">
        <f>HYPERLINK("https://arizona.app.box.com/file/386237165808")</f>
        <v>https://arizona.app.box.com/file/386237165808</v>
      </c>
    </row>
    <row r="5871" spans="1:25" x14ac:dyDescent="0.2">
      <c r="A5871">
        <v>7752</v>
      </c>
      <c r="B5871" t="s">
        <v>9895</v>
      </c>
      <c r="C5871" t="s">
        <v>18</v>
      </c>
      <c r="D5871" t="s">
        <v>9897</v>
      </c>
      <c r="E5871" t="s">
        <v>9898</v>
      </c>
      <c r="F5871" t="s">
        <v>596</v>
      </c>
      <c r="G5871" t="s">
        <v>62</v>
      </c>
      <c r="I5871" t="b">
        <v>0</v>
      </c>
      <c r="J5871" t="b">
        <v>0</v>
      </c>
      <c r="L5871" t="b">
        <v>0</v>
      </c>
    </row>
    <row r="5872" spans="1:25" x14ac:dyDescent="0.2">
      <c r="A5872">
        <v>7753</v>
      </c>
      <c r="B5872" t="s">
        <v>9895</v>
      </c>
      <c r="C5872" t="s">
        <v>18</v>
      </c>
      <c r="D5872" t="s">
        <v>1201</v>
      </c>
      <c r="E5872" t="s">
        <v>1202</v>
      </c>
      <c r="F5872" t="s">
        <v>27</v>
      </c>
      <c r="G5872" t="s">
        <v>62</v>
      </c>
      <c r="I5872" t="b">
        <v>0</v>
      </c>
      <c r="J5872" t="b">
        <v>0</v>
      </c>
      <c r="L5872" t="b">
        <v>0</v>
      </c>
      <c r="M5872" t="str">
        <f>HYPERLINK("https://arizona.app.box.com/file/389268377438")</f>
        <v>https://arizona.app.box.com/file/389268377438</v>
      </c>
      <c r="N5872" t="str">
        <f>HYPERLINK("https://arizona.app.box.com/file/389164952825")</f>
        <v>https://arizona.app.box.com/file/389164952825</v>
      </c>
    </row>
    <row r="5873" spans="1:25" x14ac:dyDescent="0.2">
      <c r="A5873">
        <v>7754</v>
      </c>
      <c r="B5873" t="s">
        <v>9895</v>
      </c>
      <c r="C5873" t="s">
        <v>18</v>
      </c>
      <c r="D5873" t="s">
        <v>9899</v>
      </c>
      <c r="E5873" t="s">
        <v>9900</v>
      </c>
      <c r="F5873" t="s">
        <v>87</v>
      </c>
      <c r="G5873" t="s">
        <v>62</v>
      </c>
      <c r="I5873" t="b">
        <v>0</v>
      </c>
      <c r="J5873" t="b">
        <v>0</v>
      </c>
      <c r="L5873" t="b">
        <v>0</v>
      </c>
    </row>
    <row r="5875" spans="1:25" x14ac:dyDescent="0.2">
      <c r="A5875" s="2">
        <v>5698</v>
      </c>
      <c r="B5875" s="2" t="s">
        <v>9901</v>
      </c>
      <c r="C5875" s="2" t="s">
        <v>13</v>
      </c>
      <c r="D5875" s="2" t="s">
        <v>9902</v>
      </c>
      <c r="E5875" s="2" t="s">
        <v>9903</v>
      </c>
      <c r="F5875" s="2" t="s">
        <v>159</v>
      </c>
      <c r="G5875" s="2" t="s">
        <v>411</v>
      </c>
      <c r="H5875" s="2"/>
      <c r="I5875" s="2"/>
      <c r="J5875" s="2"/>
      <c r="K5875" s="2"/>
      <c r="L5875" s="2"/>
      <c r="M5875" s="2"/>
      <c r="N5875" s="2"/>
      <c r="O5875" s="2"/>
      <c r="P5875" s="2"/>
      <c r="Q5875" s="2"/>
      <c r="R5875" s="2"/>
      <c r="S5875" s="2"/>
      <c r="T5875" s="2"/>
      <c r="U5875" s="2"/>
      <c r="V5875" s="2"/>
      <c r="W5875" s="2"/>
      <c r="X5875" s="2"/>
      <c r="Y5875" s="2"/>
    </row>
    <row r="5876" spans="1:25" x14ac:dyDescent="0.2">
      <c r="A5876">
        <v>5699</v>
      </c>
      <c r="B5876" t="s">
        <v>9901</v>
      </c>
      <c r="C5876" t="s">
        <v>18</v>
      </c>
      <c r="D5876" t="s">
        <v>6852</v>
      </c>
      <c r="E5876" t="s">
        <v>6853</v>
      </c>
      <c r="F5876" t="s">
        <v>82</v>
      </c>
      <c r="G5876" t="s">
        <v>6854</v>
      </c>
      <c r="I5876" t="b">
        <v>0</v>
      </c>
      <c r="J5876" t="b">
        <v>0</v>
      </c>
      <c r="L5876" t="b">
        <v>0</v>
      </c>
      <c r="M5876" t="str">
        <f>HYPERLINK("https://arizona.app.box.com/file/389262523862")</f>
        <v>https://arizona.app.box.com/file/389262523862</v>
      </c>
    </row>
    <row r="5877" spans="1:25" x14ac:dyDescent="0.2">
      <c r="A5877">
        <v>5700</v>
      </c>
      <c r="B5877" t="s">
        <v>9901</v>
      </c>
      <c r="C5877" t="s">
        <v>18</v>
      </c>
      <c r="D5877" t="s">
        <v>7049</v>
      </c>
      <c r="E5877" t="s">
        <v>407</v>
      </c>
      <c r="F5877" t="s">
        <v>369</v>
      </c>
      <c r="G5877" t="s">
        <v>32</v>
      </c>
      <c r="I5877" t="b">
        <v>0</v>
      </c>
      <c r="J5877" t="b">
        <v>0</v>
      </c>
      <c r="L5877" t="b">
        <v>0</v>
      </c>
      <c r="M5877" t="str">
        <f>HYPERLINK("https://arizona.app.box.com/file/389263760115")</f>
        <v>https://arizona.app.box.com/file/389263760115</v>
      </c>
      <c r="N5877" t="str">
        <f>HYPERLINK("https://arizona.app.box.com/file/389169036394")</f>
        <v>https://arizona.app.box.com/file/389169036394</v>
      </c>
    </row>
    <row r="5878" spans="1:25" x14ac:dyDescent="0.2">
      <c r="A5878">
        <v>5701</v>
      </c>
      <c r="B5878" t="s">
        <v>9901</v>
      </c>
      <c r="C5878" t="s">
        <v>18</v>
      </c>
      <c r="D5878" t="s">
        <v>9904</v>
      </c>
      <c r="E5878" t="s">
        <v>8961</v>
      </c>
      <c r="F5878" t="s">
        <v>205</v>
      </c>
      <c r="G5878" t="s">
        <v>94</v>
      </c>
      <c r="I5878" t="b">
        <v>0</v>
      </c>
      <c r="J5878" t="b">
        <v>0</v>
      </c>
      <c r="L5878" t="b">
        <v>0</v>
      </c>
    </row>
    <row r="5879" spans="1:25" x14ac:dyDescent="0.2">
      <c r="A5879">
        <v>5702</v>
      </c>
      <c r="B5879" t="s">
        <v>9901</v>
      </c>
      <c r="C5879" t="s">
        <v>18</v>
      </c>
      <c r="D5879" t="s">
        <v>7053</v>
      </c>
      <c r="E5879" t="s">
        <v>1725</v>
      </c>
      <c r="F5879" t="s">
        <v>369</v>
      </c>
      <c r="G5879" t="s">
        <v>32</v>
      </c>
      <c r="I5879" t="b">
        <v>0</v>
      </c>
      <c r="J5879" t="b">
        <v>0</v>
      </c>
      <c r="L5879" t="b">
        <v>0</v>
      </c>
      <c r="M5879" t="str">
        <f>HYPERLINK("https://arizona.app.box.com/file/389264812040")</f>
        <v>https://arizona.app.box.com/file/389264812040</v>
      </c>
      <c r="N5879" t="str">
        <f>HYPERLINK("https://arizona.app.box.com/file/389165786084")</f>
        <v>https://arizona.app.box.com/file/389165786084</v>
      </c>
    </row>
    <row r="5880" spans="1:25" x14ac:dyDescent="0.2">
      <c r="A5880">
        <v>5703</v>
      </c>
      <c r="B5880" t="s">
        <v>9901</v>
      </c>
      <c r="C5880" t="s">
        <v>18</v>
      </c>
      <c r="D5880" t="s">
        <v>9905</v>
      </c>
      <c r="E5880" t="s">
        <v>9906</v>
      </c>
      <c r="F5880" t="s">
        <v>82</v>
      </c>
      <c r="G5880" t="s">
        <v>2208</v>
      </c>
      <c r="I5880" t="b">
        <v>0</v>
      </c>
      <c r="J5880" t="b">
        <v>0</v>
      </c>
      <c r="L5880" t="b">
        <v>0</v>
      </c>
      <c r="M5880" t="str">
        <f>HYPERLINK("https://arizona.app.box.com/file/386214036369")</f>
        <v>https://arizona.app.box.com/file/386214036369</v>
      </c>
    </row>
    <row r="5882" spans="1:25" x14ac:dyDescent="0.2">
      <c r="A5882" s="2">
        <v>7966</v>
      </c>
      <c r="B5882" s="2" t="s">
        <v>9907</v>
      </c>
      <c r="C5882" s="2" t="s">
        <v>13</v>
      </c>
      <c r="D5882" s="2" t="s">
        <v>3659</v>
      </c>
      <c r="E5882" s="2" t="s">
        <v>9908</v>
      </c>
      <c r="F5882" s="2" t="s">
        <v>369</v>
      </c>
      <c r="G5882" s="2" t="s">
        <v>17</v>
      </c>
      <c r="H5882" s="2"/>
      <c r="I5882" s="2"/>
      <c r="J5882" s="2"/>
      <c r="K5882" s="2"/>
      <c r="L5882" s="2"/>
      <c r="M5882" s="2"/>
      <c r="N5882" s="2"/>
      <c r="O5882" s="2"/>
      <c r="P5882" s="2"/>
      <c r="Q5882" s="2"/>
      <c r="R5882" s="2"/>
      <c r="S5882" s="2"/>
      <c r="T5882" s="2"/>
      <c r="U5882" s="2"/>
      <c r="V5882" s="2"/>
      <c r="W5882" s="2"/>
      <c r="X5882" s="2"/>
      <c r="Y5882" s="2"/>
    </row>
    <row r="5883" spans="1:25" x14ac:dyDescent="0.2">
      <c r="A5883">
        <v>7967</v>
      </c>
      <c r="B5883" t="s">
        <v>9907</v>
      </c>
      <c r="C5883" t="s">
        <v>18</v>
      </c>
      <c r="D5883" t="s">
        <v>3659</v>
      </c>
      <c r="E5883" t="s">
        <v>2886</v>
      </c>
      <c r="F5883" t="s">
        <v>369</v>
      </c>
      <c r="G5883" t="s">
        <v>17</v>
      </c>
      <c r="I5883" t="b">
        <v>1</v>
      </c>
      <c r="J5883" t="b">
        <v>1</v>
      </c>
      <c r="L5883" t="b">
        <v>1</v>
      </c>
      <c r="M5883" t="str">
        <f>HYPERLINK("https://arizona.app.box.com/file/389256688316")</f>
        <v>https://arizona.app.box.com/file/389256688316</v>
      </c>
      <c r="N5883" t="str">
        <f>HYPERLINK("https://arizona.app.box.com/file/389169865148")</f>
        <v>https://arizona.app.box.com/file/389169865148</v>
      </c>
    </row>
    <row r="5884" spans="1:25" x14ac:dyDescent="0.2">
      <c r="A5884">
        <v>7968</v>
      </c>
      <c r="B5884" t="s">
        <v>9907</v>
      </c>
      <c r="C5884" t="s">
        <v>18</v>
      </c>
      <c r="D5884" t="s">
        <v>8743</v>
      </c>
      <c r="E5884" t="s">
        <v>8744</v>
      </c>
      <c r="F5884" t="s">
        <v>369</v>
      </c>
      <c r="G5884" t="s">
        <v>17</v>
      </c>
      <c r="I5884" t="b">
        <v>0</v>
      </c>
      <c r="J5884" t="b">
        <v>0</v>
      </c>
      <c r="L5884" t="b">
        <v>0</v>
      </c>
    </row>
    <row r="5885" spans="1:25" x14ac:dyDescent="0.2">
      <c r="A5885">
        <v>7969</v>
      </c>
      <c r="B5885" t="s">
        <v>9907</v>
      </c>
      <c r="C5885" t="s">
        <v>18</v>
      </c>
      <c r="D5885" t="s">
        <v>3654</v>
      </c>
      <c r="E5885" t="s">
        <v>3656</v>
      </c>
      <c r="F5885" t="s">
        <v>122</v>
      </c>
      <c r="G5885" t="s">
        <v>17</v>
      </c>
      <c r="I5885" t="b">
        <v>0</v>
      </c>
      <c r="J5885" t="b">
        <v>0</v>
      </c>
      <c r="L5885" t="b">
        <v>0</v>
      </c>
      <c r="M5885" t="str">
        <f>HYPERLINK("https://arizona.app.box.com/file/389256471130")</f>
        <v>https://arizona.app.box.com/file/389256471130</v>
      </c>
      <c r="N5885" t="str">
        <f>HYPERLINK("https://arizona.app.box.com/file/389152632283")</f>
        <v>https://arizona.app.box.com/file/389152632283</v>
      </c>
    </row>
    <row r="5886" spans="1:25" x14ac:dyDescent="0.2">
      <c r="A5886">
        <v>7970</v>
      </c>
      <c r="B5886" t="s">
        <v>9907</v>
      </c>
      <c r="C5886" t="s">
        <v>18</v>
      </c>
      <c r="D5886" t="s">
        <v>3662</v>
      </c>
      <c r="E5886" t="s">
        <v>3663</v>
      </c>
      <c r="F5886" t="s">
        <v>369</v>
      </c>
      <c r="G5886" t="s">
        <v>17</v>
      </c>
      <c r="I5886" t="b">
        <v>0</v>
      </c>
      <c r="J5886" t="b">
        <v>0</v>
      </c>
      <c r="L5886" t="b">
        <v>0</v>
      </c>
      <c r="M5886" t="str">
        <f>HYPERLINK("https://arizona.app.box.com/file/389266280244")</f>
        <v>https://arizona.app.box.com/file/389266280244</v>
      </c>
      <c r="N5886" t="str">
        <f>HYPERLINK("https://arizona.app.box.com/file/389168611917")</f>
        <v>https://arizona.app.box.com/file/389168611917</v>
      </c>
      <c r="O5886" t="str">
        <f>HYPERLINK("https://arizona.app.box.com/file/389264918339")</f>
        <v>https://arizona.app.box.com/file/389264918339</v>
      </c>
      <c r="P5886" t="str">
        <f>HYPERLINK("https://arizona.app.box.com/file/389172267617")</f>
        <v>https://arizona.app.box.com/file/389172267617</v>
      </c>
    </row>
    <row r="5887" spans="1:25" x14ac:dyDescent="0.2">
      <c r="A5887">
        <v>7971</v>
      </c>
      <c r="B5887" t="s">
        <v>9907</v>
      </c>
      <c r="C5887" t="s">
        <v>18</v>
      </c>
      <c r="D5887" t="s">
        <v>8741</v>
      </c>
      <c r="E5887" t="s">
        <v>8742</v>
      </c>
      <c r="F5887" t="s">
        <v>369</v>
      </c>
      <c r="G5887" t="s">
        <v>24</v>
      </c>
      <c r="I5887" t="b">
        <v>0</v>
      </c>
      <c r="J5887" t="b">
        <v>0</v>
      </c>
      <c r="L5887" t="b">
        <v>0</v>
      </c>
      <c r="M5887" t="str">
        <f>HYPERLINK("https://arizona.app.box.com/file/389174579267")</f>
        <v>https://arizona.app.box.com/file/389174579267</v>
      </c>
      <c r="N5887" t="str">
        <f>HYPERLINK("https://arizona.app.box.com/file/386240939953")</f>
        <v>https://arizona.app.box.com/file/386240939953</v>
      </c>
      <c r="O5887" t="str">
        <f>HYPERLINK("https://arizona.app.box.com/file/389169773205")</f>
        <v>https://arizona.app.box.com/file/389169773205</v>
      </c>
      <c r="P5887" t="str">
        <f>HYPERLINK("https://arizona.app.box.com/file/386239243637")</f>
        <v>https://arizona.app.box.com/file/386239243637</v>
      </c>
    </row>
    <row r="5889" spans="1:25" x14ac:dyDescent="0.2">
      <c r="A5889" s="2">
        <v>175</v>
      </c>
      <c r="B5889" s="2" t="s">
        <v>9909</v>
      </c>
      <c r="C5889" s="2" t="s">
        <v>13</v>
      </c>
      <c r="D5889" s="2" t="s">
        <v>3415</v>
      </c>
      <c r="E5889" s="2" t="s">
        <v>3416</v>
      </c>
      <c r="F5889" s="2" t="s">
        <v>82</v>
      </c>
      <c r="G5889" s="2" t="s">
        <v>265</v>
      </c>
      <c r="H5889" s="2"/>
      <c r="I5889" s="2"/>
      <c r="J5889" s="2"/>
      <c r="K5889" s="2"/>
      <c r="L5889" s="2"/>
      <c r="M5889" s="2"/>
      <c r="N5889" s="2"/>
      <c r="O5889" s="2"/>
      <c r="P5889" s="2"/>
      <c r="Q5889" s="2"/>
      <c r="R5889" s="2"/>
      <c r="S5889" s="2"/>
      <c r="T5889" s="2"/>
      <c r="U5889" s="2"/>
      <c r="V5889" s="2"/>
      <c r="W5889" s="2"/>
      <c r="X5889" s="2"/>
      <c r="Y5889" s="2"/>
    </row>
    <row r="5890" spans="1:25" x14ac:dyDescent="0.2">
      <c r="A5890">
        <v>176</v>
      </c>
      <c r="B5890" t="s">
        <v>9909</v>
      </c>
      <c r="C5890" t="s">
        <v>18</v>
      </c>
      <c r="D5890" t="s">
        <v>3415</v>
      </c>
      <c r="E5890" t="s">
        <v>3416</v>
      </c>
      <c r="F5890" t="s">
        <v>82</v>
      </c>
      <c r="G5890" t="s">
        <v>265</v>
      </c>
      <c r="I5890" t="b">
        <v>1</v>
      </c>
      <c r="J5890" t="b">
        <v>1</v>
      </c>
      <c r="L5890" t="b">
        <v>1</v>
      </c>
      <c r="M5890" t="str">
        <f>HYPERLINK("https://arizona.app.box.com/file/386241944545")</f>
        <v>https://arizona.app.box.com/file/386241944545</v>
      </c>
      <c r="N5890" t="str">
        <f>HYPERLINK("https://arizona.app.box.com/file/386241926241")</f>
        <v>https://arizona.app.box.com/file/386241926241</v>
      </c>
    </row>
    <row r="5891" spans="1:25" x14ac:dyDescent="0.2">
      <c r="A5891">
        <v>177</v>
      </c>
      <c r="B5891" t="s">
        <v>9909</v>
      </c>
      <c r="C5891" t="s">
        <v>18</v>
      </c>
      <c r="D5891" t="s">
        <v>9910</v>
      </c>
      <c r="E5891" t="s">
        <v>9911</v>
      </c>
      <c r="F5891" t="s">
        <v>82</v>
      </c>
      <c r="G5891" t="s">
        <v>265</v>
      </c>
      <c r="I5891" t="b">
        <v>0</v>
      </c>
      <c r="J5891" t="b">
        <v>0</v>
      </c>
      <c r="L5891" t="b">
        <v>0</v>
      </c>
      <c r="M5891" t="str">
        <f>HYPERLINK("https://arizona.app.box.com/file/386248808849")</f>
        <v>https://arizona.app.box.com/file/386248808849</v>
      </c>
      <c r="N5891" t="str">
        <f>HYPERLINK("https://arizona.app.box.com/file/389262273400")</f>
        <v>https://arizona.app.box.com/file/389262273400</v>
      </c>
      <c r="O5891" t="str">
        <f>HYPERLINK("https://arizona.app.box.com/file/386244035824")</f>
        <v>https://arizona.app.box.com/file/386244035824</v>
      </c>
    </row>
    <row r="5892" spans="1:25" x14ac:dyDescent="0.2">
      <c r="A5892">
        <v>178</v>
      </c>
      <c r="B5892" t="s">
        <v>9909</v>
      </c>
      <c r="C5892" t="s">
        <v>18</v>
      </c>
      <c r="D5892" t="s">
        <v>7220</v>
      </c>
      <c r="E5892" t="s">
        <v>7221</v>
      </c>
      <c r="F5892" t="s">
        <v>82</v>
      </c>
      <c r="G5892" t="s">
        <v>265</v>
      </c>
      <c r="I5892" t="b">
        <v>0</v>
      </c>
      <c r="J5892" t="b">
        <v>0</v>
      </c>
      <c r="L5892" t="b">
        <v>0</v>
      </c>
      <c r="M5892" t="str">
        <f>HYPERLINK("https://arizona.app.box.com/file/386250758869")</f>
        <v>https://arizona.app.box.com/file/386250758869</v>
      </c>
      <c r="N5892" t="str">
        <f>HYPERLINK("https://arizona.app.box.com/file/386263467156")</f>
        <v>https://arizona.app.box.com/file/386263467156</v>
      </c>
    </row>
    <row r="5893" spans="1:25" x14ac:dyDescent="0.2">
      <c r="A5893">
        <v>179</v>
      </c>
      <c r="B5893" t="s">
        <v>9909</v>
      </c>
      <c r="C5893" t="s">
        <v>18</v>
      </c>
      <c r="D5893" t="s">
        <v>2726</v>
      </c>
      <c r="E5893" t="s">
        <v>2727</v>
      </c>
      <c r="F5893" t="s">
        <v>2728</v>
      </c>
      <c r="G5893" t="s">
        <v>265</v>
      </c>
      <c r="I5893" t="b">
        <v>0</v>
      </c>
      <c r="J5893" t="b">
        <v>0</v>
      </c>
      <c r="L5893" t="b">
        <v>0</v>
      </c>
      <c r="M5893" t="str">
        <f>HYPERLINK("https://arizona.app.box.com/file/386214233232")</f>
        <v>https://arizona.app.box.com/file/386214233232</v>
      </c>
      <c r="N5893" t="str">
        <f>HYPERLINK("https://arizona.app.box.com/file/386241113911")</f>
        <v>https://arizona.app.box.com/file/386241113911</v>
      </c>
    </row>
    <row r="5894" spans="1:25" x14ac:dyDescent="0.2">
      <c r="A5894">
        <v>180</v>
      </c>
      <c r="B5894" t="s">
        <v>9909</v>
      </c>
      <c r="C5894" t="s">
        <v>18</v>
      </c>
      <c r="D5894" t="s">
        <v>5994</v>
      </c>
      <c r="E5894" t="s">
        <v>5996</v>
      </c>
      <c r="F5894" t="s">
        <v>82</v>
      </c>
      <c r="G5894" t="s">
        <v>265</v>
      </c>
      <c r="I5894" t="b">
        <v>0</v>
      </c>
      <c r="J5894" t="b">
        <v>0</v>
      </c>
      <c r="L5894" t="b">
        <v>0</v>
      </c>
      <c r="M5894" t="str">
        <f>HYPERLINK("https://arizona.app.box.com/file/386214269712")</f>
        <v>https://arizona.app.box.com/file/386214269712</v>
      </c>
    </row>
    <row r="5896" spans="1:25" x14ac:dyDescent="0.2">
      <c r="A5896" s="2">
        <v>2198</v>
      </c>
      <c r="B5896" s="2" t="s">
        <v>9912</v>
      </c>
      <c r="C5896" s="2" t="s">
        <v>13</v>
      </c>
      <c r="D5896" s="2" t="s">
        <v>9913</v>
      </c>
      <c r="E5896" s="2" t="s">
        <v>9914</v>
      </c>
      <c r="F5896" s="2" t="s">
        <v>82</v>
      </c>
      <c r="G5896" s="2" t="s">
        <v>265</v>
      </c>
      <c r="H5896" s="2"/>
      <c r="I5896" s="2"/>
      <c r="J5896" s="2"/>
      <c r="K5896" s="2"/>
      <c r="L5896" s="2"/>
      <c r="M5896" s="2"/>
      <c r="N5896" s="2"/>
      <c r="O5896" s="2"/>
      <c r="P5896" s="2"/>
      <c r="Q5896" s="2"/>
      <c r="R5896" s="2"/>
      <c r="S5896" s="2"/>
      <c r="T5896" s="2"/>
      <c r="U5896" s="2"/>
      <c r="V5896" s="2"/>
      <c r="W5896" s="2"/>
      <c r="X5896" s="2"/>
      <c r="Y5896" s="2"/>
    </row>
    <row r="5897" spans="1:25" x14ac:dyDescent="0.2">
      <c r="A5897">
        <v>2199</v>
      </c>
      <c r="B5897" t="s">
        <v>9912</v>
      </c>
      <c r="C5897" t="s">
        <v>18</v>
      </c>
      <c r="D5897" t="s">
        <v>3913</v>
      </c>
      <c r="E5897" t="s">
        <v>3914</v>
      </c>
      <c r="F5897" t="s">
        <v>1837</v>
      </c>
      <c r="G5897" t="s">
        <v>265</v>
      </c>
      <c r="I5897" t="b">
        <v>0</v>
      </c>
      <c r="J5897" t="b">
        <v>1</v>
      </c>
      <c r="L5897" t="b">
        <v>1</v>
      </c>
      <c r="M5897" t="str">
        <f>HYPERLINK("https://arizona.app.box.com/file/389165928556")</f>
        <v>https://arizona.app.box.com/file/389165928556</v>
      </c>
      <c r="N5897" t="str">
        <f>HYPERLINK("https://arizona.app.box.com/file/389164937093")</f>
        <v>https://arizona.app.box.com/file/389164937093</v>
      </c>
    </row>
    <row r="5898" spans="1:25" x14ac:dyDescent="0.2">
      <c r="A5898">
        <v>2200</v>
      </c>
      <c r="B5898" t="s">
        <v>9912</v>
      </c>
      <c r="C5898" t="s">
        <v>18</v>
      </c>
      <c r="D5898" t="s">
        <v>3903</v>
      </c>
      <c r="E5898" t="s">
        <v>3904</v>
      </c>
      <c r="F5898" t="s">
        <v>159</v>
      </c>
      <c r="G5898" t="s">
        <v>265</v>
      </c>
      <c r="I5898" t="b">
        <v>0</v>
      </c>
      <c r="J5898" t="b">
        <v>0</v>
      </c>
      <c r="L5898" t="b">
        <v>0</v>
      </c>
      <c r="M5898" t="str">
        <f>HYPERLINK("https://arizona.app.box.com/file/389167744385")</f>
        <v>https://arizona.app.box.com/file/389167744385</v>
      </c>
      <c r="N5898" t="str">
        <f>HYPERLINK("https://arizona.app.box.com/file/386215772322")</f>
        <v>https://arizona.app.box.com/file/386215772322</v>
      </c>
      <c r="O5898" t="str">
        <f>HYPERLINK("https://arizona.app.box.com/file/389172896535")</f>
        <v>https://arizona.app.box.com/file/389172896535</v>
      </c>
      <c r="P5898" t="str">
        <f>HYPERLINK("https://arizona.app.box.com/file/386238791824")</f>
        <v>https://arizona.app.box.com/file/386238791824</v>
      </c>
    </row>
    <row r="5899" spans="1:25" x14ac:dyDescent="0.2">
      <c r="A5899">
        <v>2201</v>
      </c>
      <c r="B5899" t="s">
        <v>9912</v>
      </c>
      <c r="C5899" t="s">
        <v>18</v>
      </c>
      <c r="D5899" t="s">
        <v>3909</v>
      </c>
      <c r="E5899" t="s">
        <v>3910</v>
      </c>
      <c r="F5899" t="s">
        <v>159</v>
      </c>
      <c r="G5899" t="s">
        <v>265</v>
      </c>
      <c r="I5899" t="b">
        <v>0</v>
      </c>
      <c r="J5899" t="b">
        <v>0</v>
      </c>
      <c r="L5899" t="b">
        <v>0</v>
      </c>
      <c r="M5899" t="str">
        <f>HYPERLINK("https://arizona.app.box.com/file/389163463721")</f>
        <v>https://arizona.app.box.com/file/389163463721</v>
      </c>
      <c r="N5899" t="str">
        <f>HYPERLINK("https://arizona.app.box.com/file/386237622370")</f>
        <v>https://arizona.app.box.com/file/386237622370</v>
      </c>
    </row>
    <row r="5900" spans="1:25" x14ac:dyDescent="0.2">
      <c r="A5900">
        <v>2202</v>
      </c>
      <c r="B5900" t="s">
        <v>9912</v>
      </c>
      <c r="C5900" t="s">
        <v>18</v>
      </c>
      <c r="D5900" t="s">
        <v>4096</v>
      </c>
      <c r="E5900" t="s">
        <v>4097</v>
      </c>
      <c r="F5900" t="s">
        <v>82</v>
      </c>
      <c r="G5900" t="s">
        <v>265</v>
      </c>
      <c r="I5900" t="b">
        <v>0</v>
      </c>
      <c r="J5900" t="b">
        <v>0</v>
      </c>
      <c r="L5900" t="b">
        <v>0</v>
      </c>
      <c r="M5900" t="str">
        <f>HYPERLINK("https://arizona.app.box.com/file/389185034593")</f>
        <v>https://arizona.app.box.com/file/389185034593</v>
      </c>
      <c r="N5900" t="str">
        <f>HYPERLINK("https://arizona.app.box.com/file/386247621334")</f>
        <v>https://arizona.app.box.com/file/386247621334</v>
      </c>
    </row>
    <row r="5901" spans="1:25" x14ac:dyDescent="0.2">
      <c r="A5901">
        <v>2203</v>
      </c>
      <c r="B5901" t="s">
        <v>9912</v>
      </c>
      <c r="C5901" t="s">
        <v>18</v>
      </c>
      <c r="D5901" t="s">
        <v>9915</v>
      </c>
      <c r="E5901" t="s">
        <v>9916</v>
      </c>
      <c r="F5901" t="s">
        <v>82</v>
      </c>
      <c r="G5901" t="s">
        <v>265</v>
      </c>
      <c r="I5901" t="b">
        <v>0</v>
      </c>
      <c r="J5901" t="b">
        <v>0</v>
      </c>
      <c r="L5901" t="b">
        <v>0</v>
      </c>
      <c r="M5901" t="str">
        <f>HYPERLINK("https://arizona.app.box.com/file/386250043142")</f>
        <v>https://arizona.app.box.com/file/386250043142</v>
      </c>
      <c r="N5901" t="str">
        <f>HYPERLINK("https://arizona.app.box.com/file/386216465648")</f>
        <v>https://arizona.app.box.com/file/386216465648</v>
      </c>
    </row>
    <row r="5903" spans="1:25" x14ac:dyDescent="0.2">
      <c r="A5903" s="2">
        <v>7252</v>
      </c>
      <c r="B5903" s="2" t="s">
        <v>9917</v>
      </c>
      <c r="C5903" s="2" t="s">
        <v>13</v>
      </c>
      <c r="D5903" s="2" t="s">
        <v>9918</v>
      </c>
      <c r="E5903" s="2" t="s">
        <v>9919</v>
      </c>
      <c r="F5903" s="2" t="s">
        <v>122</v>
      </c>
      <c r="G5903" s="2" t="s">
        <v>62</v>
      </c>
      <c r="H5903" s="2"/>
      <c r="I5903" s="2"/>
      <c r="J5903" s="2"/>
      <c r="K5903" s="2"/>
      <c r="L5903" s="2"/>
      <c r="M5903" s="2"/>
      <c r="N5903" s="2"/>
      <c r="O5903" s="2"/>
      <c r="P5903" s="2"/>
      <c r="Q5903" s="2"/>
      <c r="R5903" s="2"/>
      <c r="S5903" s="2"/>
      <c r="T5903" s="2"/>
      <c r="U5903" s="2"/>
      <c r="V5903" s="2"/>
      <c r="W5903" s="2"/>
      <c r="X5903" s="2"/>
      <c r="Y5903" s="2"/>
    </row>
    <row r="5904" spans="1:25" x14ac:dyDescent="0.2">
      <c r="A5904">
        <v>7253</v>
      </c>
      <c r="B5904" t="s">
        <v>9917</v>
      </c>
      <c r="C5904" t="s">
        <v>18</v>
      </c>
      <c r="D5904" t="s">
        <v>9918</v>
      </c>
      <c r="E5904" t="s">
        <v>9919</v>
      </c>
      <c r="F5904" t="s">
        <v>122</v>
      </c>
      <c r="G5904" t="s">
        <v>62</v>
      </c>
      <c r="I5904" t="b">
        <v>1</v>
      </c>
      <c r="J5904" t="b">
        <v>1</v>
      </c>
      <c r="L5904" t="b">
        <v>1</v>
      </c>
      <c r="M5904" t="str">
        <f>HYPERLINK("https://arizona.app.box.com/file/386217199686")</f>
        <v>https://arizona.app.box.com/file/386217199686</v>
      </c>
      <c r="N5904" t="str">
        <f>HYPERLINK("https://arizona.app.box.com/file/386229763809")</f>
        <v>https://arizona.app.box.com/file/386229763809</v>
      </c>
    </row>
    <row r="5905" spans="1:25" x14ac:dyDescent="0.2">
      <c r="A5905">
        <v>7254</v>
      </c>
      <c r="B5905" t="s">
        <v>9917</v>
      </c>
      <c r="C5905" t="s">
        <v>18</v>
      </c>
      <c r="D5905" t="s">
        <v>9920</v>
      </c>
      <c r="E5905" t="s">
        <v>9921</v>
      </c>
      <c r="F5905" t="s">
        <v>122</v>
      </c>
      <c r="G5905" t="s">
        <v>62</v>
      </c>
      <c r="I5905" t="b">
        <v>0</v>
      </c>
      <c r="J5905" t="b">
        <v>0</v>
      </c>
      <c r="L5905" t="b">
        <v>0</v>
      </c>
      <c r="M5905" t="str">
        <f>HYPERLINK("https://arizona.app.box.com/file/386241367276")</f>
        <v>https://arizona.app.box.com/file/386241367276</v>
      </c>
      <c r="N5905" t="str">
        <f>HYPERLINK("https://arizona.app.box.com/file/386241725045")</f>
        <v>https://arizona.app.box.com/file/386241725045</v>
      </c>
    </row>
    <row r="5906" spans="1:25" x14ac:dyDescent="0.2">
      <c r="A5906">
        <v>7255</v>
      </c>
      <c r="B5906" t="s">
        <v>9917</v>
      </c>
      <c r="C5906" t="s">
        <v>18</v>
      </c>
      <c r="D5906" t="s">
        <v>1280</v>
      </c>
      <c r="E5906" t="s">
        <v>1279</v>
      </c>
      <c r="F5906" t="s">
        <v>122</v>
      </c>
      <c r="G5906" t="s">
        <v>62</v>
      </c>
      <c r="I5906" t="b">
        <v>0</v>
      </c>
      <c r="J5906" t="b">
        <v>0</v>
      </c>
      <c r="L5906" t="b">
        <v>0</v>
      </c>
      <c r="M5906" t="str">
        <f>HYPERLINK("https://arizona.app.box.com/file/389163674140")</f>
        <v>https://arizona.app.box.com/file/389163674140</v>
      </c>
      <c r="N5906" t="str">
        <f>HYPERLINK("https://arizona.app.box.com/file/386225900227")</f>
        <v>https://arizona.app.box.com/file/386225900227</v>
      </c>
      <c r="O5906" t="str">
        <f>HYPERLINK("https://arizona.app.box.com/file/389176656034")</f>
        <v>https://arizona.app.box.com/file/389176656034</v>
      </c>
    </row>
    <row r="5907" spans="1:25" x14ac:dyDescent="0.2">
      <c r="A5907">
        <v>7256</v>
      </c>
      <c r="B5907" t="s">
        <v>9917</v>
      </c>
      <c r="C5907" t="s">
        <v>18</v>
      </c>
      <c r="D5907" t="s">
        <v>9922</v>
      </c>
      <c r="E5907" t="s">
        <v>9923</v>
      </c>
      <c r="F5907" t="s">
        <v>122</v>
      </c>
      <c r="G5907" t="s">
        <v>62</v>
      </c>
      <c r="I5907" t="b">
        <v>0</v>
      </c>
      <c r="J5907" t="b">
        <v>0</v>
      </c>
      <c r="L5907" t="b">
        <v>0</v>
      </c>
      <c r="M5907" t="str">
        <f>HYPERLINK("https://arizona.app.box.com/file/386229237655")</f>
        <v>https://arizona.app.box.com/file/386229237655</v>
      </c>
      <c r="N5907" t="str">
        <f>HYPERLINK("https://arizona.app.box.com/file/386213891712")</f>
        <v>https://arizona.app.box.com/file/386213891712</v>
      </c>
    </row>
    <row r="5908" spans="1:25" x14ac:dyDescent="0.2">
      <c r="A5908">
        <v>7257</v>
      </c>
      <c r="B5908" t="s">
        <v>9917</v>
      </c>
      <c r="C5908" t="s">
        <v>18</v>
      </c>
      <c r="D5908" t="s">
        <v>9924</v>
      </c>
      <c r="E5908" t="s">
        <v>9925</v>
      </c>
      <c r="F5908" t="s">
        <v>6514</v>
      </c>
      <c r="G5908" t="s">
        <v>62</v>
      </c>
      <c r="I5908" t="b">
        <v>0</v>
      </c>
      <c r="J5908" t="b">
        <v>0</v>
      </c>
      <c r="L5908" t="b">
        <v>0</v>
      </c>
    </row>
    <row r="5910" spans="1:25" x14ac:dyDescent="0.2">
      <c r="A5910" s="2">
        <v>6440</v>
      </c>
      <c r="B5910" s="2" t="s">
        <v>9926</v>
      </c>
      <c r="C5910" s="2" t="s">
        <v>13</v>
      </c>
      <c r="D5910" s="2" t="s">
        <v>7722</v>
      </c>
      <c r="E5910" s="2" t="s">
        <v>7723</v>
      </c>
      <c r="F5910" s="2" t="s">
        <v>78</v>
      </c>
      <c r="G5910" s="2" t="s">
        <v>17</v>
      </c>
      <c r="H5910" s="2"/>
      <c r="I5910" s="2"/>
      <c r="J5910" s="2"/>
      <c r="K5910" s="2"/>
      <c r="L5910" s="2"/>
      <c r="M5910" s="2"/>
      <c r="N5910" s="2"/>
      <c r="O5910" s="2"/>
      <c r="P5910" s="2"/>
      <c r="Q5910" s="2"/>
      <c r="R5910" s="2"/>
      <c r="S5910" s="2"/>
      <c r="T5910" s="2"/>
      <c r="U5910" s="2"/>
      <c r="V5910" s="2"/>
      <c r="W5910" s="2"/>
      <c r="X5910" s="2"/>
      <c r="Y5910" s="2"/>
    </row>
    <row r="5911" spans="1:25" x14ac:dyDescent="0.2">
      <c r="A5911">
        <v>6441</v>
      </c>
      <c r="B5911" t="s">
        <v>9926</v>
      </c>
      <c r="C5911" t="s">
        <v>18</v>
      </c>
      <c r="D5911" t="s">
        <v>7722</v>
      </c>
      <c r="E5911" t="s">
        <v>7723</v>
      </c>
      <c r="F5911" t="s">
        <v>78</v>
      </c>
      <c r="G5911" t="s">
        <v>17</v>
      </c>
      <c r="I5911" t="b">
        <v>1</v>
      </c>
      <c r="J5911" t="b">
        <v>1</v>
      </c>
      <c r="L5911" t="b">
        <v>1</v>
      </c>
      <c r="M5911" t="str">
        <f>HYPERLINK("https://arizona.app.box.com/file/389161776789")</f>
        <v>https://arizona.app.box.com/file/389161776789</v>
      </c>
      <c r="N5911" t="str">
        <f>HYPERLINK("https://arizona.app.box.com/file/389138170191")</f>
        <v>https://arizona.app.box.com/file/389138170191</v>
      </c>
    </row>
    <row r="5912" spans="1:25" x14ac:dyDescent="0.2">
      <c r="A5912">
        <v>6442</v>
      </c>
      <c r="B5912" t="s">
        <v>9926</v>
      </c>
      <c r="C5912" t="s">
        <v>18</v>
      </c>
      <c r="D5912" t="s">
        <v>7718</v>
      </c>
      <c r="E5912" t="s">
        <v>7719</v>
      </c>
      <c r="F5912" t="s">
        <v>78</v>
      </c>
      <c r="G5912" t="s">
        <v>17</v>
      </c>
      <c r="I5912" t="b">
        <v>0</v>
      </c>
      <c r="J5912" t="b">
        <v>0</v>
      </c>
      <c r="L5912" t="b">
        <v>0</v>
      </c>
      <c r="M5912" t="str">
        <f>HYPERLINK("https://arizona.app.box.com/file/389165263345")</f>
        <v>https://arizona.app.box.com/file/389165263345</v>
      </c>
      <c r="N5912" t="str">
        <f>HYPERLINK("https://arizona.app.box.com/file/389161974521")</f>
        <v>https://arizona.app.box.com/file/389161974521</v>
      </c>
    </row>
    <row r="5913" spans="1:25" x14ac:dyDescent="0.2">
      <c r="A5913">
        <v>6443</v>
      </c>
      <c r="B5913" t="s">
        <v>9926</v>
      </c>
      <c r="C5913" t="s">
        <v>18</v>
      </c>
      <c r="D5913" t="s">
        <v>7714</v>
      </c>
      <c r="E5913" t="s">
        <v>7715</v>
      </c>
      <c r="F5913" t="s">
        <v>78</v>
      </c>
      <c r="G5913" t="s">
        <v>17</v>
      </c>
      <c r="I5913" t="b">
        <v>0</v>
      </c>
      <c r="J5913" t="b">
        <v>0</v>
      </c>
      <c r="L5913" t="b">
        <v>0</v>
      </c>
      <c r="M5913" t="str">
        <f>HYPERLINK("https://arizona.app.box.com/file/389161279258")</f>
        <v>https://arizona.app.box.com/file/389161279258</v>
      </c>
      <c r="N5913" t="str">
        <f>HYPERLINK("https://arizona.app.box.com/file/389161367972")</f>
        <v>https://arizona.app.box.com/file/389161367972</v>
      </c>
    </row>
    <row r="5914" spans="1:25" x14ac:dyDescent="0.2">
      <c r="A5914">
        <v>6444</v>
      </c>
      <c r="B5914" t="s">
        <v>9926</v>
      </c>
      <c r="C5914" t="s">
        <v>18</v>
      </c>
      <c r="D5914" t="s">
        <v>7614</v>
      </c>
      <c r="E5914" t="s">
        <v>7615</v>
      </c>
      <c r="F5914" t="s">
        <v>670</v>
      </c>
      <c r="G5914" t="s">
        <v>17</v>
      </c>
      <c r="I5914" t="b">
        <v>0</v>
      </c>
      <c r="J5914" t="b">
        <v>0</v>
      </c>
      <c r="L5914" t="b">
        <v>0</v>
      </c>
      <c r="M5914" t="str">
        <f>HYPERLINK("https://arizona.app.box.com/file/389159761400")</f>
        <v>https://arizona.app.box.com/file/389159761400</v>
      </c>
    </row>
    <row r="5915" spans="1:25" x14ac:dyDescent="0.2">
      <c r="A5915">
        <v>6445</v>
      </c>
      <c r="B5915" t="s">
        <v>9926</v>
      </c>
      <c r="C5915" t="s">
        <v>18</v>
      </c>
      <c r="D5915" t="s">
        <v>7609</v>
      </c>
      <c r="E5915" t="s">
        <v>7611</v>
      </c>
      <c r="F5915" t="s">
        <v>45</v>
      </c>
      <c r="G5915" t="s">
        <v>17</v>
      </c>
      <c r="I5915" t="b">
        <v>0</v>
      </c>
      <c r="J5915" t="b">
        <v>0</v>
      </c>
      <c r="L5915" t="b">
        <v>0</v>
      </c>
      <c r="M5915" t="str">
        <f>HYPERLINK("https://arizona.app.box.com/file/389161742042")</f>
        <v>https://arizona.app.box.com/file/389161742042</v>
      </c>
      <c r="N5915" t="str">
        <f>HYPERLINK("https://arizona.app.box.com/file/389269316084")</f>
        <v>https://arizona.app.box.com/file/389269316084</v>
      </c>
    </row>
    <row r="5917" spans="1:25" x14ac:dyDescent="0.2">
      <c r="A5917" s="2">
        <v>1925</v>
      </c>
      <c r="B5917" s="2" t="s">
        <v>9927</v>
      </c>
      <c r="C5917" s="2" t="s">
        <v>13</v>
      </c>
      <c r="D5917" s="2" t="s">
        <v>5509</v>
      </c>
      <c r="E5917" s="2" t="s">
        <v>5510</v>
      </c>
      <c r="F5917" s="2" t="s">
        <v>78</v>
      </c>
      <c r="G5917" s="2" t="s">
        <v>17</v>
      </c>
      <c r="H5917" s="2"/>
      <c r="I5917" s="2"/>
      <c r="J5917" s="2"/>
      <c r="K5917" s="2"/>
      <c r="L5917" s="2"/>
      <c r="M5917" s="2"/>
      <c r="N5917" s="2"/>
      <c r="O5917" s="2"/>
      <c r="P5917" s="2"/>
      <c r="Q5917" s="2"/>
      <c r="R5917" s="2"/>
      <c r="S5917" s="2"/>
      <c r="T5917" s="2"/>
      <c r="U5917" s="2"/>
      <c r="V5917" s="2"/>
      <c r="W5917" s="2"/>
      <c r="X5917" s="2"/>
      <c r="Y5917" s="2"/>
    </row>
    <row r="5918" spans="1:25" x14ac:dyDescent="0.2">
      <c r="A5918">
        <v>1926</v>
      </c>
      <c r="B5918" t="s">
        <v>9927</v>
      </c>
      <c r="C5918" t="s">
        <v>18</v>
      </c>
      <c r="D5918" t="s">
        <v>5509</v>
      </c>
      <c r="E5918" t="s">
        <v>5510</v>
      </c>
      <c r="F5918" t="s">
        <v>78</v>
      </c>
      <c r="G5918" t="s">
        <v>17</v>
      </c>
      <c r="I5918" t="b">
        <v>1</v>
      </c>
      <c r="J5918" t="b">
        <v>1</v>
      </c>
      <c r="L5918" t="b">
        <v>1</v>
      </c>
      <c r="M5918" t="str">
        <f>HYPERLINK("https://arizona.app.box.com/file/389161499159")</f>
        <v>https://arizona.app.box.com/file/389161499159</v>
      </c>
      <c r="N5918" t="str">
        <f>HYPERLINK("https://arizona.app.box.com/file/389151768167")</f>
        <v>https://arizona.app.box.com/file/389151768167</v>
      </c>
    </row>
    <row r="5919" spans="1:25" x14ac:dyDescent="0.2">
      <c r="A5919">
        <v>1927</v>
      </c>
      <c r="B5919" t="s">
        <v>9927</v>
      </c>
      <c r="C5919" t="s">
        <v>18</v>
      </c>
      <c r="D5919" t="s">
        <v>237</v>
      </c>
      <c r="E5919" t="s">
        <v>238</v>
      </c>
      <c r="F5919" t="s">
        <v>78</v>
      </c>
      <c r="G5919" t="s">
        <v>17</v>
      </c>
      <c r="I5919" t="b">
        <v>0</v>
      </c>
      <c r="J5919" t="b">
        <v>0</v>
      </c>
      <c r="L5919" t="b">
        <v>0</v>
      </c>
      <c r="M5919" t="str">
        <f>HYPERLINK("https://arizona.app.box.com/file/389152010019")</f>
        <v>https://arizona.app.box.com/file/389152010019</v>
      </c>
      <c r="N5919" t="str">
        <f>HYPERLINK("https://arizona.app.box.com/file/389138298540")</f>
        <v>https://arizona.app.box.com/file/389138298540</v>
      </c>
    </row>
    <row r="5920" spans="1:25" x14ac:dyDescent="0.2">
      <c r="A5920">
        <v>1928</v>
      </c>
      <c r="B5920" t="s">
        <v>9927</v>
      </c>
      <c r="C5920" t="s">
        <v>18</v>
      </c>
      <c r="D5920" t="s">
        <v>1306</v>
      </c>
      <c r="E5920" t="s">
        <v>1307</v>
      </c>
      <c r="F5920" t="s">
        <v>78</v>
      </c>
      <c r="G5920" t="s">
        <v>17</v>
      </c>
      <c r="I5920" t="b">
        <v>0</v>
      </c>
      <c r="J5920" t="b">
        <v>0</v>
      </c>
      <c r="L5920" t="b">
        <v>0</v>
      </c>
      <c r="M5920" t="str">
        <f>HYPERLINK("https://arizona.app.box.com/file/389172458778")</f>
        <v>https://arizona.app.box.com/file/389172458778</v>
      </c>
      <c r="N5920" t="str">
        <f>HYPERLINK("https://arizona.app.box.com/file/386237083442")</f>
        <v>https://arizona.app.box.com/file/386237083442</v>
      </c>
    </row>
    <row r="5921" spans="1:25" x14ac:dyDescent="0.2">
      <c r="A5921">
        <v>1929</v>
      </c>
      <c r="B5921" t="s">
        <v>9927</v>
      </c>
      <c r="C5921" t="s">
        <v>18</v>
      </c>
      <c r="D5921" t="s">
        <v>9928</v>
      </c>
      <c r="E5921" t="s">
        <v>9929</v>
      </c>
      <c r="F5921" t="s">
        <v>159</v>
      </c>
      <c r="G5921" t="s">
        <v>17</v>
      </c>
      <c r="I5921" t="b">
        <v>0</v>
      </c>
      <c r="J5921" t="b">
        <v>0</v>
      </c>
      <c r="L5921" t="b">
        <v>0</v>
      </c>
      <c r="M5921" t="str">
        <f>HYPERLINK("https://arizona.app.box.com/file/386233118531")</f>
        <v>https://arizona.app.box.com/file/386233118531</v>
      </c>
      <c r="N5921" t="str">
        <f>HYPERLINK("https://arizona.app.box.com/file/386241113911")</f>
        <v>https://arizona.app.box.com/file/386241113911</v>
      </c>
    </row>
    <row r="5922" spans="1:25" x14ac:dyDescent="0.2">
      <c r="A5922">
        <v>1930</v>
      </c>
      <c r="B5922" t="s">
        <v>9927</v>
      </c>
      <c r="C5922" t="s">
        <v>18</v>
      </c>
      <c r="D5922" t="s">
        <v>243</v>
      </c>
      <c r="E5922" t="s">
        <v>244</v>
      </c>
      <c r="F5922" t="s">
        <v>78</v>
      </c>
      <c r="G5922" t="s">
        <v>17</v>
      </c>
      <c r="I5922" t="b">
        <v>0</v>
      </c>
      <c r="J5922" t="b">
        <v>0</v>
      </c>
      <c r="L5922" t="b">
        <v>0</v>
      </c>
      <c r="M5922" t="str">
        <f>HYPERLINK("https://arizona.app.box.com/file/389164502204")</f>
        <v>https://arizona.app.box.com/file/389164502204</v>
      </c>
    </row>
    <row r="5924" spans="1:25" x14ac:dyDescent="0.2">
      <c r="A5924" s="2">
        <v>7154</v>
      </c>
      <c r="B5924" s="2" t="s">
        <v>9930</v>
      </c>
      <c r="C5924" s="2" t="s">
        <v>13</v>
      </c>
      <c r="D5924" s="2" t="s">
        <v>4248</v>
      </c>
      <c r="E5924" s="2" t="s">
        <v>9931</v>
      </c>
      <c r="F5924" s="2" t="s">
        <v>168</v>
      </c>
      <c r="G5924" s="2" t="s">
        <v>24</v>
      </c>
      <c r="H5924" s="2"/>
      <c r="I5924" s="2"/>
      <c r="J5924" s="2"/>
      <c r="K5924" s="2"/>
      <c r="L5924" s="2"/>
      <c r="M5924" s="2"/>
      <c r="N5924" s="2"/>
      <c r="O5924" s="2"/>
      <c r="P5924" s="2"/>
      <c r="Q5924" s="2"/>
      <c r="R5924" s="2"/>
      <c r="S5924" s="2"/>
      <c r="T5924" s="2"/>
      <c r="U5924" s="2"/>
      <c r="V5924" s="2"/>
      <c r="W5924" s="2"/>
      <c r="X5924" s="2"/>
      <c r="Y5924" s="2"/>
    </row>
    <row r="5925" spans="1:25" x14ac:dyDescent="0.2">
      <c r="A5925">
        <v>7155</v>
      </c>
      <c r="B5925" t="s">
        <v>9930</v>
      </c>
      <c r="C5925" t="s">
        <v>18</v>
      </c>
      <c r="D5925" t="s">
        <v>4248</v>
      </c>
      <c r="E5925" t="s">
        <v>377</v>
      </c>
      <c r="F5925" t="s">
        <v>168</v>
      </c>
      <c r="G5925" t="s">
        <v>24</v>
      </c>
      <c r="I5925" t="b">
        <v>1</v>
      </c>
      <c r="J5925" t="b">
        <v>1</v>
      </c>
      <c r="L5925" t="b">
        <v>1</v>
      </c>
      <c r="M5925" t="str">
        <f>HYPERLINK("https://arizona.app.box.com/file/389267972675")</f>
        <v>https://arizona.app.box.com/file/389267972675</v>
      </c>
      <c r="N5925" t="str">
        <f>HYPERLINK("https://arizona.app.box.com/file/389167454325")</f>
        <v>https://arizona.app.box.com/file/389167454325</v>
      </c>
    </row>
    <row r="5926" spans="1:25" x14ac:dyDescent="0.2">
      <c r="A5926">
        <v>7156</v>
      </c>
      <c r="B5926" t="s">
        <v>9930</v>
      </c>
      <c r="C5926" t="s">
        <v>18</v>
      </c>
      <c r="D5926" t="s">
        <v>8555</v>
      </c>
      <c r="E5926" t="s">
        <v>3557</v>
      </c>
      <c r="F5926" t="s">
        <v>168</v>
      </c>
      <c r="G5926" t="s">
        <v>24</v>
      </c>
      <c r="I5926" t="b">
        <v>1</v>
      </c>
      <c r="J5926" t="b">
        <v>1</v>
      </c>
      <c r="L5926" t="b">
        <v>1</v>
      </c>
      <c r="M5926" t="str">
        <f>HYPERLINK("https://arizona.app.box.com/file/389263217710")</f>
        <v>https://arizona.app.box.com/file/389263217710</v>
      </c>
      <c r="N5926" t="str">
        <f>HYPERLINK("https://arizona.app.box.com/file/389170235998")</f>
        <v>https://arizona.app.box.com/file/389170235998</v>
      </c>
    </row>
    <row r="5927" spans="1:25" x14ac:dyDescent="0.2">
      <c r="A5927">
        <v>7157</v>
      </c>
      <c r="B5927" t="s">
        <v>9930</v>
      </c>
      <c r="C5927" t="s">
        <v>18</v>
      </c>
      <c r="D5927" t="s">
        <v>768</v>
      </c>
      <c r="E5927" t="s">
        <v>770</v>
      </c>
      <c r="F5927" t="s">
        <v>248</v>
      </c>
      <c r="G5927" t="s">
        <v>771</v>
      </c>
      <c r="I5927" t="b">
        <v>0</v>
      </c>
      <c r="J5927" t="b">
        <v>0</v>
      </c>
      <c r="L5927" t="b">
        <v>0</v>
      </c>
      <c r="M5927" t="str">
        <f>HYPERLINK("https://arizona.app.box.com/file/389163774227")</f>
        <v>https://arizona.app.box.com/file/389163774227</v>
      </c>
      <c r="N5927" t="str">
        <f>HYPERLINK("https://arizona.app.box.com/file/386216460417")</f>
        <v>https://arizona.app.box.com/file/386216460417</v>
      </c>
    </row>
    <row r="5928" spans="1:25" x14ac:dyDescent="0.2">
      <c r="A5928">
        <v>7158</v>
      </c>
      <c r="B5928" t="s">
        <v>9930</v>
      </c>
      <c r="C5928" t="s">
        <v>18</v>
      </c>
      <c r="D5928" t="s">
        <v>2530</v>
      </c>
      <c r="E5928" t="s">
        <v>888</v>
      </c>
      <c r="F5928" t="s">
        <v>78</v>
      </c>
      <c r="G5928" t="s">
        <v>24</v>
      </c>
      <c r="I5928" t="b">
        <v>0</v>
      </c>
      <c r="J5928" t="b">
        <v>0</v>
      </c>
      <c r="L5928" t="b">
        <v>0</v>
      </c>
      <c r="M5928" t="str">
        <f>HYPERLINK("https://arizona.app.box.com/file/389257239827")</f>
        <v>https://arizona.app.box.com/file/389257239827</v>
      </c>
      <c r="N5928" t="str">
        <f>HYPERLINK("https://arizona.app.box.com/file/389153819985")</f>
        <v>https://arizona.app.box.com/file/389153819985</v>
      </c>
    </row>
    <row r="5929" spans="1:25" x14ac:dyDescent="0.2">
      <c r="A5929">
        <v>7159</v>
      </c>
      <c r="B5929" t="s">
        <v>9930</v>
      </c>
      <c r="C5929" t="s">
        <v>18</v>
      </c>
      <c r="D5929" t="s">
        <v>774</v>
      </c>
      <c r="E5929" t="s">
        <v>775</v>
      </c>
      <c r="F5929" t="s">
        <v>248</v>
      </c>
      <c r="G5929" t="s">
        <v>17</v>
      </c>
      <c r="I5929" t="b">
        <v>0</v>
      </c>
      <c r="J5929" t="b">
        <v>0</v>
      </c>
      <c r="L5929" t="b">
        <v>0</v>
      </c>
      <c r="M5929" t="str">
        <f>HYPERLINK("https://arizona.app.box.com/file/389165625389")</f>
        <v>https://arizona.app.box.com/file/389165625389</v>
      </c>
      <c r="N5929" t="str">
        <f>HYPERLINK("https://arizona.app.box.com/file/389169134570")</f>
        <v>https://arizona.app.box.com/file/389169134570</v>
      </c>
    </row>
    <row r="5931" spans="1:25" x14ac:dyDescent="0.2">
      <c r="A5931" s="2">
        <v>2373</v>
      </c>
      <c r="B5931" s="2" t="s">
        <v>9932</v>
      </c>
      <c r="C5931" s="2" t="s">
        <v>13</v>
      </c>
      <c r="D5931" s="2" t="s">
        <v>9933</v>
      </c>
      <c r="E5931" s="2" t="s">
        <v>9934</v>
      </c>
      <c r="F5931" s="2" t="s">
        <v>205</v>
      </c>
      <c r="G5931" s="2" t="s">
        <v>345</v>
      </c>
      <c r="H5931" s="2"/>
      <c r="I5931" s="2"/>
      <c r="J5931" s="2"/>
      <c r="K5931" s="2"/>
      <c r="L5931" s="2"/>
      <c r="M5931" s="2"/>
      <c r="N5931" s="2"/>
      <c r="O5931" s="2"/>
      <c r="P5931" s="2"/>
      <c r="Q5931" s="2"/>
      <c r="R5931" s="2"/>
      <c r="S5931" s="2"/>
      <c r="T5931" s="2"/>
      <c r="U5931" s="2"/>
      <c r="V5931" s="2"/>
      <c r="W5931" s="2"/>
      <c r="X5931" s="2"/>
      <c r="Y5931" s="2"/>
    </row>
    <row r="5932" spans="1:25" x14ac:dyDescent="0.2">
      <c r="A5932">
        <v>2374</v>
      </c>
      <c r="B5932" t="s">
        <v>9932</v>
      </c>
      <c r="C5932" t="s">
        <v>18</v>
      </c>
      <c r="D5932" t="s">
        <v>9933</v>
      </c>
      <c r="E5932" t="s">
        <v>9935</v>
      </c>
      <c r="F5932" t="s">
        <v>205</v>
      </c>
      <c r="G5932" t="s">
        <v>345</v>
      </c>
      <c r="I5932" t="b">
        <v>1</v>
      </c>
      <c r="J5932" t="b">
        <v>1</v>
      </c>
      <c r="L5932" t="b">
        <v>1</v>
      </c>
      <c r="M5932" t="str">
        <f>HYPERLINK("https://arizona.app.box.com/file/389265276536")</f>
        <v>https://arizona.app.box.com/file/389265276536</v>
      </c>
      <c r="N5932" t="str">
        <f>HYPERLINK("https://arizona.app.box.com/file/389166370656")</f>
        <v>https://arizona.app.box.com/file/389166370656</v>
      </c>
      <c r="O5932" t="str">
        <f>HYPERLINK("https://arizona.app.box.com/file/389261474484")</f>
        <v>https://arizona.app.box.com/file/389261474484</v>
      </c>
      <c r="P5932" t="str">
        <f>HYPERLINK("https://arizona.app.box.com/file/389152390499")</f>
        <v>https://arizona.app.box.com/file/389152390499</v>
      </c>
    </row>
    <row r="5933" spans="1:25" x14ac:dyDescent="0.2">
      <c r="A5933">
        <v>2375</v>
      </c>
      <c r="B5933" t="s">
        <v>9932</v>
      </c>
      <c r="C5933" t="s">
        <v>18</v>
      </c>
      <c r="D5933" t="s">
        <v>9936</v>
      </c>
      <c r="E5933" t="s">
        <v>3104</v>
      </c>
      <c r="F5933" t="s">
        <v>205</v>
      </c>
      <c r="G5933" t="s">
        <v>32</v>
      </c>
      <c r="I5933" t="b">
        <v>0</v>
      </c>
      <c r="J5933" t="b">
        <v>0</v>
      </c>
      <c r="L5933" t="b">
        <v>0</v>
      </c>
    </row>
    <row r="5934" spans="1:25" x14ac:dyDescent="0.2">
      <c r="A5934">
        <v>2376</v>
      </c>
      <c r="B5934" t="s">
        <v>9932</v>
      </c>
      <c r="C5934" t="s">
        <v>18</v>
      </c>
      <c r="D5934" t="s">
        <v>2096</v>
      </c>
      <c r="E5934" t="s">
        <v>2097</v>
      </c>
      <c r="F5934" t="s">
        <v>456</v>
      </c>
      <c r="G5934" t="s">
        <v>345</v>
      </c>
      <c r="I5934" t="b">
        <v>0</v>
      </c>
      <c r="J5934" t="b">
        <v>0</v>
      </c>
      <c r="L5934" t="b">
        <v>0</v>
      </c>
      <c r="M5934" t="str">
        <f>HYPERLINK("https://arizona.app.box.com/file/389174869261")</f>
        <v>https://arizona.app.box.com/file/389174869261</v>
      </c>
    </row>
    <row r="5935" spans="1:25" x14ac:dyDescent="0.2">
      <c r="A5935">
        <v>2377</v>
      </c>
      <c r="B5935" t="s">
        <v>9932</v>
      </c>
      <c r="C5935" t="s">
        <v>18</v>
      </c>
      <c r="D5935" t="s">
        <v>2086</v>
      </c>
      <c r="E5935" t="s">
        <v>2087</v>
      </c>
      <c r="F5935" t="s">
        <v>200</v>
      </c>
      <c r="G5935" t="s">
        <v>345</v>
      </c>
      <c r="I5935" t="b">
        <v>0</v>
      </c>
      <c r="J5935" t="b">
        <v>0</v>
      </c>
      <c r="L5935" t="b">
        <v>0</v>
      </c>
      <c r="M5935" t="str">
        <f>HYPERLINK("https://arizona.app.box.com/file/389264098061")</f>
        <v>https://arizona.app.box.com/file/389264098061</v>
      </c>
      <c r="N5935" t="str">
        <f>HYPERLINK("https://arizona.app.box.com/file/389170111783")</f>
        <v>https://arizona.app.box.com/file/389170111783</v>
      </c>
    </row>
    <row r="5936" spans="1:25" x14ac:dyDescent="0.2">
      <c r="A5936">
        <v>2378</v>
      </c>
      <c r="B5936" t="s">
        <v>9932</v>
      </c>
      <c r="C5936" t="s">
        <v>18</v>
      </c>
      <c r="D5936" t="s">
        <v>2080</v>
      </c>
      <c r="E5936" t="s">
        <v>2082</v>
      </c>
      <c r="F5936" t="s">
        <v>200</v>
      </c>
      <c r="G5936" t="s">
        <v>345</v>
      </c>
      <c r="I5936" t="b">
        <v>0</v>
      </c>
      <c r="J5936" t="b">
        <v>0</v>
      </c>
      <c r="L5936" t="b">
        <v>0</v>
      </c>
      <c r="M5936" t="str">
        <f>HYPERLINK("https://arizona.app.box.com/file/389262388129")</f>
        <v>https://arizona.app.box.com/file/389262388129</v>
      </c>
      <c r="N5936" t="str">
        <f>HYPERLINK("https://arizona.app.box.com/file/389162536266")</f>
        <v>https://arizona.app.box.com/file/389162536266</v>
      </c>
    </row>
    <row r="5938" spans="1:25" x14ac:dyDescent="0.2">
      <c r="A5938" s="2">
        <v>2394</v>
      </c>
      <c r="B5938" s="2" t="s">
        <v>9937</v>
      </c>
      <c r="C5938" s="2" t="s">
        <v>13</v>
      </c>
      <c r="D5938" s="2" t="s">
        <v>9938</v>
      </c>
      <c r="E5938" s="2" t="s">
        <v>9939</v>
      </c>
      <c r="F5938" s="2" t="s">
        <v>174</v>
      </c>
      <c r="G5938" s="2" t="s">
        <v>17</v>
      </c>
      <c r="H5938" s="2"/>
      <c r="I5938" s="2"/>
      <c r="J5938" s="2"/>
      <c r="K5938" s="2"/>
      <c r="L5938" s="2"/>
      <c r="M5938" s="2"/>
      <c r="N5938" s="2"/>
      <c r="O5938" s="2"/>
      <c r="P5938" s="2"/>
      <c r="Q5938" s="2"/>
      <c r="R5938" s="2"/>
      <c r="S5938" s="2"/>
      <c r="T5938" s="2"/>
      <c r="U5938" s="2"/>
      <c r="V5938" s="2"/>
      <c r="W5938" s="2"/>
      <c r="X5938" s="2"/>
      <c r="Y5938" s="2"/>
    </row>
    <row r="5939" spans="1:25" x14ac:dyDescent="0.2">
      <c r="A5939">
        <v>2395</v>
      </c>
      <c r="B5939" t="s">
        <v>9937</v>
      </c>
      <c r="C5939" t="s">
        <v>18</v>
      </c>
      <c r="D5939" t="s">
        <v>9940</v>
      </c>
      <c r="E5939" t="s">
        <v>9941</v>
      </c>
      <c r="F5939" t="s">
        <v>151</v>
      </c>
      <c r="G5939" t="s">
        <v>88</v>
      </c>
      <c r="I5939" t="b">
        <v>0</v>
      </c>
      <c r="J5939" t="b">
        <v>0</v>
      </c>
      <c r="L5939" t="b">
        <v>0</v>
      </c>
    </row>
    <row r="5940" spans="1:25" x14ac:dyDescent="0.2">
      <c r="A5940">
        <v>2396</v>
      </c>
      <c r="B5940" t="s">
        <v>9937</v>
      </c>
      <c r="C5940" t="s">
        <v>18</v>
      </c>
      <c r="D5940" t="s">
        <v>9942</v>
      </c>
      <c r="E5940" t="s">
        <v>9943</v>
      </c>
      <c r="F5940" t="s">
        <v>174</v>
      </c>
      <c r="G5940" t="s">
        <v>17</v>
      </c>
      <c r="I5940" t="b">
        <v>1</v>
      </c>
      <c r="J5940" t="b">
        <v>1</v>
      </c>
      <c r="L5940" t="b">
        <v>1</v>
      </c>
      <c r="M5940" t="str">
        <f>HYPERLINK("https://arizona.app.box.com/file/389166040851")</f>
        <v>https://arizona.app.box.com/file/389166040851</v>
      </c>
    </row>
    <row r="5941" spans="1:25" x14ac:dyDescent="0.2">
      <c r="A5941">
        <v>2397</v>
      </c>
      <c r="B5941" t="s">
        <v>9937</v>
      </c>
      <c r="C5941" t="s">
        <v>18</v>
      </c>
      <c r="D5941" t="s">
        <v>9944</v>
      </c>
      <c r="E5941" t="s">
        <v>9945</v>
      </c>
      <c r="F5941" t="s">
        <v>248</v>
      </c>
      <c r="G5941" t="s">
        <v>134</v>
      </c>
      <c r="I5941" t="b">
        <v>0</v>
      </c>
      <c r="J5941" t="b">
        <v>0</v>
      </c>
      <c r="L5941" t="b">
        <v>0</v>
      </c>
    </row>
    <row r="5942" spans="1:25" x14ac:dyDescent="0.2">
      <c r="A5942">
        <v>2398</v>
      </c>
      <c r="B5942" t="s">
        <v>9937</v>
      </c>
      <c r="C5942" t="s">
        <v>18</v>
      </c>
      <c r="D5942" t="s">
        <v>9946</v>
      </c>
      <c r="E5942" t="s">
        <v>8478</v>
      </c>
      <c r="F5942" t="s">
        <v>717</v>
      </c>
      <c r="G5942" t="s">
        <v>62</v>
      </c>
      <c r="I5942" t="b">
        <v>0</v>
      </c>
      <c r="J5942" t="b">
        <v>0</v>
      </c>
      <c r="L5942" t="b">
        <v>0</v>
      </c>
      <c r="M5942" t="str">
        <f>HYPERLINK("https://arizona.app.box.com/file/386229627786")</f>
        <v>https://arizona.app.box.com/file/386229627786</v>
      </c>
    </row>
    <row r="5943" spans="1:25" x14ac:dyDescent="0.2">
      <c r="A5943">
        <v>2399</v>
      </c>
      <c r="B5943" t="s">
        <v>9937</v>
      </c>
      <c r="C5943" t="s">
        <v>18</v>
      </c>
      <c r="D5943" t="s">
        <v>9947</v>
      </c>
      <c r="E5943" t="s">
        <v>9948</v>
      </c>
      <c r="F5943" t="s">
        <v>717</v>
      </c>
      <c r="G5943" t="s">
        <v>62</v>
      </c>
      <c r="I5943" t="b">
        <v>0</v>
      </c>
      <c r="J5943" t="b">
        <v>0</v>
      </c>
      <c r="L5943" t="b">
        <v>0</v>
      </c>
      <c r="M5943" t="str">
        <f>HYPERLINK("https://arizona.app.box.com/file/386244710311")</f>
        <v>https://arizona.app.box.com/file/386244710311</v>
      </c>
    </row>
    <row r="5945" spans="1:25" x14ac:dyDescent="0.2">
      <c r="A5945" s="2">
        <v>4606</v>
      </c>
      <c r="B5945" s="2" t="s">
        <v>9949</v>
      </c>
      <c r="C5945" s="2" t="s">
        <v>13</v>
      </c>
      <c r="D5945" s="2" t="s">
        <v>191</v>
      </c>
      <c r="E5945" s="2" t="s">
        <v>9950</v>
      </c>
      <c r="F5945" s="2" t="s">
        <v>159</v>
      </c>
      <c r="G5945" s="2" t="s">
        <v>193</v>
      </c>
      <c r="H5945" s="2"/>
      <c r="I5945" s="2"/>
      <c r="J5945" s="2"/>
      <c r="K5945" s="2"/>
      <c r="L5945" s="2"/>
      <c r="M5945" s="2"/>
      <c r="N5945" s="2"/>
      <c r="O5945" s="2"/>
      <c r="P5945" s="2"/>
      <c r="Q5945" s="2"/>
      <c r="R5945" s="2"/>
      <c r="S5945" s="2"/>
      <c r="T5945" s="2"/>
      <c r="U5945" s="2"/>
      <c r="V5945" s="2"/>
      <c r="W5945" s="2"/>
      <c r="X5945" s="2"/>
      <c r="Y5945" s="2"/>
    </row>
    <row r="5946" spans="1:25" x14ac:dyDescent="0.2">
      <c r="A5946">
        <v>4607</v>
      </c>
      <c r="B5946" t="s">
        <v>9949</v>
      </c>
      <c r="C5946" t="s">
        <v>18</v>
      </c>
      <c r="D5946" t="s">
        <v>191</v>
      </c>
      <c r="E5946" t="s">
        <v>192</v>
      </c>
      <c r="F5946" t="s">
        <v>159</v>
      </c>
      <c r="G5946" t="s">
        <v>193</v>
      </c>
      <c r="I5946" t="b">
        <v>1</v>
      </c>
      <c r="J5946" t="b">
        <v>1</v>
      </c>
      <c r="L5946" t="b">
        <v>1</v>
      </c>
      <c r="M5946" t="str">
        <f>HYPERLINK("https://arizona.app.box.com/file/389172676474")</f>
        <v>https://arizona.app.box.com/file/389172676474</v>
      </c>
      <c r="N5946" t="str">
        <f>HYPERLINK("https://arizona.app.box.com/file/386225995346")</f>
        <v>https://arizona.app.box.com/file/386225995346</v>
      </c>
    </row>
    <row r="5947" spans="1:25" x14ac:dyDescent="0.2">
      <c r="A5947">
        <v>4608</v>
      </c>
      <c r="B5947" t="s">
        <v>9949</v>
      </c>
      <c r="C5947" t="s">
        <v>18</v>
      </c>
      <c r="D5947" t="s">
        <v>2350</v>
      </c>
      <c r="E5947" t="s">
        <v>2351</v>
      </c>
      <c r="F5947" t="s">
        <v>31</v>
      </c>
      <c r="G5947" t="s">
        <v>17</v>
      </c>
      <c r="I5947" t="b">
        <v>0</v>
      </c>
      <c r="J5947" t="b">
        <v>0</v>
      </c>
      <c r="L5947" t="b">
        <v>0</v>
      </c>
      <c r="M5947" t="str">
        <f>HYPERLINK("https://arizona.app.box.com/file/389259393903")</f>
        <v>https://arizona.app.box.com/file/389259393903</v>
      </c>
    </row>
    <row r="5948" spans="1:25" x14ac:dyDescent="0.2">
      <c r="A5948">
        <v>4609</v>
      </c>
      <c r="B5948" t="s">
        <v>9949</v>
      </c>
      <c r="C5948" t="s">
        <v>18</v>
      </c>
      <c r="D5948" t="s">
        <v>1618</v>
      </c>
      <c r="E5948" t="s">
        <v>1619</v>
      </c>
      <c r="F5948" t="s">
        <v>31</v>
      </c>
      <c r="G5948" t="s">
        <v>17</v>
      </c>
      <c r="I5948" t="b">
        <v>0</v>
      </c>
      <c r="J5948" t="b">
        <v>0</v>
      </c>
      <c r="L5948" t="b">
        <v>0</v>
      </c>
      <c r="M5948" t="str">
        <f>HYPERLINK("https://arizona.app.box.com/file/389260456445")</f>
        <v>https://arizona.app.box.com/file/389260456445</v>
      </c>
      <c r="N5948" t="str">
        <f>HYPERLINK("https://arizona.app.box.com/file/389169107956")</f>
        <v>https://arizona.app.box.com/file/389169107956</v>
      </c>
      <c r="O5948" t="str">
        <f>HYPERLINK("https://arizona.app.box.com/file/389255876241")</f>
        <v>https://arizona.app.box.com/file/389255876241</v>
      </c>
    </row>
    <row r="5949" spans="1:25" x14ac:dyDescent="0.2">
      <c r="A5949">
        <v>4610</v>
      </c>
      <c r="B5949" t="s">
        <v>9949</v>
      </c>
      <c r="C5949" t="s">
        <v>18</v>
      </c>
      <c r="D5949" t="s">
        <v>9951</v>
      </c>
      <c r="E5949" t="s">
        <v>9952</v>
      </c>
      <c r="F5949" t="s">
        <v>159</v>
      </c>
      <c r="G5949" t="s">
        <v>17</v>
      </c>
      <c r="I5949" t="b">
        <v>0</v>
      </c>
      <c r="J5949" t="b">
        <v>0</v>
      </c>
      <c r="L5949" t="b">
        <v>0</v>
      </c>
      <c r="M5949" t="str">
        <f>HYPERLINK("https://arizona.app.box.com/file/389168425746")</f>
        <v>https://arizona.app.box.com/file/389168425746</v>
      </c>
      <c r="N5949" t="str">
        <f>HYPERLINK("https://arizona.app.box.com/file/386216522817")</f>
        <v>https://arizona.app.box.com/file/386216522817</v>
      </c>
    </row>
    <row r="5950" spans="1:25" x14ac:dyDescent="0.2">
      <c r="A5950">
        <v>4611</v>
      </c>
      <c r="B5950" t="s">
        <v>9949</v>
      </c>
      <c r="C5950" t="s">
        <v>18</v>
      </c>
      <c r="D5950" t="s">
        <v>8576</v>
      </c>
      <c r="E5950" t="s">
        <v>8577</v>
      </c>
      <c r="F5950" t="s">
        <v>78</v>
      </c>
      <c r="G5950" t="s">
        <v>130</v>
      </c>
      <c r="I5950" t="b">
        <v>0</v>
      </c>
      <c r="J5950" t="b">
        <v>0</v>
      </c>
      <c r="L5950" t="b">
        <v>0</v>
      </c>
    </row>
    <row r="5952" spans="1:25" x14ac:dyDescent="0.2">
      <c r="A5952" s="2">
        <v>3311</v>
      </c>
      <c r="B5952" s="2" t="s">
        <v>9953</v>
      </c>
      <c r="C5952" s="2" t="s">
        <v>13</v>
      </c>
      <c r="D5952" s="2" t="s">
        <v>9954</v>
      </c>
      <c r="E5952" s="2" t="s">
        <v>9955</v>
      </c>
      <c r="F5952" s="2" t="s">
        <v>78</v>
      </c>
      <c r="G5952" s="2" t="s">
        <v>24</v>
      </c>
      <c r="H5952" s="2"/>
      <c r="I5952" s="2"/>
      <c r="J5952" s="2"/>
      <c r="K5952" s="2"/>
      <c r="L5952" s="2"/>
      <c r="M5952" s="2"/>
      <c r="N5952" s="2"/>
      <c r="O5952" s="2"/>
      <c r="P5952" s="2"/>
      <c r="Q5952" s="2"/>
      <c r="R5952" s="2"/>
      <c r="S5952" s="2"/>
      <c r="T5952" s="2"/>
      <c r="U5952" s="2"/>
      <c r="V5952" s="2"/>
      <c r="W5952" s="2"/>
      <c r="X5952" s="2"/>
      <c r="Y5952" s="2"/>
    </row>
    <row r="5953" spans="1:25" x14ac:dyDescent="0.2">
      <c r="A5953">
        <v>3312</v>
      </c>
      <c r="B5953" t="s">
        <v>9953</v>
      </c>
      <c r="C5953" t="s">
        <v>18</v>
      </c>
      <c r="D5953" t="s">
        <v>1529</v>
      </c>
      <c r="E5953" t="s">
        <v>1530</v>
      </c>
      <c r="F5953" t="s">
        <v>78</v>
      </c>
      <c r="G5953" t="s">
        <v>24</v>
      </c>
      <c r="I5953" t="b">
        <v>1</v>
      </c>
      <c r="J5953" t="b">
        <v>1</v>
      </c>
      <c r="L5953" t="b">
        <v>1</v>
      </c>
      <c r="M5953" t="str">
        <f>HYPERLINK("https://arizona.app.box.com/file/386237877950")</f>
        <v>https://arizona.app.box.com/file/386237877950</v>
      </c>
    </row>
    <row r="5954" spans="1:25" x14ac:dyDescent="0.2">
      <c r="A5954">
        <v>3313</v>
      </c>
      <c r="B5954" t="s">
        <v>9953</v>
      </c>
      <c r="C5954" t="s">
        <v>18</v>
      </c>
      <c r="D5954" t="s">
        <v>6354</v>
      </c>
      <c r="E5954" t="s">
        <v>4810</v>
      </c>
      <c r="F5954" t="s">
        <v>78</v>
      </c>
      <c r="G5954" t="s">
        <v>24</v>
      </c>
      <c r="I5954" t="b">
        <v>0</v>
      </c>
      <c r="J5954" t="b">
        <v>0</v>
      </c>
      <c r="L5954" t="b">
        <v>0</v>
      </c>
      <c r="M5954" t="str">
        <f>HYPERLINK("https://arizona.app.box.com/file/386239803182")</f>
        <v>https://arizona.app.box.com/file/386239803182</v>
      </c>
    </row>
    <row r="5955" spans="1:25" x14ac:dyDescent="0.2">
      <c r="A5955">
        <v>3314</v>
      </c>
      <c r="B5955" t="s">
        <v>9953</v>
      </c>
      <c r="C5955" t="s">
        <v>18</v>
      </c>
      <c r="D5955" t="s">
        <v>6356</v>
      </c>
      <c r="E5955" t="s">
        <v>6357</v>
      </c>
      <c r="F5955" t="s">
        <v>78</v>
      </c>
      <c r="G5955" t="s">
        <v>24</v>
      </c>
      <c r="I5955" t="b">
        <v>0</v>
      </c>
      <c r="J5955" t="b">
        <v>0</v>
      </c>
      <c r="L5955" t="b">
        <v>0</v>
      </c>
    </row>
    <row r="5956" spans="1:25" x14ac:dyDescent="0.2">
      <c r="A5956">
        <v>3315</v>
      </c>
      <c r="B5956" t="s">
        <v>9953</v>
      </c>
      <c r="C5956" t="s">
        <v>18</v>
      </c>
      <c r="D5956" t="s">
        <v>8973</v>
      </c>
      <c r="E5956" t="s">
        <v>8974</v>
      </c>
      <c r="F5956" t="s">
        <v>78</v>
      </c>
      <c r="G5956" t="s">
        <v>24</v>
      </c>
      <c r="I5956" t="b">
        <v>1</v>
      </c>
      <c r="J5956" t="b">
        <v>1</v>
      </c>
      <c r="L5956" t="b">
        <v>1</v>
      </c>
      <c r="M5956" t="str">
        <f>HYPERLINK("https://arizona.app.box.com/file/386238631144")</f>
        <v>https://arizona.app.box.com/file/386238631144</v>
      </c>
    </row>
    <row r="5957" spans="1:25" x14ac:dyDescent="0.2">
      <c r="A5957">
        <v>3316</v>
      </c>
      <c r="B5957" t="s">
        <v>9953</v>
      </c>
      <c r="C5957" t="s">
        <v>18</v>
      </c>
      <c r="D5957" t="s">
        <v>1523</v>
      </c>
      <c r="E5957" t="s">
        <v>431</v>
      </c>
      <c r="F5957" t="s">
        <v>78</v>
      </c>
      <c r="G5957" t="s">
        <v>24</v>
      </c>
      <c r="I5957" t="b">
        <v>0</v>
      </c>
      <c r="J5957" t="b">
        <v>0</v>
      </c>
      <c r="L5957" t="b">
        <v>0</v>
      </c>
      <c r="M5957" t="str">
        <f>HYPERLINK("https://arizona.app.box.com/file/389181781736")</f>
        <v>https://arizona.app.box.com/file/389181781736</v>
      </c>
      <c r="N5957" t="str">
        <f>HYPERLINK("https://arizona.app.box.com/file/386239977551")</f>
        <v>https://arizona.app.box.com/file/386239977551</v>
      </c>
    </row>
    <row r="5959" spans="1:25" x14ac:dyDescent="0.2">
      <c r="A5959" s="2">
        <v>7511</v>
      </c>
      <c r="B5959" s="2" t="s">
        <v>9956</v>
      </c>
      <c r="C5959" s="2" t="s">
        <v>13</v>
      </c>
      <c r="D5959" s="2" t="s">
        <v>7823</v>
      </c>
      <c r="E5959" s="2" t="s">
        <v>7824</v>
      </c>
      <c r="F5959" s="2" t="s">
        <v>168</v>
      </c>
      <c r="G5959" s="2" t="s">
        <v>17</v>
      </c>
      <c r="H5959" s="2"/>
      <c r="I5959" s="2"/>
      <c r="J5959" s="2"/>
      <c r="K5959" s="2"/>
      <c r="L5959" s="2"/>
      <c r="M5959" s="2"/>
      <c r="N5959" s="2"/>
      <c r="O5959" s="2"/>
      <c r="P5959" s="2"/>
      <c r="Q5959" s="2"/>
      <c r="R5959" s="2"/>
      <c r="S5959" s="2"/>
      <c r="T5959" s="2"/>
      <c r="U5959" s="2"/>
      <c r="V5959" s="2"/>
      <c r="W5959" s="2"/>
      <c r="X5959" s="2"/>
      <c r="Y5959" s="2"/>
    </row>
    <row r="5960" spans="1:25" x14ac:dyDescent="0.2">
      <c r="A5960">
        <v>7512</v>
      </c>
      <c r="B5960" t="s">
        <v>9956</v>
      </c>
      <c r="C5960" t="s">
        <v>18</v>
      </c>
      <c r="D5960" t="s">
        <v>7823</v>
      </c>
      <c r="E5960" t="s">
        <v>7824</v>
      </c>
      <c r="F5960" t="s">
        <v>168</v>
      </c>
      <c r="G5960" t="s">
        <v>17</v>
      </c>
      <c r="I5960" t="b">
        <v>1</v>
      </c>
      <c r="J5960" t="b">
        <v>1</v>
      </c>
      <c r="L5960" t="b">
        <v>1</v>
      </c>
      <c r="M5960" t="str">
        <f>HYPERLINK("https://arizona.app.box.com/file/389266425780")</f>
        <v>https://arizona.app.box.com/file/389266425780</v>
      </c>
      <c r="N5960" t="str">
        <f>HYPERLINK("https://arizona.app.box.com/file/389166322796")</f>
        <v>https://arizona.app.box.com/file/389166322796</v>
      </c>
      <c r="O5960" t="str">
        <f>HYPERLINK("https://arizona.app.box.com/file/389258847984")</f>
        <v>https://arizona.app.box.com/file/389258847984</v>
      </c>
      <c r="P5960" t="str">
        <f>HYPERLINK("https://arizona.app.box.com/file/389166177185")</f>
        <v>https://arizona.app.box.com/file/389166177185</v>
      </c>
    </row>
    <row r="5961" spans="1:25" x14ac:dyDescent="0.2">
      <c r="A5961">
        <v>7513</v>
      </c>
      <c r="B5961" t="s">
        <v>9956</v>
      </c>
      <c r="C5961" t="s">
        <v>18</v>
      </c>
      <c r="D5961" t="s">
        <v>2123</v>
      </c>
      <c r="E5961" t="s">
        <v>2124</v>
      </c>
      <c r="F5961" t="s">
        <v>78</v>
      </c>
      <c r="G5961" t="s">
        <v>17</v>
      </c>
      <c r="I5961" t="b">
        <v>0</v>
      </c>
      <c r="J5961" t="b">
        <v>0</v>
      </c>
      <c r="L5961" t="b">
        <v>0</v>
      </c>
      <c r="M5961" t="str">
        <f>HYPERLINK("https://arizona.app.box.com/file/389164614363")</f>
        <v>https://arizona.app.box.com/file/389164614363</v>
      </c>
      <c r="N5961" t="str">
        <f>HYPERLINK("https://arizona.app.box.com/file/386239354048")</f>
        <v>https://arizona.app.box.com/file/386239354048</v>
      </c>
    </row>
    <row r="5962" spans="1:25" x14ac:dyDescent="0.2">
      <c r="A5962">
        <v>7514</v>
      </c>
      <c r="B5962" t="s">
        <v>9956</v>
      </c>
      <c r="C5962" t="s">
        <v>18</v>
      </c>
      <c r="D5962" t="s">
        <v>2127</v>
      </c>
      <c r="E5962" t="s">
        <v>2128</v>
      </c>
      <c r="F5962" t="s">
        <v>23</v>
      </c>
      <c r="G5962" t="s">
        <v>88</v>
      </c>
      <c r="I5962" t="b">
        <v>0</v>
      </c>
      <c r="J5962" t="b">
        <v>0</v>
      </c>
      <c r="L5962" t="b">
        <v>0</v>
      </c>
      <c r="M5962" t="str">
        <f>HYPERLINK("https://arizona.app.box.com/file/389262903355")</f>
        <v>https://arizona.app.box.com/file/389262903355</v>
      </c>
      <c r="N5962" t="str">
        <f>HYPERLINK("https://arizona.app.box.com/file/389170185166")</f>
        <v>https://arizona.app.box.com/file/389170185166</v>
      </c>
      <c r="O5962" t="str">
        <f>HYPERLINK("https://arizona.app.box.com/file/389174108434")</f>
        <v>https://arizona.app.box.com/file/389174108434</v>
      </c>
      <c r="P5962" t="str">
        <f>HYPERLINK("https://arizona.app.box.com/file/386214860936")</f>
        <v>https://arizona.app.box.com/file/386214860936</v>
      </c>
    </row>
    <row r="5963" spans="1:25" x14ac:dyDescent="0.2">
      <c r="A5963">
        <v>7515</v>
      </c>
      <c r="B5963" t="s">
        <v>9956</v>
      </c>
      <c r="C5963" t="s">
        <v>18</v>
      </c>
      <c r="D5963" t="s">
        <v>7820</v>
      </c>
      <c r="E5963" t="s">
        <v>407</v>
      </c>
      <c r="F5963" t="s">
        <v>122</v>
      </c>
      <c r="G5963" t="s">
        <v>17</v>
      </c>
      <c r="I5963" t="b">
        <v>0</v>
      </c>
      <c r="J5963" t="b">
        <v>0</v>
      </c>
      <c r="L5963" t="b">
        <v>0</v>
      </c>
      <c r="M5963" t="str">
        <f>HYPERLINK("https://arizona.app.box.com/file/389257421163")</f>
        <v>https://arizona.app.box.com/file/389257421163</v>
      </c>
    </row>
    <row r="5964" spans="1:25" x14ac:dyDescent="0.2">
      <c r="A5964">
        <v>7516</v>
      </c>
      <c r="B5964" t="s">
        <v>9956</v>
      </c>
      <c r="C5964" t="s">
        <v>18</v>
      </c>
      <c r="D5964" t="s">
        <v>1329</v>
      </c>
      <c r="E5964" t="s">
        <v>1330</v>
      </c>
      <c r="F5964" t="s">
        <v>369</v>
      </c>
      <c r="G5964" t="s">
        <v>17</v>
      </c>
      <c r="I5964" t="b">
        <v>0</v>
      </c>
      <c r="J5964" t="b">
        <v>0</v>
      </c>
      <c r="L5964" t="b">
        <v>0</v>
      </c>
      <c r="M5964" t="str">
        <f>HYPERLINK("https://arizona.app.box.com/file/389168126825")</f>
        <v>https://arizona.app.box.com/file/389168126825</v>
      </c>
      <c r="N5964" t="str">
        <f>HYPERLINK("https://arizona.app.box.com/file/386244367824")</f>
        <v>https://arizona.app.box.com/file/386244367824</v>
      </c>
    </row>
    <row r="5966" spans="1:25" x14ac:dyDescent="0.2">
      <c r="A5966" s="2">
        <v>2275</v>
      </c>
      <c r="B5966" s="2" t="s">
        <v>9957</v>
      </c>
      <c r="C5966" s="2" t="s">
        <v>13</v>
      </c>
      <c r="D5966" s="2" t="s">
        <v>9703</v>
      </c>
      <c r="E5966" s="2" t="s">
        <v>9704</v>
      </c>
      <c r="F5966" s="2" t="s">
        <v>23</v>
      </c>
      <c r="G5966" s="2" t="s">
        <v>638</v>
      </c>
      <c r="H5966" s="2"/>
      <c r="I5966" s="2"/>
      <c r="J5966" s="2"/>
      <c r="K5966" s="2"/>
      <c r="L5966" s="2"/>
      <c r="M5966" s="2"/>
      <c r="N5966" s="2"/>
      <c r="O5966" s="2"/>
      <c r="P5966" s="2"/>
      <c r="Q5966" s="2"/>
      <c r="R5966" s="2"/>
      <c r="S5966" s="2"/>
      <c r="T5966" s="2"/>
      <c r="U5966" s="2"/>
      <c r="V5966" s="2"/>
      <c r="W5966" s="2"/>
      <c r="X5966" s="2"/>
      <c r="Y5966" s="2"/>
    </row>
    <row r="5967" spans="1:25" x14ac:dyDescent="0.2">
      <c r="A5967">
        <v>2276</v>
      </c>
      <c r="B5967" t="s">
        <v>9957</v>
      </c>
      <c r="C5967" t="s">
        <v>18</v>
      </c>
      <c r="D5967" t="s">
        <v>9703</v>
      </c>
      <c r="E5967" t="s">
        <v>9704</v>
      </c>
      <c r="F5967" t="s">
        <v>23</v>
      </c>
      <c r="G5967" t="s">
        <v>638</v>
      </c>
      <c r="I5967" t="b">
        <v>1</v>
      </c>
      <c r="J5967" t="b">
        <v>1</v>
      </c>
      <c r="L5967" t="b">
        <v>1</v>
      </c>
      <c r="M5967" t="str">
        <f>HYPERLINK("https://arizona.app.box.com/file/386264106490")</f>
        <v>https://arizona.app.box.com/file/386264106490</v>
      </c>
      <c r="N5967" t="str">
        <f>HYPERLINK("https://arizona.app.box.com/file/386263814186")</f>
        <v>https://arizona.app.box.com/file/386263814186</v>
      </c>
    </row>
    <row r="5968" spans="1:25" x14ac:dyDescent="0.2">
      <c r="A5968">
        <v>2277</v>
      </c>
      <c r="B5968" t="s">
        <v>9957</v>
      </c>
      <c r="C5968" t="s">
        <v>18</v>
      </c>
      <c r="D5968" t="s">
        <v>9705</v>
      </c>
      <c r="E5968" t="s">
        <v>9706</v>
      </c>
      <c r="F5968" t="s">
        <v>23</v>
      </c>
      <c r="G5968" t="s">
        <v>638</v>
      </c>
      <c r="I5968" t="b">
        <v>0</v>
      </c>
      <c r="J5968" t="b">
        <v>0</v>
      </c>
      <c r="L5968" t="b">
        <v>0</v>
      </c>
    </row>
    <row r="5969" spans="1:25" x14ac:dyDescent="0.2">
      <c r="A5969">
        <v>2278</v>
      </c>
      <c r="B5969" t="s">
        <v>9957</v>
      </c>
      <c r="C5969" t="s">
        <v>18</v>
      </c>
      <c r="D5969" t="s">
        <v>9958</v>
      </c>
      <c r="E5969" t="s">
        <v>9959</v>
      </c>
      <c r="F5969" t="s">
        <v>23</v>
      </c>
      <c r="G5969" t="s">
        <v>638</v>
      </c>
      <c r="I5969" t="b">
        <v>0</v>
      </c>
      <c r="J5969" t="b">
        <v>0</v>
      </c>
      <c r="L5969" t="b">
        <v>0</v>
      </c>
    </row>
    <row r="5970" spans="1:25" x14ac:dyDescent="0.2">
      <c r="A5970">
        <v>2279</v>
      </c>
      <c r="B5970" t="s">
        <v>9957</v>
      </c>
      <c r="C5970" t="s">
        <v>18</v>
      </c>
      <c r="D5970" t="s">
        <v>9960</v>
      </c>
      <c r="E5970" t="s">
        <v>9961</v>
      </c>
      <c r="F5970" t="s">
        <v>23</v>
      </c>
      <c r="G5970" t="s">
        <v>638</v>
      </c>
      <c r="I5970" t="b">
        <v>0</v>
      </c>
      <c r="J5970" t="b">
        <v>0</v>
      </c>
      <c r="L5970" t="b">
        <v>0</v>
      </c>
    </row>
    <row r="5971" spans="1:25" x14ac:dyDescent="0.2">
      <c r="A5971">
        <v>2280</v>
      </c>
      <c r="B5971" t="s">
        <v>9957</v>
      </c>
      <c r="C5971" t="s">
        <v>18</v>
      </c>
      <c r="D5971" t="s">
        <v>6111</v>
      </c>
      <c r="E5971" t="s">
        <v>6112</v>
      </c>
      <c r="F5971" t="s">
        <v>82</v>
      </c>
      <c r="G5971" t="s">
        <v>638</v>
      </c>
      <c r="I5971" t="b">
        <v>0</v>
      </c>
      <c r="J5971" t="b">
        <v>0</v>
      </c>
      <c r="L5971" t="b">
        <v>0</v>
      </c>
      <c r="M5971" t="str">
        <f>HYPERLINK("https://arizona.app.box.com/file/386246917610")</f>
        <v>https://arizona.app.box.com/file/386246917610</v>
      </c>
      <c r="N5971" t="str">
        <f>HYPERLINK("https://arizona.app.box.com/file/386263804215")</f>
        <v>https://arizona.app.box.com/file/386263804215</v>
      </c>
    </row>
    <row r="5973" spans="1:25" x14ac:dyDescent="0.2">
      <c r="A5973" s="2">
        <v>6062</v>
      </c>
      <c r="B5973" s="2" t="s">
        <v>9962</v>
      </c>
      <c r="C5973" s="2" t="s">
        <v>13</v>
      </c>
      <c r="D5973" s="2" t="s">
        <v>9467</v>
      </c>
      <c r="E5973" s="2" t="s">
        <v>9963</v>
      </c>
      <c r="F5973" s="2" t="s">
        <v>159</v>
      </c>
      <c r="G5973" s="2" t="s">
        <v>252</v>
      </c>
      <c r="H5973" s="2"/>
      <c r="I5973" s="2"/>
      <c r="J5973" s="2"/>
      <c r="K5973" s="2"/>
      <c r="L5973" s="2"/>
      <c r="M5973" s="2"/>
      <c r="N5973" s="2"/>
      <c r="O5973" s="2"/>
      <c r="P5973" s="2"/>
      <c r="Q5973" s="2"/>
      <c r="R5973" s="2"/>
      <c r="S5973" s="2"/>
      <c r="T5973" s="2"/>
      <c r="U5973" s="2"/>
      <c r="V5973" s="2"/>
      <c r="W5973" s="2"/>
      <c r="X5973" s="2"/>
      <c r="Y5973" s="2"/>
    </row>
    <row r="5974" spans="1:25" x14ac:dyDescent="0.2">
      <c r="A5974">
        <v>6063</v>
      </c>
      <c r="B5974" t="s">
        <v>9962</v>
      </c>
      <c r="C5974" t="s">
        <v>18</v>
      </c>
      <c r="D5974" t="s">
        <v>9467</v>
      </c>
      <c r="E5974" t="s">
        <v>4498</v>
      </c>
      <c r="F5974" t="s">
        <v>159</v>
      </c>
      <c r="G5974" t="s">
        <v>252</v>
      </c>
      <c r="I5974" t="b">
        <v>1</v>
      </c>
      <c r="J5974" t="b">
        <v>1</v>
      </c>
      <c r="L5974" t="b">
        <v>1</v>
      </c>
      <c r="M5974" t="str">
        <f>HYPERLINK("https://arizona.app.box.com/file/389170880707")</f>
        <v>https://arizona.app.box.com/file/389170880707</v>
      </c>
      <c r="N5974" t="str">
        <f>HYPERLINK("https://arizona.app.box.com/file/386213369869")</f>
        <v>https://arizona.app.box.com/file/386213369869</v>
      </c>
    </row>
    <row r="5975" spans="1:25" x14ac:dyDescent="0.2">
      <c r="A5975">
        <v>6064</v>
      </c>
      <c r="B5975" t="s">
        <v>9962</v>
      </c>
      <c r="C5975" t="s">
        <v>18</v>
      </c>
      <c r="D5975" t="s">
        <v>9466</v>
      </c>
      <c r="E5975" t="s">
        <v>8845</v>
      </c>
      <c r="F5975" t="s">
        <v>159</v>
      </c>
      <c r="G5975" t="s">
        <v>134</v>
      </c>
      <c r="I5975" t="b">
        <v>0</v>
      </c>
      <c r="J5975" t="b">
        <v>0</v>
      </c>
      <c r="L5975" t="b">
        <v>0</v>
      </c>
      <c r="M5975" t="str">
        <f>HYPERLINK("https://arizona.app.box.com/file/389173871128")</f>
        <v>https://arizona.app.box.com/file/389173871128</v>
      </c>
      <c r="N5975" t="str">
        <f>HYPERLINK("https://arizona.app.box.com/file/386254304563")</f>
        <v>https://arizona.app.box.com/file/386254304563</v>
      </c>
    </row>
    <row r="5976" spans="1:25" x14ac:dyDescent="0.2">
      <c r="A5976">
        <v>6065</v>
      </c>
      <c r="B5976" t="s">
        <v>9962</v>
      </c>
      <c r="C5976" t="s">
        <v>18</v>
      </c>
      <c r="D5976" t="s">
        <v>9468</v>
      </c>
      <c r="E5976" t="s">
        <v>9469</v>
      </c>
      <c r="F5976" t="s">
        <v>82</v>
      </c>
      <c r="G5976" t="s">
        <v>345</v>
      </c>
      <c r="I5976" t="b">
        <v>0</v>
      </c>
      <c r="J5976" t="b">
        <v>0</v>
      </c>
      <c r="L5976" t="b">
        <v>0</v>
      </c>
    </row>
    <row r="5977" spans="1:25" x14ac:dyDescent="0.2">
      <c r="A5977">
        <v>6066</v>
      </c>
      <c r="B5977" t="s">
        <v>9962</v>
      </c>
      <c r="C5977" t="s">
        <v>18</v>
      </c>
      <c r="D5977" t="s">
        <v>9964</v>
      </c>
      <c r="E5977" t="s">
        <v>9965</v>
      </c>
      <c r="F5977" t="s">
        <v>248</v>
      </c>
      <c r="G5977" t="s">
        <v>265</v>
      </c>
      <c r="I5977" t="b">
        <v>0</v>
      </c>
      <c r="J5977" t="b">
        <v>0</v>
      </c>
      <c r="L5977" t="b">
        <v>0</v>
      </c>
      <c r="M5977" t="str">
        <f>HYPERLINK("https://arizona.app.box.com/file/389261371131")</f>
        <v>https://arizona.app.box.com/file/389261371131</v>
      </c>
      <c r="N5977" t="str">
        <f>HYPERLINK("https://arizona.app.box.com/file/389164899909")</f>
        <v>https://arizona.app.box.com/file/389164899909</v>
      </c>
    </row>
    <row r="5978" spans="1:25" x14ac:dyDescent="0.2">
      <c r="A5978">
        <v>6067</v>
      </c>
      <c r="B5978" t="s">
        <v>9962</v>
      </c>
      <c r="C5978" t="s">
        <v>18</v>
      </c>
      <c r="D5978" t="s">
        <v>7847</v>
      </c>
      <c r="E5978" t="s">
        <v>7852</v>
      </c>
      <c r="F5978" t="s">
        <v>561</v>
      </c>
      <c r="G5978" t="s">
        <v>252</v>
      </c>
      <c r="I5978" t="b">
        <v>0</v>
      </c>
      <c r="J5978" t="b">
        <v>0</v>
      </c>
      <c r="L5978" t="b">
        <v>0</v>
      </c>
      <c r="M5978" t="str">
        <f>HYPERLINK("https://arizona.app.box.com/file/386247271128")</f>
        <v>https://arizona.app.box.com/file/386247271128</v>
      </c>
    </row>
    <row r="5980" spans="1:25" x14ac:dyDescent="0.2">
      <c r="A5980" s="2">
        <v>4466</v>
      </c>
      <c r="B5980" s="2" t="s">
        <v>9966</v>
      </c>
      <c r="C5980" s="2" t="s">
        <v>13</v>
      </c>
      <c r="D5980" s="2" t="s">
        <v>8529</v>
      </c>
      <c r="E5980" s="2" t="s">
        <v>9967</v>
      </c>
      <c r="F5980" s="2" t="s">
        <v>2924</v>
      </c>
      <c r="G5980" s="2" t="s">
        <v>8528</v>
      </c>
      <c r="H5980" s="2"/>
      <c r="I5980" s="2"/>
      <c r="J5980" s="2"/>
      <c r="K5980" s="2"/>
      <c r="L5980" s="2"/>
      <c r="M5980" s="2"/>
      <c r="N5980" s="2"/>
      <c r="O5980" s="2"/>
      <c r="P5980" s="2"/>
      <c r="Q5980" s="2"/>
      <c r="R5980" s="2"/>
      <c r="S5980" s="2"/>
      <c r="T5980" s="2"/>
      <c r="U5980" s="2"/>
      <c r="V5980" s="2"/>
      <c r="W5980" s="2"/>
      <c r="X5980" s="2"/>
      <c r="Y5980" s="2"/>
    </row>
    <row r="5981" spans="1:25" x14ac:dyDescent="0.2">
      <c r="A5981">
        <v>4467</v>
      </c>
      <c r="B5981" t="s">
        <v>9966</v>
      </c>
      <c r="C5981" t="s">
        <v>18</v>
      </c>
      <c r="D5981" t="s">
        <v>8529</v>
      </c>
      <c r="E5981" t="s">
        <v>4688</v>
      </c>
      <c r="F5981" t="s">
        <v>82</v>
      </c>
      <c r="G5981" t="s">
        <v>771</v>
      </c>
      <c r="I5981" t="b">
        <v>1</v>
      </c>
      <c r="J5981" t="b">
        <v>1</v>
      </c>
      <c r="L5981" t="b">
        <v>1</v>
      </c>
      <c r="M5981" t="str">
        <f>HYPERLINK("https://arizona.app.box.com/file/389262257184")</f>
        <v>https://arizona.app.box.com/file/389262257184</v>
      </c>
    </row>
    <row r="5982" spans="1:25" x14ac:dyDescent="0.2">
      <c r="A5982">
        <v>4468</v>
      </c>
      <c r="B5982" t="s">
        <v>9966</v>
      </c>
      <c r="C5982" t="s">
        <v>18</v>
      </c>
      <c r="D5982" t="s">
        <v>9234</v>
      </c>
      <c r="E5982" t="s">
        <v>9235</v>
      </c>
      <c r="F5982" t="s">
        <v>82</v>
      </c>
      <c r="G5982" t="s">
        <v>8528</v>
      </c>
      <c r="I5982" t="b">
        <v>1</v>
      </c>
      <c r="J5982" t="b">
        <v>1</v>
      </c>
      <c r="L5982" t="b">
        <v>1</v>
      </c>
    </row>
    <row r="5983" spans="1:25" x14ac:dyDescent="0.2">
      <c r="A5983">
        <v>4469</v>
      </c>
      <c r="B5983" t="s">
        <v>9966</v>
      </c>
      <c r="C5983" t="s">
        <v>18</v>
      </c>
      <c r="D5983" t="s">
        <v>8530</v>
      </c>
      <c r="E5983" t="s">
        <v>8531</v>
      </c>
      <c r="F5983" t="s">
        <v>82</v>
      </c>
      <c r="G5983" t="s">
        <v>8528</v>
      </c>
      <c r="I5983" t="b">
        <v>0</v>
      </c>
      <c r="J5983" t="b">
        <v>0</v>
      </c>
      <c r="L5983" t="b">
        <v>0</v>
      </c>
      <c r="M5983" t="str">
        <f>HYPERLINK("https://arizona.app.box.com/file/389256137017")</f>
        <v>https://arizona.app.box.com/file/389256137017</v>
      </c>
      <c r="N5983" t="str">
        <f>HYPERLINK("https://arizona.app.box.com/file/389159129676")</f>
        <v>https://arizona.app.box.com/file/389159129676</v>
      </c>
      <c r="O5983" t="str">
        <f>HYPERLINK("https://arizona.app.box.com/file/386241113911")</f>
        <v>https://arizona.app.box.com/file/386241113911</v>
      </c>
    </row>
    <row r="5984" spans="1:25" x14ac:dyDescent="0.2">
      <c r="A5984">
        <v>4470</v>
      </c>
      <c r="B5984" t="s">
        <v>9966</v>
      </c>
      <c r="C5984" t="s">
        <v>18</v>
      </c>
      <c r="D5984" t="s">
        <v>8525</v>
      </c>
      <c r="E5984" t="s">
        <v>4071</v>
      </c>
      <c r="F5984" t="s">
        <v>8527</v>
      </c>
      <c r="G5984" t="s">
        <v>8528</v>
      </c>
      <c r="I5984" t="b">
        <v>0</v>
      </c>
      <c r="J5984" t="b">
        <v>0</v>
      </c>
      <c r="L5984" t="b">
        <v>0</v>
      </c>
      <c r="M5984" t="str">
        <f>HYPERLINK("https://arizona.app.box.com/file/389164695934")</f>
        <v>https://arizona.app.box.com/file/389164695934</v>
      </c>
      <c r="N5984" t="str">
        <f>HYPERLINK("https://arizona.app.box.com/file/386244382224")</f>
        <v>https://arizona.app.box.com/file/386244382224</v>
      </c>
    </row>
    <row r="5985" spans="1:25" x14ac:dyDescent="0.2">
      <c r="A5985">
        <v>4471</v>
      </c>
      <c r="B5985" t="s">
        <v>9966</v>
      </c>
      <c r="C5985" t="s">
        <v>18</v>
      </c>
      <c r="D5985" t="s">
        <v>8532</v>
      </c>
      <c r="E5985" t="s">
        <v>8533</v>
      </c>
      <c r="F5985" t="s">
        <v>82</v>
      </c>
      <c r="G5985" t="s">
        <v>8528</v>
      </c>
      <c r="I5985" t="b">
        <v>0</v>
      </c>
      <c r="J5985" t="b">
        <v>0</v>
      </c>
      <c r="L5985" t="b">
        <v>0</v>
      </c>
      <c r="M5985" t="str">
        <f>HYPERLINK("https://arizona.app.box.com/file/386241839269")</f>
        <v>https://arizona.app.box.com/file/386241839269</v>
      </c>
    </row>
    <row r="5987" spans="1:25" x14ac:dyDescent="0.2">
      <c r="A5987" s="2">
        <v>7882</v>
      </c>
      <c r="B5987" s="2" t="s">
        <v>9968</v>
      </c>
      <c r="C5987" s="2" t="s">
        <v>13</v>
      </c>
      <c r="D5987" s="2" t="s">
        <v>330</v>
      </c>
      <c r="E5987" s="2" t="s">
        <v>9969</v>
      </c>
      <c r="F5987" s="2" t="s">
        <v>200</v>
      </c>
      <c r="G5987" s="2" t="s">
        <v>88</v>
      </c>
      <c r="H5987" s="2"/>
      <c r="I5987" s="2"/>
      <c r="J5987" s="2"/>
      <c r="K5987" s="2"/>
      <c r="L5987" s="2"/>
      <c r="M5987" s="2"/>
      <c r="N5987" s="2"/>
      <c r="O5987" s="2"/>
      <c r="P5987" s="2"/>
      <c r="Q5987" s="2"/>
      <c r="R5987" s="2"/>
      <c r="S5987" s="2"/>
      <c r="T5987" s="2"/>
      <c r="U5987" s="2"/>
      <c r="V5987" s="2"/>
      <c r="W5987" s="2"/>
      <c r="X5987" s="2"/>
      <c r="Y5987" s="2"/>
    </row>
    <row r="5988" spans="1:25" x14ac:dyDescent="0.2">
      <c r="A5988">
        <v>7883</v>
      </c>
      <c r="B5988" t="s">
        <v>9968</v>
      </c>
      <c r="C5988" t="s">
        <v>18</v>
      </c>
      <c r="D5988" t="s">
        <v>330</v>
      </c>
      <c r="E5988" t="s">
        <v>331</v>
      </c>
      <c r="F5988" t="s">
        <v>200</v>
      </c>
      <c r="G5988" t="s">
        <v>88</v>
      </c>
      <c r="I5988" t="b">
        <v>1</v>
      </c>
      <c r="J5988" t="b">
        <v>1</v>
      </c>
      <c r="L5988" t="b">
        <v>1</v>
      </c>
      <c r="M5988" t="str">
        <f>HYPERLINK("https://arizona.app.box.com/file/389262415725")</f>
        <v>https://arizona.app.box.com/file/389262415725</v>
      </c>
      <c r="N5988" t="str">
        <f>HYPERLINK("https://arizona.app.box.com/file/389153271870")</f>
        <v>https://arizona.app.box.com/file/389153271870</v>
      </c>
    </row>
    <row r="5989" spans="1:25" x14ac:dyDescent="0.2">
      <c r="A5989">
        <v>7884</v>
      </c>
      <c r="B5989" t="s">
        <v>9968</v>
      </c>
      <c r="C5989" t="s">
        <v>18</v>
      </c>
      <c r="D5989" t="s">
        <v>328</v>
      </c>
      <c r="E5989" t="s">
        <v>329</v>
      </c>
      <c r="F5989" t="s">
        <v>200</v>
      </c>
      <c r="G5989" t="s">
        <v>88</v>
      </c>
      <c r="I5989" t="b">
        <v>0</v>
      </c>
      <c r="J5989" t="b">
        <v>0</v>
      </c>
      <c r="L5989" t="b">
        <v>0</v>
      </c>
      <c r="M5989" t="str">
        <f>HYPERLINK("https://arizona.app.box.com/file/389262530195")</f>
        <v>https://arizona.app.box.com/file/389262530195</v>
      </c>
      <c r="N5989" t="str">
        <f>HYPERLINK("https://arizona.app.box.com/file/389162302333")</f>
        <v>https://arizona.app.box.com/file/389162302333</v>
      </c>
    </row>
    <row r="5990" spans="1:25" x14ac:dyDescent="0.2">
      <c r="A5990">
        <v>7885</v>
      </c>
      <c r="B5990" t="s">
        <v>9968</v>
      </c>
      <c r="C5990" t="s">
        <v>18</v>
      </c>
      <c r="D5990" t="s">
        <v>1892</v>
      </c>
      <c r="E5990" t="s">
        <v>1893</v>
      </c>
      <c r="F5990" t="s">
        <v>420</v>
      </c>
      <c r="G5990" t="s">
        <v>88</v>
      </c>
      <c r="I5990" t="b">
        <v>0</v>
      </c>
      <c r="J5990" t="b">
        <v>0</v>
      </c>
      <c r="L5990" t="b">
        <v>0</v>
      </c>
      <c r="M5990" t="str">
        <f>HYPERLINK("https://arizona.app.box.com/file/386246418089")</f>
        <v>https://arizona.app.box.com/file/386246418089</v>
      </c>
    </row>
    <row r="5991" spans="1:25" x14ac:dyDescent="0.2">
      <c r="A5991">
        <v>7886</v>
      </c>
      <c r="B5991" t="s">
        <v>9968</v>
      </c>
      <c r="C5991" t="s">
        <v>18</v>
      </c>
      <c r="D5991" t="s">
        <v>9970</v>
      </c>
      <c r="E5991" t="s">
        <v>475</v>
      </c>
      <c r="F5991" t="s">
        <v>148</v>
      </c>
      <c r="G5991" t="s">
        <v>88</v>
      </c>
      <c r="I5991" t="b">
        <v>0</v>
      </c>
      <c r="J5991" t="b">
        <v>0</v>
      </c>
      <c r="L5991" t="b">
        <v>0</v>
      </c>
      <c r="M5991" t="str">
        <f>HYPERLINK("https://arizona.app.box.com/file/386244151025")</f>
        <v>https://arizona.app.box.com/file/386244151025</v>
      </c>
    </row>
    <row r="5992" spans="1:25" x14ac:dyDescent="0.2">
      <c r="A5992">
        <v>7887</v>
      </c>
      <c r="B5992" t="s">
        <v>9968</v>
      </c>
      <c r="C5992" t="s">
        <v>18</v>
      </c>
      <c r="D5992" t="s">
        <v>7937</v>
      </c>
      <c r="E5992" t="s">
        <v>1345</v>
      </c>
      <c r="F5992" t="s">
        <v>144</v>
      </c>
      <c r="G5992" t="s">
        <v>88</v>
      </c>
      <c r="I5992" t="b">
        <v>0</v>
      </c>
      <c r="J5992" t="b">
        <v>0</v>
      </c>
      <c r="L5992" t="b">
        <v>0</v>
      </c>
      <c r="M5992" t="str">
        <f>HYPERLINK("https://arizona.app.box.com/file/389173147857")</f>
        <v>https://arizona.app.box.com/file/389173147857</v>
      </c>
      <c r="N5992" t="str">
        <f>HYPERLINK("https://arizona.app.box.com/file/386213371658")</f>
        <v>https://arizona.app.box.com/file/386213371658</v>
      </c>
    </row>
    <row r="5994" spans="1:25" x14ac:dyDescent="0.2">
      <c r="A5994" s="2">
        <v>3430</v>
      </c>
      <c r="B5994" s="2" t="s">
        <v>9971</v>
      </c>
      <c r="C5994" s="2" t="s">
        <v>13</v>
      </c>
      <c r="D5994" s="2" t="s">
        <v>9972</v>
      </c>
      <c r="E5994" s="2" t="s">
        <v>9973</v>
      </c>
      <c r="F5994" s="2" t="s">
        <v>200</v>
      </c>
      <c r="G5994" s="2" t="s">
        <v>62</v>
      </c>
      <c r="H5994" s="2"/>
      <c r="I5994" s="2"/>
      <c r="J5994" s="2"/>
      <c r="K5994" s="2"/>
      <c r="L5994" s="2"/>
      <c r="M5994" s="2"/>
      <c r="N5994" s="2"/>
      <c r="O5994" s="2"/>
      <c r="P5994" s="2"/>
      <c r="Q5994" s="2"/>
      <c r="R5994" s="2"/>
      <c r="S5994" s="2"/>
      <c r="T5994" s="2"/>
      <c r="U5994" s="2"/>
      <c r="V5994" s="2"/>
      <c r="W5994" s="2"/>
      <c r="X5994" s="2"/>
      <c r="Y5994" s="2"/>
    </row>
    <row r="5995" spans="1:25" x14ac:dyDescent="0.2">
      <c r="A5995">
        <v>3431</v>
      </c>
      <c r="B5995" t="s">
        <v>9971</v>
      </c>
      <c r="C5995" t="s">
        <v>18</v>
      </c>
      <c r="D5995" t="s">
        <v>8129</v>
      </c>
      <c r="E5995" t="s">
        <v>8130</v>
      </c>
      <c r="F5995" t="s">
        <v>200</v>
      </c>
      <c r="G5995" t="s">
        <v>62</v>
      </c>
      <c r="I5995" t="b">
        <v>1</v>
      </c>
      <c r="J5995" t="b">
        <v>1</v>
      </c>
      <c r="L5995" t="b">
        <v>1</v>
      </c>
      <c r="M5995" t="str">
        <f>HYPERLINK("https://arizona.app.box.com/file/386238713862")</f>
        <v>https://arizona.app.box.com/file/386238713862</v>
      </c>
    </row>
    <row r="5996" spans="1:25" x14ac:dyDescent="0.2">
      <c r="A5996">
        <v>3432</v>
      </c>
      <c r="B5996" t="s">
        <v>9971</v>
      </c>
      <c r="C5996" t="s">
        <v>18</v>
      </c>
      <c r="D5996" t="s">
        <v>9974</v>
      </c>
      <c r="E5996" t="s">
        <v>9975</v>
      </c>
      <c r="F5996" t="s">
        <v>574</v>
      </c>
      <c r="G5996" t="s">
        <v>62</v>
      </c>
      <c r="I5996" t="b">
        <v>0</v>
      </c>
      <c r="J5996" t="b">
        <v>0</v>
      </c>
      <c r="L5996" t="b">
        <v>0</v>
      </c>
      <c r="M5996" t="str">
        <f>HYPERLINK("https://arizona.app.box.com/file/386243147153")</f>
        <v>https://arizona.app.box.com/file/386243147153</v>
      </c>
    </row>
    <row r="5997" spans="1:25" x14ac:dyDescent="0.2">
      <c r="A5997">
        <v>3433</v>
      </c>
      <c r="B5997" t="s">
        <v>9971</v>
      </c>
      <c r="C5997" t="s">
        <v>18</v>
      </c>
      <c r="D5997" t="s">
        <v>9976</v>
      </c>
      <c r="E5997" t="s">
        <v>9859</v>
      </c>
      <c r="F5997" t="s">
        <v>574</v>
      </c>
      <c r="G5997" t="s">
        <v>62</v>
      </c>
      <c r="I5997" t="b">
        <v>0</v>
      </c>
      <c r="J5997" t="b">
        <v>0</v>
      </c>
      <c r="L5997" t="b">
        <v>0</v>
      </c>
      <c r="M5997" t="str">
        <f>HYPERLINK("https://arizona.app.box.com/file/386240693944")</f>
        <v>https://arizona.app.box.com/file/386240693944</v>
      </c>
    </row>
    <row r="5998" spans="1:25" x14ac:dyDescent="0.2">
      <c r="A5998">
        <v>3434</v>
      </c>
      <c r="B5998" t="s">
        <v>9971</v>
      </c>
      <c r="C5998" t="s">
        <v>18</v>
      </c>
      <c r="D5998" t="s">
        <v>4668</v>
      </c>
      <c r="E5998" t="s">
        <v>4667</v>
      </c>
      <c r="F5998" t="s">
        <v>456</v>
      </c>
      <c r="G5998" t="s">
        <v>62</v>
      </c>
      <c r="I5998" t="b">
        <v>0</v>
      </c>
      <c r="J5998" t="b">
        <v>0</v>
      </c>
      <c r="L5998" t="b">
        <v>0</v>
      </c>
      <c r="M5998" t="str">
        <f>HYPERLINK("https://arizona.app.box.com/file/386242317689")</f>
        <v>https://arizona.app.box.com/file/386242317689</v>
      </c>
      <c r="N5998" t="str">
        <f>HYPERLINK("https://arizona.app.box.com/file/386243062624")</f>
        <v>https://arizona.app.box.com/file/386243062624</v>
      </c>
    </row>
    <row r="5999" spans="1:25" x14ac:dyDescent="0.2">
      <c r="A5999">
        <v>3435</v>
      </c>
      <c r="B5999" t="s">
        <v>9971</v>
      </c>
      <c r="C5999" t="s">
        <v>18</v>
      </c>
      <c r="D5999" t="s">
        <v>9977</v>
      </c>
      <c r="E5999" t="s">
        <v>9978</v>
      </c>
      <c r="F5999" t="s">
        <v>9979</v>
      </c>
      <c r="G5999" t="s">
        <v>62</v>
      </c>
      <c r="I5999" t="b">
        <v>0</v>
      </c>
      <c r="J5999" t="b">
        <v>0</v>
      </c>
      <c r="L5999" t="b">
        <v>0</v>
      </c>
      <c r="M5999" t="str">
        <f>HYPERLINK("https://arizona.app.box.com/file/386244581069")</f>
        <v>https://arizona.app.box.com/file/386244581069</v>
      </c>
      <c r="N5999" t="str">
        <f>HYPERLINK("https://arizona.app.box.com/file/386241113911")</f>
        <v>https://arizona.app.box.com/file/386241113911</v>
      </c>
    </row>
    <row r="6001" spans="1:25" x14ac:dyDescent="0.2">
      <c r="A6001" s="2">
        <v>3227</v>
      </c>
      <c r="B6001" s="2" t="s">
        <v>9980</v>
      </c>
      <c r="C6001" s="2" t="s">
        <v>13</v>
      </c>
      <c r="D6001" s="2" t="s">
        <v>9981</v>
      </c>
      <c r="E6001" s="2" t="s">
        <v>4656</v>
      </c>
      <c r="F6001" s="2" t="s">
        <v>785</v>
      </c>
      <c r="G6001" s="2" t="s">
        <v>62</v>
      </c>
      <c r="H6001" s="2"/>
      <c r="I6001" s="2"/>
      <c r="J6001" s="2"/>
      <c r="K6001" s="2"/>
      <c r="L6001" s="2"/>
      <c r="M6001" s="2"/>
      <c r="N6001" s="2"/>
      <c r="O6001" s="2"/>
      <c r="P6001" s="2"/>
      <c r="Q6001" s="2"/>
      <c r="R6001" s="2"/>
      <c r="S6001" s="2"/>
      <c r="T6001" s="2"/>
      <c r="U6001" s="2"/>
      <c r="V6001" s="2"/>
      <c r="W6001" s="2"/>
      <c r="X6001" s="2"/>
      <c r="Y6001" s="2"/>
    </row>
    <row r="6002" spans="1:25" x14ac:dyDescent="0.2">
      <c r="A6002">
        <v>3228</v>
      </c>
      <c r="B6002" t="s">
        <v>9980</v>
      </c>
      <c r="C6002" t="s">
        <v>18</v>
      </c>
      <c r="D6002" t="s">
        <v>4655</v>
      </c>
      <c r="E6002" t="s">
        <v>4656</v>
      </c>
      <c r="F6002" t="s">
        <v>785</v>
      </c>
      <c r="G6002" t="s">
        <v>62</v>
      </c>
      <c r="I6002" t="b">
        <v>1</v>
      </c>
      <c r="J6002" t="b">
        <v>1</v>
      </c>
      <c r="L6002" t="b">
        <v>1</v>
      </c>
      <c r="M6002" t="str">
        <f>HYPERLINK("https://arizona.app.box.com/file/386213864518")</f>
        <v>https://arizona.app.box.com/file/386213864518</v>
      </c>
      <c r="N6002" t="str">
        <f>HYPERLINK("https://arizona.app.box.com/file/386242756387")</f>
        <v>https://arizona.app.box.com/file/386242756387</v>
      </c>
    </row>
    <row r="6003" spans="1:25" x14ac:dyDescent="0.2">
      <c r="A6003">
        <v>3229</v>
      </c>
      <c r="B6003" t="s">
        <v>9980</v>
      </c>
      <c r="C6003" t="s">
        <v>18</v>
      </c>
      <c r="D6003" t="s">
        <v>4661</v>
      </c>
      <c r="E6003" t="s">
        <v>4662</v>
      </c>
      <c r="F6003" t="s">
        <v>785</v>
      </c>
      <c r="G6003" t="s">
        <v>62</v>
      </c>
      <c r="I6003" t="b">
        <v>0</v>
      </c>
      <c r="J6003" t="b">
        <v>0</v>
      </c>
      <c r="L6003" t="b">
        <v>0</v>
      </c>
      <c r="M6003" t="str">
        <f>HYPERLINK("https://arizona.app.box.com/file/386249430469")</f>
        <v>https://arizona.app.box.com/file/386249430469</v>
      </c>
      <c r="N6003" t="str">
        <f>HYPERLINK("https://arizona.app.box.com/file/386241282245")</f>
        <v>https://arizona.app.box.com/file/386241282245</v>
      </c>
    </row>
    <row r="6004" spans="1:25" x14ac:dyDescent="0.2">
      <c r="A6004">
        <v>3230</v>
      </c>
      <c r="B6004" t="s">
        <v>9980</v>
      </c>
      <c r="C6004" t="s">
        <v>18</v>
      </c>
      <c r="D6004" t="s">
        <v>4649</v>
      </c>
      <c r="E6004" t="s">
        <v>939</v>
      </c>
      <c r="F6004" t="s">
        <v>785</v>
      </c>
      <c r="G6004" t="s">
        <v>62</v>
      </c>
      <c r="I6004" t="b">
        <v>0</v>
      </c>
      <c r="J6004" t="b">
        <v>0</v>
      </c>
      <c r="L6004" t="b">
        <v>0</v>
      </c>
      <c r="M6004" t="str">
        <f>HYPERLINK("https://arizona.app.box.com/file/386240672130")</f>
        <v>https://arizona.app.box.com/file/386240672130</v>
      </c>
    </row>
    <row r="6005" spans="1:25" x14ac:dyDescent="0.2">
      <c r="A6005">
        <v>3231</v>
      </c>
      <c r="B6005" t="s">
        <v>9980</v>
      </c>
      <c r="C6005" t="s">
        <v>18</v>
      </c>
      <c r="D6005" t="s">
        <v>9982</v>
      </c>
      <c r="E6005" t="s">
        <v>9983</v>
      </c>
      <c r="F6005" t="s">
        <v>785</v>
      </c>
      <c r="G6005" t="s">
        <v>62</v>
      </c>
      <c r="I6005" t="b">
        <v>0</v>
      </c>
      <c r="J6005" t="b">
        <v>0</v>
      </c>
      <c r="L6005" t="b">
        <v>0</v>
      </c>
      <c r="M6005" t="str">
        <f>HYPERLINK("https://arizona.app.box.com/file/386241057764")</f>
        <v>https://arizona.app.box.com/file/386241057764</v>
      </c>
    </row>
    <row r="6006" spans="1:25" x14ac:dyDescent="0.2">
      <c r="A6006">
        <v>3232</v>
      </c>
      <c r="B6006" t="s">
        <v>9980</v>
      </c>
      <c r="C6006" t="s">
        <v>18</v>
      </c>
      <c r="D6006" t="s">
        <v>9984</v>
      </c>
      <c r="E6006" t="s">
        <v>9985</v>
      </c>
      <c r="F6006" t="s">
        <v>785</v>
      </c>
      <c r="G6006" t="s">
        <v>62</v>
      </c>
      <c r="I6006" t="b">
        <v>0</v>
      </c>
      <c r="J6006" t="b">
        <v>0</v>
      </c>
      <c r="L6006" t="b">
        <v>0</v>
      </c>
      <c r="M6006" t="str">
        <f>HYPERLINK("https://arizona.app.box.com/file/386231178473")</f>
        <v>https://arizona.app.box.com/file/386231178473</v>
      </c>
    </row>
    <row r="6008" spans="1:25" x14ac:dyDescent="0.2">
      <c r="A6008" s="2">
        <v>5880</v>
      </c>
      <c r="B6008" s="2" t="s">
        <v>9986</v>
      </c>
      <c r="C6008" s="2" t="s">
        <v>13</v>
      </c>
      <c r="D6008" s="2" t="s">
        <v>9987</v>
      </c>
      <c r="E6008" s="2" t="s">
        <v>9988</v>
      </c>
      <c r="F6008" s="2" t="s">
        <v>122</v>
      </c>
      <c r="G6008" s="2" t="s">
        <v>62</v>
      </c>
      <c r="H6008" s="2"/>
      <c r="I6008" s="2"/>
      <c r="J6008" s="2"/>
      <c r="K6008" s="2"/>
      <c r="L6008" s="2"/>
      <c r="M6008" s="2"/>
      <c r="N6008" s="2"/>
      <c r="O6008" s="2"/>
      <c r="P6008" s="2"/>
      <c r="Q6008" s="2"/>
      <c r="R6008" s="2"/>
      <c r="S6008" s="2"/>
      <c r="T6008" s="2"/>
      <c r="U6008" s="2"/>
      <c r="V6008" s="2"/>
      <c r="W6008" s="2"/>
      <c r="X6008" s="2"/>
      <c r="Y6008" s="2"/>
    </row>
    <row r="6009" spans="1:25" x14ac:dyDescent="0.2">
      <c r="A6009">
        <v>5881</v>
      </c>
      <c r="B6009" t="s">
        <v>9986</v>
      </c>
      <c r="C6009" t="s">
        <v>18</v>
      </c>
      <c r="D6009" t="s">
        <v>9987</v>
      </c>
      <c r="E6009" t="s">
        <v>9989</v>
      </c>
      <c r="F6009" t="s">
        <v>122</v>
      </c>
      <c r="G6009" t="s">
        <v>62</v>
      </c>
      <c r="I6009" t="b">
        <v>1</v>
      </c>
      <c r="J6009" t="b">
        <v>1</v>
      </c>
      <c r="L6009" t="b">
        <v>1</v>
      </c>
      <c r="M6009" t="str">
        <f>HYPERLINK("https://arizona.app.box.com/file/386218108425")</f>
        <v>https://arizona.app.box.com/file/386218108425</v>
      </c>
    </row>
    <row r="6010" spans="1:25" x14ac:dyDescent="0.2">
      <c r="A6010">
        <v>5882</v>
      </c>
      <c r="B6010" t="s">
        <v>9986</v>
      </c>
      <c r="C6010" t="s">
        <v>18</v>
      </c>
      <c r="D6010" t="s">
        <v>9990</v>
      </c>
      <c r="E6010" t="s">
        <v>3591</v>
      </c>
      <c r="F6010" t="s">
        <v>122</v>
      </c>
      <c r="G6010" t="s">
        <v>62</v>
      </c>
      <c r="I6010" t="b">
        <v>1</v>
      </c>
      <c r="J6010" t="b">
        <v>1</v>
      </c>
      <c r="L6010" t="b">
        <v>1</v>
      </c>
      <c r="M6010" t="str">
        <f>HYPERLINK("https://arizona.app.box.com/file/386233694052")</f>
        <v>https://arizona.app.box.com/file/386233694052</v>
      </c>
    </row>
    <row r="6011" spans="1:25" x14ac:dyDescent="0.2">
      <c r="A6011">
        <v>5883</v>
      </c>
      <c r="B6011" t="s">
        <v>9986</v>
      </c>
      <c r="C6011" t="s">
        <v>18</v>
      </c>
      <c r="D6011" t="s">
        <v>7380</v>
      </c>
      <c r="E6011" t="s">
        <v>7381</v>
      </c>
      <c r="F6011" t="s">
        <v>510</v>
      </c>
      <c r="G6011" t="s">
        <v>62</v>
      </c>
      <c r="I6011" t="b">
        <v>0</v>
      </c>
      <c r="J6011" t="b">
        <v>0</v>
      </c>
      <c r="L6011" t="b">
        <v>0</v>
      </c>
      <c r="M6011" t="str">
        <f>HYPERLINK("https://arizona.app.box.com/file/389266628542")</f>
        <v>https://arizona.app.box.com/file/389266628542</v>
      </c>
      <c r="N6011" t="str">
        <f>HYPERLINK("https://arizona.app.box.com/file/389168607552")</f>
        <v>https://arizona.app.box.com/file/389168607552</v>
      </c>
    </row>
    <row r="6012" spans="1:25" x14ac:dyDescent="0.2">
      <c r="A6012">
        <v>5884</v>
      </c>
      <c r="B6012" t="s">
        <v>9986</v>
      </c>
      <c r="C6012" t="s">
        <v>18</v>
      </c>
      <c r="D6012" t="s">
        <v>9991</v>
      </c>
      <c r="E6012" t="s">
        <v>9992</v>
      </c>
      <c r="F6012" t="s">
        <v>122</v>
      </c>
      <c r="G6012" t="s">
        <v>62</v>
      </c>
      <c r="I6012" t="b">
        <v>0</v>
      </c>
      <c r="J6012" t="b">
        <v>0</v>
      </c>
      <c r="L6012" t="b">
        <v>0</v>
      </c>
    </row>
    <row r="6013" spans="1:25" x14ac:dyDescent="0.2">
      <c r="A6013">
        <v>5885</v>
      </c>
      <c r="B6013" t="s">
        <v>9986</v>
      </c>
      <c r="C6013" t="s">
        <v>18</v>
      </c>
      <c r="D6013" t="s">
        <v>1288</v>
      </c>
      <c r="E6013" t="s">
        <v>1289</v>
      </c>
      <c r="F6013" t="s">
        <v>122</v>
      </c>
      <c r="G6013" t="s">
        <v>1290</v>
      </c>
      <c r="I6013" t="b">
        <v>0</v>
      </c>
      <c r="J6013" t="b">
        <v>0</v>
      </c>
      <c r="L6013" t="b">
        <v>0</v>
      </c>
    </row>
    <row r="6015" spans="1:25" x14ac:dyDescent="0.2">
      <c r="A6015" s="2">
        <v>1750</v>
      </c>
      <c r="B6015" s="2" t="s">
        <v>9993</v>
      </c>
      <c r="C6015" s="2" t="s">
        <v>13</v>
      </c>
      <c r="D6015" s="2" t="s">
        <v>1037</v>
      </c>
      <c r="E6015" s="2" t="s">
        <v>9994</v>
      </c>
      <c r="F6015" s="2" t="s">
        <v>31</v>
      </c>
      <c r="G6015" s="2" t="s">
        <v>17</v>
      </c>
      <c r="H6015" s="2"/>
      <c r="I6015" s="2"/>
      <c r="J6015" s="2"/>
      <c r="K6015" s="2"/>
      <c r="L6015" s="2"/>
      <c r="M6015" s="2"/>
      <c r="N6015" s="2"/>
      <c r="O6015" s="2"/>
      <c r="P6015" s="2"/>
      <c r="Q6015" s="2"/>
      <c r="R6015" s="2"/>
      <c r="S6015" s="2"/>
      <c r="T6015" s="2"/>
      <c r="U6015" s="2"/>
      <c r="V6015" s="2"/>
      <c r="W6015" s="2"/>
      <c r="X6015" s="2"/>
      <c r="Y6015" s="2"/>
    </row>
    <row r="6016" spans="1:25" x14ac:dyDescent="0.2">
      <c r="A6016">
        <v>1751</v>
      </c>
      <c r="B6016" t="s">
        <v>9993</v>
      </c>
      <c r="C6016" t="s">
        <v>18</v>
      </c>
      <c r="D6016" t="s">
        <v>1037</v>
      </c>
      <c r="E6016" t="s">
        <v>1038</v>
      </c>
      <c r="F6016" t="s">
        <v>31</v>
      </c>
      <c r="G6016" t="s">
        <v>17</v>
      </c>
      <c r="I6016" t="b">
        <v>1</v>
      </c>
      <c r="J6016" t="b">
        <v>1</v>
      </c>
      <c r="L6016" t="b">
        <v>1</v>
      </c>
      <c r="M6016" t="str">
        <f>HYPERLINK("https://arizona.app.box.com/file/389163365530")</f>
        <v>https://arizona.app.box.com/file/389163365530</v>
      </c>
    </row>
    <row r="6017" spans="1:25" x14ac:dyDescent="0.2">
      <c r="A6017">
        <v>1752</v>
      </c>
      <c r="B6017" t="s">
        <v>9993</v>
      </c>
      <c r="C6017" t="s">
        <v>18</v>
      </c>
      <c r="D6017" t="s">
        <v>1040</v>
      </c>
      <c r="E6017" t="s">
        <v>1041</v>
      </c>
      <c r="F6017" t="s">
        <v>31</v>
      </c>
      <c r="G6017" t="s">
        <v>17</v>
      </c>
      <c r="I6017" t="b">
        <v>1</v>
      </c>
      <c r="J6017" t="b">
        <v>1</v>
      </c>
      <c r="L6017" t="b">
        <v>1</v>
      </c>
      <c r="M6017" t="str">
        <f>HYPERLINK("https://arizona.app.box.com/file/389266125644")</f>
        <v>https://arizona.app.box.com/file/389266125644</v>
      </c>
      <c r="N6017" t="str">
        <f>HYPERLINK("https://arizona.app.box.com/file/389162119774")</f>
        <v>https://arizona.app.box.com/file/389162119774</v>
      </c>
    </row>
    <row r="6018" spans="1:25" x14ac:dyDescent="0.2">
      <c r="A6018">
        <v>1753</v>
      </c>
      <c r="B6018" t="s">
        <v>9993</v>
      </c>
      <c r="C6018" t="s">
        <v>18</v>
      </c>
      <c r="D6018" t="s">
        <v>2812</v>
      </c>
      <c r="E6018" t="s">
        <v>2814</v>
      </c>
      <c r="F6018" t="s">
        <v>16</v>
      </c>
      <c r="G6018" t="s">
        <v>24</v>
      </c>
      <c r="I6018" t="b">
        <v>0</v>
      </c>
      <c r="J6018" t="b">
        <v>0</v>
      </c>
      <c r="L6018" t="b">
        <v>0</v>
      </c>
      <c r="M6018" t="str">
        <f>HYPERLINK("https://arizona.app.box.com/file/389175342254")</f>
        <v>https://arizona.app.box.com/file/389175342254</v>
      </c>
      <c r="N6018" t="str">
        <f>HYPERLINK("https://arizona.app.box.com/file/386237891262")</f>
        <v>https://arizona.app.box.com/file/386237891262</v>
      </c>
    </row>
    <row r="6019" spans="1:25" x14ac:dyDescent="0.2">
      <c r="A6019">
        <v>1754</v>
      </c>
      <c r="B6019" t="s">
        <v>9993</v>
      </c>
      <c r="C6019" t="s">
        <v>18</v>
      </c>
      <c r="D6019" t="s">
        <v>663</v>
      </c>
      <c r="E6019" t="s">
        <v>664</v>
      </c>
      <c r="F6019" t="s">
        <v>78</v>
      </c>
      <c r="G6019" t="s">
        <v>17</v>
      </c>
      <c r="I6019" t="b">
        <v>0</v>
      </c>
      <c r="J6019" t="b">
        <v>0</v>
      </c>
      <c r="L6019" t="b">
        <v>0</v>
      </c>
      <c r="M6019" t="str">
        <f>HYPERLINK("https://arizona.app.box.com/file/389266248328")</f>
        <v>https://arizona.app.box.com/file/389266248328</v>
      </c>
      <c r="N6019" t="str">
        <f>HYPERLINK("https://arizona.app.box.com/file/389138391869")</f>
        <v>https://arizona.app.box.com/file/389138391869</v>
      </c>
      <c r="O6019" t="str">
        <f>HYPERLINK("https://arizona.app.box.com/file/389261561102")</f>
        <v>https://arizona.app.box.com/file/389261561102</v>
      </c>
    </row>
    <row r="6020" spans="1:25" x14ac:dyDescent="0.2">
      <c r="A6020">
        <v>1755</v>
      </c>
      <c r="B6020" t="s">
        <v>9993</v>
      </c>
      <c r="C6020" t="s">
        <v>18</v>
      </c>
      <c r="D6020" t="s">
        <v>9995</v>
      </c>
      <c r="E6020" t="s">
        <v>9996</v>
      </c>
      <c r="F6020" t="s">
        <v>78</v>
      </c>
      <c r="G6020" t="s">
        <v>17</v>
      </c>
      <c r="I6020" t="b">
        <v>0</v>
      </c>
      <c r="J6020" t="b">
        <v>0</v>
      </c>
      <c r="L6020" t="b">
        <v>0</v>
      </c>
      <c r="M6020" t="str">
        <f>HYPERLINK("https://arizona.app.box.com/file/389170037383")</f>
        <v>https://arizona.app.box.com/file/389170037383</v>
      </c>
      <c r="N6020" t="str">
        <f>HYPERLINK("https://arizona.app.box.com/file/389162092335")</f>
        <v>https://arizona.app.box.com/file/389162092335</v>
      </c>
    </row>
    <row r="6022" spans="1:25" x14ac:dyDescent="0.2">
      <c r="A6022" s="2">
        <v>5943</v>
      </c>
      <c r="B6022" s="2" t="s">
        <v>9997</v>
      </c>
      <c r="C6022" s="2" t="s">
        <v>13</v>
      </c>
      <c r="D6022" s="2" t="s">
        <v>9998</v>
      </c>
      <c r="E6022" s="2" t="s">
        <v>9999</v>
      </c>
      <c r="F6022" s="2" t="s">
        <v>16</v>
      </c>
      <c r="G6022" s="2" t="s">
        <v>17</v>
      </c>
      <c r="H6022" s="2"/>
      <c r="I6022" s="2"/>
      <c r="J6022" s="2"/>
      <c r="K6022" s="2"/>
      <c r="L6022" s="2"/>
      <c r="M6022" s="2"/>
      <c r="N6022" s="2"/>
      <c r="O6022" s="2"/>
      <c r="P6022" s="2"/>
      <c r="Q6022" s="2"/>
      <c r="R6022" s="2"/>
      <c r="S6022" s="2"/>
      <c r="T6022" s="2"/>
      <c r="U6022" s="2"/>
      <c r="V6022" s="2"/>
      <c r="W6022" s="2"/>
      <c r="X6022" s="2"/>
      <c r="Y6022" s="2"/>
    </row>
    <row r="6023" spans="1:25" x14ac:dyDescent="0.2">
      <c r="A6023">
        <v>5944</v>
      </c>
      <c r="B6023" t="s">
        <v>9997</v>
      </c>
      <c r="C6023" t="s">
        <v>18</v>
      </c>
      <c r="D6023" t="s">
        <v>9998</v>
      </c>
      <c r="E6023" t="s">
        <v>9999</v>
      </c>
      <c r="F6023" t="s">
        <v>16</v>
      </c>
      <c r="G6023" t="s">
        <v>17</v>
      </c>
      <c r="I6023" t="b">
        <v>1</v>
      </c>
      <c r="J6023" t="b">
        <v>1</v>
      </c>
      <c r="L6023" t="b">
        <v>1</v>
      </c>
      <c r="M6023" t="str">
        <f>HYPERLINK("https://arizona.app.box.com/file/389163356716")</f>
        <v>https://arizona.app.box.com/file/389163356716</v>
      </c>
      <c r="N6023" t="str">
        <f>HYPERLINK("https://arizona.app.box.com/file/389151199525")</f>
        <v>https://arizona.app.box.com/file/389151199525</v>
      </c>
    </row>
    <row r="6024" spans="1:25" x14ac:dyDescent="0.2">
      <c r="A6024">
        <v>5945</v>
      </c>
      <c r="B6024" t="s">
        <v>9997</v>
      </c>
      <c r="C6024" t="s">
        <v>18</v>
      </c>
      <c r="D6024" t="s">
        <v>9628</v>
      </c>
      <c r="E6024" t="s">
        <v>9629</v>
      </c>
      <c r="F6024" t="s">
        <v>16</v>
      </c>
      <c r="G6024" t="s">
        <v>17</v>
      </c>
      <c r="I6024" t="b">
        <v>0</v>
      </c>
      <c r="J6024" t="b">
        <v>0</v>
      </c>
      <c r="L6024" t="b">
        <v>0</v>
      </c>
      <c r="M6024" t="str">
        <f>HYPERLINK("https://arizona.app.box.com/file/389161159933")</f>
        <v>https://arizona.app.box.com/file/389161159933</v>
      </c>
    </row>
    <row r="6025" spans="1:25" x14ac:dyDescent="0.2">
      <c r="A6025">
        <v>5946</v>
      </c>
      <c r="B6025" t="s">
        <v>9997</v>
      </c>
      <c r="C6025" t="s">
        <v>18</v>
      </c>
      <c r="D6025" t="s">
        <v>10000</v>
      </c>
      <c r="E6025" t="s">
        <v>10001</v>
      </c>
      <c r="F6025" t="s">
        <v>16</v>
      </c>
      <c r="G6025" t="s">
        <v>17</v>
      </c>
      <c r="I6025" t="b">
        <v>0</v>
      </c>
      <c r="J6025" t="b">
        <v>0</v>
      </c>
      <c r="L6025" t="b">
        <v>0</v>
      </c>
      <c r="M6025" t="str">
        <f>HYPERLINK("https://arizona.app.box.com/file/386256874734")</f>
        <v>https://arizona.app.box.com/file/386256874734</v>
      </c>
      <c r="N6025" t="str">
        <f>HYPERLINK("https://arizona.app.box.com/file/389150444795")</f>
        <v>https://arizona.app.box.com/file/389150444795</v>
      </c>
    </row>
    <row r="6026" spans="1:25" x14ac:dyDescent="0.2">
      <c r="A6026">
        <v>5947</v>
      </c>
      <c r="B6026" t="s">
        <v>9997</v>
      </c>
      <c r="C6026" t="s">
        <v>18</v>
      </c>
      <c r="D6026" t="s">
        <v>10002</v>
      </c>
      <c r="E6026" t="s">
        <v>10003</v>
      </c>
      <c r="F6026" t="s">
        <v>10004</v>
      </c>
      <c r="G6026" t="s">
        <v>17</v>
      </c>
      <c r="I6026" t="b">
        <v>0</v>
      </c>
      <c r="J6026" t="b">
        <v>0</v>
      </c>
      <c r="L6026" t="b">
        <v>0</v>
      </c>
      <c r="M6026" t="str">
        <f>HYPERLINK("https://arizona.app.box.com/file/389164516782")</f>
        <v>https://arizona.app.box.com/file/389164516782</v>
      </c>
      <c r="N6026" t="str">
        <f>HYPERLINK("https://arizona.app.box.com/file/389160683181")</f>
        <v>https://arizona.app.box.com/file/389160683181</v>
      </c>
    </row>
    <row r="6027" spans="1:25" x14ac:dyDescent="0.2">
      <c r="A6027">
        <v>5948</v>
      </c>
      <c r="B6027" t="s">
        <v>9997</v>
      </c>
      <c r="C6027" t="s">
        <v>18</v>
      </c>
      <c r="D6027" t="s">
        <v>9630</v>
      </c>
      <c r="E6027" t="s">
        <v>9631</v>
      </c>
      <c r="F6027" t="s">
        <v>16</v>
      </c>
      <c r="G6027" t="s">
        <v>17</v>
      </c>
      <c r="I6027" t="b">
        <v>0</v>
      </c>
      <c r="J6027" t="b">
        <v>0</v>
      </c>
      <c r="L6027" t="b">
        <v>0</v>
      </c>
      <c r="M6027" t="str">
        <f>HYPERLINK("https://arizona.app.box.com/file/389151358014")</f>
        <v>https://arizona.app.box.com/file/389151358014</v>
      </c>
    </row>
    <row r="6029" spans="1:25" x14ac:dyDescent="0.2">
      <c r="A6029" s="2">
        <v>7322</v>
      </c>
      <c r="B6029" s="2" t="s">
        <v>10005</v>
      </c>
      <c r="C6029" s="2" t="s">
        <v>13</v>
      </c>
      <c r="D6029" s="2" t="s">
        <v>10006</v>
      </c>
      <c r="E6029" s="2" t="s">
        <v>10007</v>
      </c>
      <c r="F6029" s="2" t="s">
        <v>31</v>
      </c>
      <c r="G6029" s="2" t="s">
        <v>17</v>
      </c>
      <c r="H6029" s="2"/>
      <c r="I6029" s="2"/>
      <c r="J6029" s="2"/>
      <c r="K6029" s="2"/>
      <c r="L6029" s="2"/>
      <c r="M6029" s="2"/>
      <c r="N6029" s="2"/>
      <c r="O6029" s="2"/>
      <c r="P6029" s="2"/>
      <c r="Q6029" s="2"/>
      <c r="R6029" s="2"/>
      <c r="S6029" s="2"/>
      <c r="T6029" s="2"/>
      <c r="U6029" s="2"/>
      <c r="V6029" s="2"/>
      <c r="W6029" s="2"/>
      <c r="X6029" s="2"/>
      <c r="Y6029" s="2"/>
    </row>
    <row r="6030" spans="1:25" x14ac:dyDescent="0.2">
      <c r="A6030">
        <v>7323</v>
      </c>
      <c r="B6030" t="s">
        <v>10005</v>
      </c>
      <c r="C6030" t="s">
        <v>18</v>
      </c>
      <c r="D6030" t="s">
        <v>10006</v>
      </c>
      <c r="E6030" t="s">
        <v>455</v>
      </c>
      <c r="F6030" t="s">
        <v>31</v>
      </c>
      <c r="G6030" t="s">
        <v>17</v>
      </c>
      <c r="I6030" t="b">
        <v>1</v>
      </c>
      <c r="J6030" t="b">
        <v>1</v>
      </c>
      <c r="L6030" t="b">
        <v>1</v>
      </c>
      <c r="M6030" t="str">
        <f>HYPERLINK("https://arizona.app.box.com/file/389264018067")</f>
        <v>https://arizona.app.box.com/file/389264018067</v>
      </c>
      <c r="N6030" t="str">
        <f>HYPERLINK("https://arizona.app.box.com/file/389161675654")</f>
        <v>https://arizona.app.box.com/file/389161675654</v>
      </c>
    </row>
    <row r="6031" spans="1:25" x14ac:dyDescent="0.2">
      <c r="A6031">
        <v>7324</v>
      </c>
      <c r="B6031" t="s">
        <v>10005</v>
      </c>
      <c r="C6031" t="s">
        <v>18</v>
      </c>
      <c r="D6031" t="s">
        <v>10008</v>
      </c>
      <c r="E6031" t="s">
        <v>10009</v>
      </c>
      <c r="F6031" t="s">
        <v>31</v>
      </c>
      <c r="G6031" t="s">
        <v>17</v>
      </c>
      <c r="I6031" t="b">
        <v>1</v>
      </c>
      <c r="J6031" t="b">
        <v>1</v>
      </c>
      <c r="L6031" t="b">
        <v>1</v>
      </c>
      <c r="M6031" t="str">
        <f>HYPERLINK("https://arizona.app.box.com/file/389162897468")</f>
        <v>https://arizona.app.box.com/file/389162897468</v>
      </c>
    </row>
    <row r="6032" spans="1:25" x14ac:dyDescent="0.2">
      <c r="A6032">
        <v>7325</v>
      </c>
      <c r="B6032" t="s">
        <v>10005</v>
      </c>
      <c r="C6032" t="s">
        <v>18</v>
      </c>
      <c r="D6032" t="s">
        <v>6025</v>
      </c>
      <c r="E6032" t="s">
        <v>6026</v>
      </c>
      <c r="F6032" t="s">
        <v>31</v>
      </c>
      <c r="G6032" t="s">
        <v>17</v>
      </c>
      <c r="I6032" t="b">
        <v>0</v>
      </c>
      <c r="J6032" t="b">
        <v>0</v>
      </c>
      <c r="L6032" t="b">
        <v>0</v>
      </c>
    </row>
    <row r="6033" spans="1:25" x14ac:dyDescent="0.2">
      <c r="A6033">
        <v>7326</v>
      </c>
      <c r="B6033" t="s">
        <v>10005</v>
      </c>
      <c r="C6033" t="s">
        <v>18</v>
      </c>
      <c r="D6033" t="s">
        <v>6027</v>
      </c>
      <c r="E6033" t="s">
        <v>6028</v>
      </c>
      <c r="F6033" t="s">
        <v>31</v>
      </c>
      <c r="G6033" t="s">
        <v>17</v>
      </c>
      <c r="I6033" t="b">
        <v>0</v>
      </c>
      <c r="J6033" t="b">
        <v>0</v>
      </c>
      <c r="L6033" t="b">
        <v>0</v>
      </c>
    </row>
    <row r="6034" spans="1:25" x14ac:dyDescent="0.2">
      <c r="A6034">
        <v>7327</v>
      </c>
      <c r="B6034" t="s">
        <v>10005</v>
      </c>
      <c r="C6034" t="s">
        <v>18</v>
      </c>
      <c r="D6034" t="s">
        <v>10010</v>
      </c>
      <c r="E6034" t="s">
        <v>10011</v>
      </c>
      <c r="F6034" t="s">
        <v>31</v>
      </c>
      <c r="G6034" t="s">
        <v>17</v>
      </c>
      <c r="I6034" t="b">
        <v>0</v>
      </c>
      <c r="J6034" t="b">
        <v>0</v>
      </c>
      <c r="L6034" t="b">
        <v>0</v>
      </c>
      <c r="M6034" t="str">
        <f>HYPERLINK("https://arizona.app.box.com/file/389160833645")</f>
        <v>https://arizona.app.box.com/file/389160833645</v>
      </c>
      <c r="N6034" t="str">
        <f>HYPERLINK("https://arizona.app.box.com/file/389164794937")</f>
        <v>https://arizona.app.box.com/file/389164794937</v>
      </c>
    </row>
    <row r="6036" spans="1:25" x14ac:dyDescent="0.2">
      <c r="A6036" s="2">
        <v>1813</v>
      </c>
      <c r="B6036" s="2" t="s">
        <v>10012</v>
      </c>
      <c r="C6036" s="2" t="s">
        <v>13</v>
      </c>
      <c r="D6036" s="2" t="s">
        <v>10013</v>
      </c>
      <c r="E6036" s="2" t="s">
        <v>10014</v>
      </c>
      <c r="F6036" s="2" t="s">
        <v>78</v>
      </c>
      <c r="G6036" s="2" t="s">
        <v>345</v>
      </c>
      <c r="H6036" s="2"/>
      <c r="I6036" s="2"/>
      <c r="J6036" s="2"/>
      <c r="K6036" s="2"/>
      <c r="L6036" s="2"/>
      <c r="M6036" s="2"/>
      <c r="N6036" s="2"/>
      <c r="O6036" s="2"/>
      <c r="P6036" s="2"/>
      <c r="Q6036" s="2"/>
      <c r="R6036" s="2"/>
      <c r="S6036" s="2"/>
      <c r="T6036" s="2"/>
      <c r="U6036" s="2"/>
      <c r="V6036" s="2"/>
      <c r="W6036" s="2"/>
      <c r="X6036" s="2"/>
      <c r="Y6036" s="2"/>
    </row>
    <row r="6037" spans="1:25" x14ac:dyDescent="0.2">
      <c r="A6037">
        <v>1814</v>
      </c>
      <c r="B6037" t="s">
        <v>10012</v>
      </c>
      <c r="C6037" t="s">
        <v>18</v>
      </c>
      <c r="D6037" t="s">
        <v>10013</v>
      </c>
      <c r="E6037" t="s">
        <v>10014</v>
      </c>
      <c r="F6037" t="s">
        <v>78</v>
      </c>
      <c r="G6037" t="s">
        <v>345</v>
      </c>
      <c r="I6037" t="b">
        <v>1</v>
      </c>
      <c r="J6037" t="b">
        <v>1</v>
      </c>
      <c r="L6037" t="b">
        <v>1</v>
      </c>
      <c r="M6037" t="str">
        <f>HYPERLINK("https://arizona.app.box.com/file/386241338441")</f>
        <v>https://arizona.app.box.com/file/386241338441</v>
      </c>
      <c r="N6037" t="str">
        <f>HYPERLINK("https://arizona.app.box.com/file/386243683469")</f>
        <v>https://arizona.app.box.com/file/386243683469</v>
      </c>
    </row>
    <row r="6038" spans="1:25" x14ac:dyDescent="0.2">
      <c r="A6038">
        <v>1815</v>
      </c>
      <c r="B6038" t="s">
        <v>10012</v>
      </c>
      <c r="C6038" t="s">
        <v>18</v>
      </c>
      <c r="D6038" t="s">
        <v>10015</v>
      </c>
      <c r="E6038" t="s">
        <v>10016</v>
      </c>
      <c r="F6038" t="s">
        <v>78</v>
      </c>
      <c r="G6038" t="s">
        <v>345</v>
      </c>
      <c r="I6038" t="b">
        <v>0</v>
      </c>
      <c r="J6038" t="b">
        <v>0</v>
      </c>
      <c r="L6038" t="b">
        <v>0</v>
      </c>
      <c r="M6038" t="str">
        <f>HYPERLINK("https://arizona.app.box.com/file/386217721621")</f>
        <v>https://arizona.app.box.com/file/386217721621</v>
      </c>
      <c r="N6038" t="str">
        <f>HYPERLINK("https://arizona.app.box.com/file/386243784530")</f>
        <v>https://arizona.app.box.com/file/386243784530</v>
      </c>
    </row>
    <row r="6039" spans="1:25" x14ac:dyDescent="0.2">
      <c r="A6039">
        <v>1816</v>
      </c>
      <c r="B6039" t="s">
        <v>10012</v>
      </c>
      <c r="C6039" t="s">
        <v>18</v>
      </c>
      <c r="D6039" t="s">
        <v>10017</v>
      </c>
      <c r="E6039" t="s">
        <v>10018</v>
      </c>
      <c r="F6039" t="s">
        <v>1077</v>
      </c>
      <c r="G6039" t="s">
        <v>345</v>
      </c>
      <c r="I6039" t="b">
        <v>0</v>
      </c>
      <c r="J6039" t="b">
        <v>0</v>
      </c>
      <c r="L6039" t="b">
        <v>0</v>
      </c>
    </row>
    <row r="6040" spans="1:25" x14ac:dyDescent="0.2">
      <c r="A6040">
        <v>1817</v>
      </c>
      <c r="B6040" t="s">
        <v>10012</v>
      </c>
      <c r="C6040" t="s">
        <v>18</v>
      </c>
      <c r="D6040" t="s">
        <v>10019</v>
      </c>
      <c r="E6040" t="s">
        <v>5552</v>
      </c>
      <c r="F6040" t="s">
        <v>174</v>
      </c>
      <c r="G6040" t="s">
        <v>345</v>
      </c>
      <c r="I6040" t="b">
        <v>0</v>
      </c>
      <c r="J6040" t="b">
        <v>0</v>
      </c>
      <c r="L6040" t="b">
        <v>0</v>
      </c>
      <c r="M6040" t="str">
        <f>HYPERLINK("https://arizona.app.box.com/file/389166094275")</f>
        <v>https://arizona.app.box.com/file/389166094275</v>
      </c>
      <c r="N6040" t="str">
        <f>HYPERLINK("https://arizona.app.box.com/file/386237336258")</f>
        <v>https://arizona.app.box.com/file/386237336258</v>
      </c>
    </row>
    <row r="6041" spans="1:25" x14ac:dyDescent="0.2">
      <c r="A6041">
        <v>1818</v>
      </c>
      <c r="B6041" t="s">
        <v>10012</v>
      </c>
      <c r="C6041" t="s">
        <v>18</v>
      </c>
      <c r="D6041" t="s">
        <v>10020</v>
      </c>
      <c r="E6041" t="s">
        <v>10021</v>
      </c>
      <c r="F6041" t="s">
        <v>1153</v>
      </c>
      <c r="G6041" t="s">
        <v>345</v>
      </c>
      <c r="I6041" t="b">
        <v>0</v>
      </c>
      <c r="J6041" t="b">
        <v>0</v>
      </c>
      <c r="L6041" t="b">
        <v>0</v>
      </c>
    </row>
    <row r="6043" spans="1:25" x14ac:dyDescent="0.2">
      <c r="A6043" s="2">
        <v>7371</v>
      </c>
      <c r="B6043" s="2" t="s">
        <v>10022</v>
      </c>
      <c r="C6043" s="2" t="s">
        <v>13</v>
      </c>
      <c r="D6043" s="2" t="s">
        <v>10023</v>
      </c>
      <c r="E6043" s="2" t="s">
        <v>6229</v>
      </c>
      <c r="F6043" s="2" t="s">
        <v>1010</v>
      </c>
      <c r="G6043" s="2" t="s">
        <v>252</v>
      </c>
      <c r="H6043" s="2"/>
      <c r="I6043" s="2"/>
      <c r="J6043" s="2"/>
      <c r="K6043" s="2"/>
      <c r="L6043" s="2"/>
      <c r="M6043" s="2"/>
      <c r="N6043" s="2"/>
      <c r="O6043" s="2"/>
      <c r="P6043" s="2"/>
      <c r="Q6043" s="2"/>
      <c r="R6043" s="2"/>
      <c r="S6043" s="2"/>
      <c r="T6043" s="2"/>
      <c r="U6043" s="2"/>
      <c r="V6043" s="2"/>
      <c r="W6043" s="2"/>
      <c r="X6043" s="2"/>
      <c r="Y6043" s="2"/>
    </row>
    <row r="6044" spans="1:25" x14ac:dyDescent="0.2">
      <c r="A6044">
        <v>7372</v>
      </c>
      <c r="B6044" t="s">
        <v>10022</v>
      </c>
      <c r="C6044" t="s">
        <v>18</v>
      </c>
      <c r="D6044" t="s">
        <v>10023</v>
      </c>
      <c r="E6044" t="s">
        <v>6229</v>
      </c>
      <c r="F6044" t="s">
        <v>1010</v>
      </c>
      <c r="G6044" t="s">
        <v>252</v>
      </c>
      <c r="I6044" t="b">
        <v>1</v>
      </c>
      <c r="J6044" t="b">
        <v>1</v>
      </c>
      <c r="L6044" t="b">
        <v>1</v>
      </c>
      <c r="M6044" t="str">
        <f>HYPERLINK("https://arizona.app.box.com/file/386242630609")</f>
        <v>https://arizona.app.box.com/file/386242630609</v>
      </c>
      <c r="N6044" t="str">
        <f>HYPERLINK("https://arizona.app.box.com/file/386217960486")</f>
        <v>https://arizona.app.box.com/file/386217960486</v>
      </c>
    </row>
    <row r="6045" spans="1:25" x14ac:dyDescent="0.2">
      <c r="A6045">
        <v>7373</v>
      </c>
      <c r="B6045" t="s">
        <v>10022</v>
      </c>
      <c r="C6045" t="s">
        <v>18</v>
      </c>
      <c r="D6045" t="s">
        <v>1549</v>
      </c>
      <c r="E6045" t="s">
        <v>1550</v>
      </c>
      <c r="F6045" t="s">
        <v>205</v>
      </c>
      <c r="G6045" t="s">
        <v>252</v>
      </c>
      <c r="I6045" t="b">
        <v>0</v>
      </c>
      <c r="J6045" t="b">
        <v>0</v>
      </c>
      <c r="L6045" t="b">
        <v>0</v>
      </c>
      <c r="M6045" t="str">
        <f>HYPERLINK("https://arizona.app.box.com/file/386248292743")</f>
        <v>https://arizona.app.box.com/file/386248292743</v>
      </c>
    </row>
    <row r="6046" spans="1:25" x14ac:dyDescent="0.2">
      <c r="A6046">
        <v>7374</v>
      </c>
      <c r="B6046" t="s">
        <v>10022</v>
      </c>
      <c r="C6046" t="s">
        <v>18</v>
      </c>
      <c r="D6046" t="s">
        <v>3795</v>
      </c>
      <c r="E6046" t="s">
        <v>195</v>
      </c>
      <c r="F6046" t="s">
        <v>654</v>
      </c>
      <c r="G6046" t="s">
        <v>252</v>
      </c>
      <c r="I6046" t="b">
        <v>0</v>
      </c>
      <c r="J6046" t="b">
        <v>0</v>
      </c>
      <c r="L6046" t="b">
        <v>0</v>
      </c>
      <c r="M6046" t="str">
        <f>HYPERLINK("https://arizona.app.box.com/file/389266081029")</f>
        <v>https://arizona.app.box.com/file/389266081029</v>
      </c>
      <c r="N6046" t="str">
        <f>HYPERLINK("https://arizona.app.box.com/file/389162098174")</f>
        <v>https://arizona.app.box.com/file/389162098174</v>
      </c>
    </row>
    <row r="6047" spans="1:25" x14ac:dyDescent="0.2">
      <c r="A6047">
        <v>7375</v>
      </c>
      <c r="B6047" t="s">
        <v>10022</v>
      </c>
      <c r="C6047" t="s">
        <v>18</v>
      </c>
      <c r="D6047" t="s">
        <v>3799</v>
      </c>
      <c r="E6047" t="s">
        <v>3800</v>
      </c>
      <c r="F6047" t="s">
        <v>654</v>
      </c>
      <c r="G6047" t="s">
        <v>252</v>
      </c>
      <c r="I6047" t="b">
        <v>0</v>
      </c>
      <c r="J6047" t="b">
        <v>0</v>
      </c>
      <c r="L6047" t="b">
        <v>0</v>
      </c>
      <c r="M6047" t="str">
        <f>HYPERLINK("https://arizona.app.box.com/file/389267856819")</f>
        <v>https://arizona.app.box.com/file/389267856819</v>
      </c>
      <c r="N6047" t="str">
        <f>HYPERLINK("https://arizona.app.box.com/file/389161382784")</f>
        <v>https://arizona.app.box.com/file/389161382784</v>
      </c>
    </row>
    <row r="6048" spans="1:25" x14ac:dyDescent="0.2">
      <c r="A6048">
        <v>7376</v>
      </c>
      <c r="B6048" t="s">
        <v>10022</v>
      </c>
      <c r="C6048" t="s">
        <v>18</v>
      </c>
      <c r="D6048" t="s">
        <v>4435</v>
      </c>
      <c r="E6048" t="s">
        <v>4436</v>
      </c>
      <c r="F6048" t="s">
        <v>316</v>
      </c>
      <c r="G6048" t="s">
        <v>252</v>
      </c>
      <c r="I6048" t="b">
        <v>0</v>
      </c>
      <c r="J6048" t="b">
        <v>0</v>
      </c>
      <c r="L6048" t="b">
        <v>0</v>
      </c>
      <c r="M6048" t="str">
        <f>HYPERLINK("https://arizona.app.box.com/file/386260269266")</f>
        <v>https://arizona.app.box.com/file/386260269266</v>
      </c>
      <c r="N6048" t="str">
        <f>HYPERLINK("https://arizona.app.box.com/file/386245253679")</f>
        <v>https://arizona.app.box.com/file/386245253679</v>
      </c>
    </row>
    <row r="6050" spans="1:25" x14ac:dyDescent="0.2">
      <c r="A6050" s="2">
        <v>7595</v>
      </c>
      <c r="B6050" s="2" t="s">
        <v>10024</v>
      </c>
      <c r="C6050" s="2" t="s">
        <v>13</v>
      </c>
      <c r="D6050" s="2" t="s">
        <v>8877</v>
      </c>
      <c r="E6050" s="2" t="s">
        <v>10025</v>
      </c>
      <c r="F6050" s="2" t="s">
        <v>174</v>
      </c>
      <c r="G6050" s="2" t="s">
        <v>62</v>
      </c>
      <c r="H6050" s="2"/>
      <c r="I6050" s="2"/>
      <c r="J6050" s="2"/>
      <c r="K6050" s="2"/>
      <c r="L6050" s="2"/>
      <c r="M6050" s="2"/>
      <c r="N6050" s="2"/>
      <c r="O6050" s="2"/>
      <c r="P6050" s="2"/>
      <c r="Q6050" s="2"/>
      <c r="R6050" s="2"/>
      <c r="S6050" s="2"/>
      <c r="T6050" s="2"/>
      <c r="U6050" s="2"/>
      <c r="V6050" s="2"/>
      <c r="W6050" s="2"/>
      <c r="X6050" s="2"/>
      <c r="Y6050" s="2"/>
    </row>
    <row r="6051" spans="1:25" x14ac:dyDescent="0.2">
      <c r="A6051">
        <v>7596</v>
      </c>
      <c r="B6051" t="s">
        <v>10024</v>
      </c>
      <c r="C6051" t="s">
        <v>18</v>
      </c>
      <c r="D6051" t="s">
        <v>8877</v>
      </c>
      <c r="E6051" t="s">
        <v>3391</v>
      </c>
      <c r="F6051" t="s">
        <v>174</v>
      </c>
      <c r="G6051" t="s">
        <v>62</v>
      </c>
      <c r="I6051" t="b">
        <v>1</v>
      </c>
      <c r="J6051" t="b">
        <v>1</v>
      </c>
      <c r="L6051" t="b">
        <v>1</v>
      </c>
      <c r="M6051" t="str">
        <f>HYPERLINK("https://arizona.app.box.com/file/389263049502")</f>
        <v>https://arizona.app.box.com/file/389263049502</v>
      </c>
      <c r="N6051" t="str">
        <f>HYPERLINK("https://arizona.app.box.com/file/389151800551")</f>
        <v>https://arizona.app.box.com/file/389151800551</v>
      </c>
    </row>
    <row r="6052" spans="1:25" x14ac:dyDescent="0.2">
      <c r="A6052">
        <v>7597</v>
      </c>
      <c r="B6052" t="s">
        <v>10024</v>
      </c>
      <c r="C6052" t="s">
        <v>18</v>
      </c>
      <c r="D6052" t="s">
        <v>10026</v>
      </c>
      <c r="E6052" t="s">
        <v>301</v>
      </c>
      <c r="F6052" t="s">
        <v>174</v>
      </c>
      <c r="G6052" t="s">
        <v>62</v>
      </c>
      <c r="I6052" t="b">
        <v>1</v>
      </c>
      <c r="J6052" t="b">
        <v>1</v>
      </c>
      <c r="L6052" t="b">
        <v>1</v>
      </c>
      <c r="M6052" t="str">
        <f>HYPERLINK("https://arizona.app.box.com/file/386249151693")</f>
        <v>https://arizona.app.box.com/file/386249151693</v>
      </c>
    </row>
    <row r="6053" spans="1:25" x14ac:dyDescent="0.2">
      <c r="A6053">
        <v>7598</v>
      </c>
      <c r="B6053" t="s">
        <v>10024</v>
      </c>
      <c r="C6053" t="s">
        <v>18</v>
      </c>
      <c r="D6053" t="s">
        <v>552</v>
      </c>
      <c r="E6053" t="s">
        <v>553</v>
      </c>
      <c r="F6053" t="s">
        <v>174</v>
      </c>
      <c r="G6053" t="s">
        <v>17</v>
      </c>
      <c r="I6053" t="b">
        <v>0</v>
      </c>
      <c r="J6053" t="b">
        <v>0</v>
      </c>
      <c r="L6053" t="b">
        <v>0</v>
      </c>
      <c r="M6053" t="str">
        <f>HYPERLINK("https://arizona.app.box.com/file/389266797751")</f>
        <v>https://arizona.app.box.com/file/389266797751</v>
      </c>
    </row>
    <row r="6054" spans="1:25" x14ac:dyDescent="0.2">
      <c r="A6054">
        <v>7599</v>
      </c>
      <c r="B6054" t="s">
        <v>10024</v>
      </c>
      <c r="C6054" t="s">
        <v>18</v>
      </c>
      <c r="D6054" t="s">
        <v>2607</v>
      </c>
      <c r="E6054" t="s">
        <v>2608</v>
      </c>
      <c r="F6054" t="s">
        <v>78</v>
      </c>
      <c r="G6054" t="s">
        <v>62</v>
      </c>
      <c r="I6054" t="b">
        <v>0</v>
      </c>
      <c r="J6054" t="b">
        <v>0</v>
      </c>
      <c r="L6054" t="b">
        <v>0</v>
      </c>
      <c r="M6054" t="str">
        <f>HYPERLINK("https://arizona.app.box.com/file/389256647401")</f>
        <v>https://arizona.app.box.com/file/389256647401</v>
      </c>
      <c r="N6054" t="str">
        <f>HYPERLINK("https://arizona.app.box.com/file/389162626517")</f>
        <v>https://arizona.app.box.com/file/389162626517</v>
      </c>
    </row>
    <row r="6055" spans="1:25" x14ac:dyDescent="0.2">
      <c r="A6055">
        <v>7600</v>
      </c>
      <c r="B6055" t="s">
        <v>10024</v>
      </c>
      <c r="C6055" t="s">
        <v>18</v>
      </c>
      <c r="D6055" t="s">
        <v>2604</v>
      </c>
      <c r="E6055" t="s">
        <v>2605</v>
      </c>
      <c r="F6055" t="s">
        <v>78</v>
      </c>
      <c r="G6055" t="s">
        <v>88</v>
      </c>
      <c r="I6055" t="b">
        <v>0</v>
      </c>
      <c r="J6055" t="b">
        <v>0</v>
      </c>
      <c r="L6055" t="b">
        <v>0</v>
      </c>
      <c r="M6055" t="str">
        <f>HYPERLINK("https://arizona.app.box.com/file/389172393202")</f>
        <v>https://arizona.app.box.com/file/389172393202</v>
      </c>
    </row>
    <row r="6057" spans="1:25" x14ac:dyDescent="0.2">
      <c r="A6057" s="2">
        <v>6223</v>
      </c>
      <c r="B6057" s="2" t="s">
        <v>10027</v>
      </c>
      <c r="C6057" s="2" t="s">
        <v>13</v>
      </c>
      <c r="D6057" s="2" t="s">
        <v>4872</v>
      </c>
      <c r="E6057" s="2" t="s">
        <v>4873</v>
      </c>
      <c r="F6057" s="2" t="s">
        <v>159</v>
      </c>
      <c r="G6057" s="2" t="s">
        <v>345</v>
      </c>
      <c r="H6057" s="2"/>
      <c r="I6057" s="2"/>
      <c r="J6057" s="2"/>
      <c r="K6057" s="2"/>
      <c r="L6057" s="2"/>
      <c r="M6057" s="2"/>
      <c r="N6057" s="2"/>
      <c r="O6057" s="2"/>
      <c r="P6057" s="2"/>
      <c r="Q6057" s="2"/>
      <c r="R6057" s="2"/>
      <c r="S6057" s="2"/>
      <c r="T6057" s="2"/>
      <c r="U6057" s="2"/>
      <c r="V6057" s="2"/>
      <c r="W6057" s="2"/>
      <c r="X6057" s="2"/>
      <c r="Y6057" s="2"/>
    </row>
    <row r="6058" spans="1:25" x14ac:dyDescent="0.2">
      <c r="A6058">
        <v>6224</v>
      </c>
      <c r="B6058" t="s">
        <v>10027</v>
      </c>
      <c r="C6058" t="s">
        <v>18</v>
      </c>
      <c r="D6058" t="s">
        <v>4872</v>
      </c>
      <c r="E6058" t="s">
        <v>4873</v>
      </c>
      <c r="F6058" t="s">
        <v>159</v>
      </c>
      <c r="G6058" t="s">
        <v>345</v>
      </c>
      <c r="I6058" t="b">
        <v>1</v>
      </c>
      <c r="J6058" t="b">
        <v>1</v>
      </c>
      <c r="L6058" t="b">
        <v>1</v>
      </c>
      <c r="M6058" t="str">
        <f>HYPERLINK("https://arizona.app.box.com/file/386217707182")</f>
        <v>https://arizona.app.box.com/file/386217707182</v>
      </c>
      <c r="N6058" t="str">
        <f>HYPERLINK("https://arizona.app.box.com/file/386227815721")</f>
        <v>https://arizona.app.box.com/file/386227815721</v>
      </c>
    </row>
    <row r="6059" spans="1:25" x14ac:dyDescent="0.2">
      <c r="A6059">
        <v>6225</v>
      </c>
      <c r="B6059" t="s">
        <v>10027</v>
      </c>
      <c r="C6059" t="s">
        <v>18</v>
      </c>
      <c r="D6059" t="s">
        <v>8633</v>
      </c>
      <c r="E6059" t="s">
        <v>3695</v>
      </c>
      <c r="F6059" t="s">
        <v>159</v>
      </c>
      <c r="G6059" t="s">
        <v>24</v>
      </c>
      <c r="I6059" t="b">
        <v>0</v>
      </c>
      <c r="J6059" t="b">
        <v>0</v>
      </c>
      <c r="L6059" t="b">
        <v>0</v>
      </c>
    </row>
    <row r="6060" spans="1:25" x14ac:dyDescent="0.2">
      <c r="A6060">
        <v>6226</v>
      </c>
      <c r="B6060" t="s">
        <v>10027</v>
      </c>
      <c r="C6060" t="s">
        <v>18</v>
      </c>
      <c r="D6060" t="s">
        <v>2766</v>
      </c>
      <c r="E6060" t="s">
        <v>2767</v>
      </c>
      <c r="F6060" t="s">
        <v>151</v>
      </c>
      <c r="G6060" t="s">
        <v>24</v>
      </c>
      <c r="I6060" t="b">
        <v>0</v>
      </c>
      <c r="J6060" t="b">
        <v>0</v>
      </c>
      <c r="L6060" t="b">
        <v>0</v>
      </c>
      <c r="M6060" t="str">
        <f>HYPERLINK("https://arizona.app.box.com/file/389268219925")</f>
        <v>https://arizona.app.box.com/file/389268219925</v>
      </c>
      <c r="N6060" t="str">
        <f>HYPERLINK("https://arizona.app.box.com/file/389153062942")</f>
        <v>https://arizona.app.box.com/file/389153062942</v>
      </c>
      <c r="O6060" t="str">
        <f>HYPERLINK("https://arizona.app.box.com/file/389263746357")</f>
        <v>https://arizona.app.box.com/file/389263746357</v>
      </c>
    </row>
    <row r="6061" spans="1:25" x14ac:dyDescent="0.2">
      <c r="A6061">
        <v>6227</v>
      </c>
      <c r="B6061" t="s">
        <v>10027</v>
      </c>
      <c r="C6061" t="s">
        <v>18</v>
      </c>
      <c r="D6061" t="s">
        <v>10028</v>
      </c>
      <c r="E6061" t="s">
        <v>10029</v>
      </c>
      <c r="F6061" t="s">
        <v>82</v>
      </c>
      <c r="G6061" t="s">
        <v>345</v>
      </c>
      <c r="I6061" t="b">
        <v>0</v>
      </c>
      <c r="J6061" t="b">
        <v>0</v>
      </c>
      <c r="L6061" t="b">
        <v>0</v>
      </c>
    </row>
    <row r="6062" spans="1:25" x14ac:dyDescent="0.2">
      <c r="A6062">
        <v>6228</v>
      </c>
      <c r="B6062" t="s">
        <v>10027</v>
      </c>
      <c r="C6062" t="s">
        <v>18</v>
      </c>
      <c r="D6062" t="s">
        <v>10030</v>
      </c>
      <c r="E6062" t="s">
        <v>10031</v>
      </c>
      <c r="F6062" t="s">
        <v>1837</v>
      </c>
      <c r="G6062" t="s">
        <v>345</v>
      </c>
      <c r="I6062" t="b">
        <v>0</v>
      </c>
      <c r="J6062" t="b">
        <v>0</v>
      </c>
      <c r="L6062" t="b">
        <v>0</v>
      </c>
      <c r="M6062" t="str">
        <f>HYPERLINK("https://arizona.app.box.com/file/386243917171")</f>
        <v>https://arizona.app.box.com/file/386243917171</v>
      </c>
      <c r="N6062" t="str">
        <f>HYPERLINK("https://arizona.app.box.com/file/386257044163")</f>
        <v>https://arizona.app.box.com/file/386257044163</v>
      </c>
    </row>
    <row r="6064" spans="1:25" x14ac:dyDescent="0.2">
      <c r="A6064" s="2">
        <v>6734</v>
      </c>
      <c r="B6064" s="2" t="s">
        <v>10032</v>
      </c>
      <c r="C6064" s="2" t="s">
        <v>13</v>
      </c>
      <c r="D6064" s="2" t="s">
        <v>10033</v>
      </c>
      <c r="E6064" s="2" t="s">
        <v>10034</v>
      </c>
      <c r="F6064" s="2" t="s">
        <v>151</v>
      </c>
      <c r="G6064" s="2" t="s">
        <v>24</v>
      </c>
      <c r="H6064" s="2"/>
      <c r="I6064" s="2"/>
      <c r="J6064" s="2"/>
      <c r="K6064" s="2"/>
      <c r="L6064" s="2"/>
      <c r="M6064" s="2"/>
      <c r="N6064" s="2"/>
      <c r="O6064" s="2"/>
      <c r="P6064" s="2"/>
      <c r="Q6064" s="2"/>
      <c r="R6064" s="2"/>
      <c r="S6064" s="2"/>
      <c r="T6064" s="2"/>
      <c r="U6064" s="2"/>
      <c r="V6064" s="2"/>
      <c r="W6064" s="2"/>
      <c r="X6064" s="2"/>
      <c r="Y6064" s="2"/>
    </row>
    <row r="6065" spans="1:25" x14ac:dyDescent="0.2">
      <c r="A6065">
        <v>6735</v>
      </c>
      <c r="B6065" t="s">
        <v>10032</v>
      </c>
      <c r="C6065" t="s">
        <v>18</v>
      </c>
      <c r="D6065" t="s">
        <v>10033</v>
      </c>
      <c r="E6065" t="s">
        <v>10035</v>
      </c>
      <c r="F6065" t="s">
        <v>1898</v>
      </c>
      <c r="G6065" t="s">
        <v>24</v>
      </c>
      <c r="I6065" t="b">
        <v>1</v>
      </c>
      <c r="J6065" t="b">
        <v>1</v>
      </c>
      <c r="L6065" t="b">
        <v>1</v>
      </c>
      <c r="M6065" t="str">
        <f>HYPERLINK("https://arizona.app.box.com/file/386240395653")</f>
        <v>https://arizona.app.box.com/file/386240395653</v>
      </c>
      <c r="N6065" t="str">
        <f>HYPERLINK("https://arizona.app.box.com/file/386240018932")</f>
        <v>https://arizona.app.box.com/file/386240018932</v>
      </c>
      <c r="O6065" t="str">
        <f>HYPERLINK("https://arizona.app.box.com/file/386212391436")</f>
        <v>https://arizona.app.box.com/file/386212391436</v>
      </c>
    </row>
    <row r="6066" spans="1:25" x14ac:dyDescent="0.2">
      <c r="A6066">
        <v>6736</v>
      </c>
      <c r="B6066" t="s">
        <v>10032</v>
      </c>
      <c r="C6066" t="s">
        <v>18</v>
      </c>
      <c r="D6066" t="s">
        <v>10036</v>
      </c>
      <c r="E6066" t="s">
        <v>10037</v>
      </c>
      <c r="F6066" t="s">
        <v>151</v>
      </c>
      <c r="G6066" t="s">
        <v>130</v>
      </c>
      <c r="I6066" t="b">
        <v>0</v>
      </c>
      <c r="J6066" t="b">
        <v>0</v>
      </c>
      <c r="L6066" t="b">
        <v>0</v>
      </c>
    </row>
    <row r="6067" spans="1:25" x14ac:dyDescent="0.2">
      <c r="A6067">
        <v>6737</v>
      </c>
      <c r="B6067" t="s">
        <v>10032</v>
      </c>
      <c r="C6067" t="s">
        <v>18</v>
      </c>
      <c r="D6067" t="s">
        <v>2463</v>
      </c>
      <c r="E6067" t="s">
        <v>2464</v>
      </c>
      <c r="F6067" t="s">
        <v>151</v>
      </c>
      <c r="G6067" t="s">
        <v>24</v>
      </c>
      <c r="I6067" t="b">
        <v>0</v>
      </c>
      <c r="J6067" t="b">
        <v>0</v>
      </c>
      <c r="L6067" t="b">
        <v>0</v>
      </c>
      <c r="M6067" t="str">
        <f>HYPERLINK("https://arizona.app.box.com/file/386240672106")</f>
        <v>https://arizona.app.box.com/file/386240672106</v>
      </c>
      <c r="N6067" t="str">
        <f>HYPERLINK("https://arizona.app.box.com/file/386243332477")</f>
        <v>https://arizona.app.box.com/file/386243332477</v>
      </c>
    </row>
    <row r="6068" spans="1:25" x14ac:dyDescent="0.2">
      <c r="A6068">
        <v>6738</v>
      </c>
      <c r="B6068" t="s">
        <v>10032</v>
      </c>
      <c r="C6068" t="s">
        <v>18</v>
      </c>
      <c r="D6068" t="s">
        <v>5087</v>
      </c>
      <c r="E6068" t="s">
        <v>5088</v>
      </c>
      <c r="F6068" t="s">
        <v>151</v>
      </c>
      <c r="G6068" t="s">
        <v>24</v>
      </c>
      <c r="I6068" t="b">
        <v>0</v>
      </c>
      <c r="J6068" t="b">
        <v>0</v>
      </c>
      <c r="L6068" t="b">
        <v>0</v>
      </c>
    </row>
    <row r="6069" spans="1:25" x14ac:dyDescent="0.2">
      <c r="A6069">
        <v>6739</v>
      </c>
      <c r="B6069" t="s">
        <v>10032</v>
      </c>
      <c r="C6069" t="s">
        <v>18</v>
      </c>
      <c r="D6069" t="s">
        <v>1508</v>
      </c>
      <c r="E6069" t="s">
        <v>1509</v>
      </c>
      <c r="F6069" t="s">
        <v>174</v>
      </c>
      <c r="G6069" t="s">
        <v>24</v>
      </c>
      <c r="I6069" t="b">
        <v>0</v>
      </c>
      <c r="J6069" t="b">
        <v>0</v>
      </c>
      <c r="L6069" t="b">
        <v>0</v>
      </c>
      <c r="M6069" t="str">
        <f>HYPERLINK("https://arizona.app.box.com/file/386240384191")</f>
        <v>https://arizona.app.box.com/file/386240384191</v>
      </c>
      <c r="N6069" t="str">
        <f>HYPERLINK("https://arizona.app.box.com/file/386242470310")</f>
        <v>https://arizona.app.box.com/file/386242470310</v>
      </c>
    </row>
    <row r="6071" spans="1:25" x14ac:dyDescent="0.2">
      <c r="A6071" s="2">
        <v>3353</v>
      </c>
      <c r="B6071" s="2" t="s">
        <v>10038</v>
      </c>
      <c r="C6071" s="2" t="s">
        <v>13</v>
      </c>
      <c r="D6071" s="2" t="s">
        <v>3870</v>
      </c>
      <c r="E6071" s="2" t="s">
        <v>3871</v>
      </c>
      <c r="F6071" s="2" t="s">
        <v>2738</v>
      </c>
      <c r="G6071" s="2" t="s">
        <v>1047</v>
      </c>
      <c r="H6071" s="2"/>
      <c r="I6071" s="2"/>
      <c r="J6071" s="2"/>
      <c r="K6071" s="2"/>
      <c r="L6071" s="2"/>
      <c r="M6071" s="2"/>
      <c r="N6071" s="2"/>
      <c r="O6071" s="2"/>
      <c r="P6071" s="2"/>
      <c r="Q6071" s="2"/>
      <c r="R6071" s="2"/>
      <c r="S6071" s="2"/>
      <c r="T6071" s="2"/>
      <c r="U6071" s="2"/>
      <c r="V6071" s="2"/>
      <c r="W6071" s="2"/>
      <c r="X6071" s="2"/>
      <c r="Y6071" s="2"/>
    </row>
    <row r="6072" spans="1:25" x14ac:dyDescent="0.2">
      <c r="A6072">
        <v>3354</v>
      </c>
      <c r="B6072" t="s">
        <v>10038</v>
      </c>
      <c r="C6072" t="s">
        <v>18</v>
      </c>
      <c r="D6072" t="s">
        <v>3870</v>
      </c>
      <c r="E6072" t="s">
        <v>3871</v>
      </c>
      <c r="F6072" t="s">
        <v>2738</v>
      </c>
      <c r="G6072" t="s">
        <v>1047</v>
      </c>
      <c r="I6072" t="b">
        <v>1</v>
      </c>
      <c r="J6072" t="b">
        <v>1</v>
      </c>
      <c r="L6072" t="b">
        <v>1</v>
      </c>
      <c r="M6072" t="str">
        <f>HYPERLINK("https://arizona.app.box.com/file/389255060066")</f>
        <v>https://arizona.app.box.com/file/389255060066</v>
      </c>
      <c r="N6072" t="str">
        <f>HYPERLINK("https://arizona.app.box.com/file/389162256448")</f>
        <v>https://arizona.app.box.com/file/389162256448</v>
      </c>
      <c r="O6072" t="str">
        <f>HYPERLINK("https://arizona.app.box.com/file/389268265537")</f>
        <v>https://arizona.app.box.com/file/389268265537</v>
      </c>
      <c r="P6072" t="str">
        <f>HYPERLINK("https://arizona.app.box.com/file/389163592732")</f>
        <v>https://arizona.app.box.com/file/389163592732</v>
      </c>
    </row>
    <row r="6073" spans="1:25" x14ac:dyDescent="0.2">
      <c r="A6073">
        <v>3355</v>
      </c>
      <c r="B6073" t="s">
        <v>10038</v>
      </c>
      <c r="C6073" t="s">
        <v>18</v>
      </c>
      <c r="D6073" t="s">
        <v>3866</v>
      </c>
      <c r="E6073" t="s">
        <v>3867</v>
      </c>
      <c r="F6073" t="s">
        <v>670</v>
      </c>
      <c r="G6073" t="s">
        <v>24</v>
      </c>
      <c r="I6073" t="b">
        <v>0</v>
      </c>
      <c r="J6073" t="b">
        <v>0</v>
      </c>
      <c r="L6073" t="b">
        <v>0</v>
      </c>
      <c r="M6073" t="str">
        <f>HYPERLINK("https://arizona.app.box.com/file/389272179825")</f>
        <v>https://arizona.app.box.com/file/389272179825</v>
      </c>
      <c r="N6073" t="str">
        <f>HYPERLINK("https://arizona.app.box.com/file/389138989844")</f>
        <v>https://arizona.app.box.com/file/389138989844</v>
      </c>
    </row>
    <row r="6074" spans="1:25" x14ac:dyDescent="0.2">
      <c r="A6074">
        <v>3356</v>
      </c>
      <c r="B6074" t="s">
        <v>10038</v>
      </c>
      <c r="C6074" t="s">
        <v>18</v>
      </c>
      <c r="D6074" t="s">
        <v>3859</v>
      </c>
      <c r="E6074" t="s">
        <v>3860</v>
      </c>
      <c r="F6074" t="s">
        <v>785</v>
      </c>
      <c r="G6074" t="s">
        <v>134</v>
      </c>
      <c r="I6074" t="b">
        <v>0</v>
      </c>
      <c r="J6074" t="b">
        <v>0</v>
      </c>
      <c r="L6074" t="b">
        <v>0</v>
      </c>
      <c r="M6074" t="str">
        <f>HYPERLINK("https://arizona.app.box.com/file/389261770729")</f>
        <v>https://arizona.app.box.com/file/389261770729</v>
      </c>
      <c r="N6074" t="str">
        <f>HYPERLINK("https://arizona.app.box.com/file/389164439225")</f>
        <v>https://arizona.app.box.com/file/389164439225</v>
      </c>
    </row>
    <row r="6075" spans="1:25" x14ac:dyDescent="0.2">
      <c r="A6075">
        <v>3357</v>
      </c>
      <c r="B6075" t="s">
        <v>10038</v>
      </c>
      <c r="C6075" t="s">
        <v>18</v>
      </c>
      <c r="D6075" t="s">
        <v>3876</v>
      </c>
      <c r="E6075" t="s">
        <v>455</v>
      </c>
      <c r="F6075" t="s">
        <v>16</v>
      </c>
      <c r="G6075" t="s">
        <v>24</v>
      </c>
      <c r="I6075" t="b">
        <v>0</v>
      </c>
      <c r="J6075" t="b">
        <v>0</v>
      </c>
      <c r="L6075" t="b">
        <v>0</v>
      </c>
      <c r="M6075" t="str">
        <f>HYPERLINK("https://arizona.app.box.com/file/386213728663")</f>
        <v>https://arizona.app.box.com/file/386213728663</v>
      </c>
    </row>
    <row r="6076" spans="1:25" x14ac:dyDescent="0.2">
      <c r="A6076">
        <v>3358</v>
      </c>
      <c r="B6076" t="s">
        <v>10038</v>
      </c>
      <c r="C6076" t="s">
        <v>18</v>
      </c>
      <c r="D6076" t="s">
        <v>10039</v>
      </c>
      <c r="E6076" t="s">
        <v>3062</v>
      </c>
      <c r="F6076" t="s">
        <v>16</v>
      </c>
      <c r="G6076" t="s">
        <v>1047</v>
      </c>
      <c r="I6076" t="b">
        <v>0</v>
      </c>
      <c r="J6076" t="b">
        <v>0</v>
      </c>
      <c r="L6076" t="b">
        <v>0</v>
      </c>
      <c r="M6076" t="str">
        <f>HYPERLINK("https://arizona.app.box.com/file/389264193618")</f>
        <v>https://arizona.app.box.com/file/389264193618</v>
      </c>
      <c r="N6076" t="str">
        <f>HYPERLINK("https://arizona.app.box.com/file/389164643164")</f>
        <v>https://arizona.app.box.com/file/389164643164</v>
      </c>
    </row>
    <row r="6078" spans="1:25" x14ac:dyDescent="0.2">
      <c r="A6078" s="2">
        <v>7280</v>
      </c>
      <c r="B6078" s="2" t="s">
        <v>10040</v>
      </c>
      <c r="C6078" s="2" t="s">
        <v>13</v>
      </c>
      <c r="D6078" s="2" t="s">
        <v>808</v>
      </c>
      <c r="E6078" s="2" t="s">
        <v>10041</v>
      </c>
      <c r="F6078" s="2" t="s">
        <v>16</v>
      </c>
      <c r="G6078" s="2" t="s">
        <v>24</v>
      </c>
      <c r="H6078" s="2"/>
      <c r="I6078" s="2"/>
      <c r="J6078" s="2"/>
      <c r="K6078" s="2"/>
      <c r="L6078" s="2"/>
      <c r="M6078" s="2"/>
      <c r="N6078" s="2"/>
      <c r="O6078" s="2"/>
      <c r="P6078" s="2"/>
      <c r="Q6078" s="2"/>
      <c r="R6078" s="2"/>
      <c r="S6078" s="2"/>
      <c r="T6078" s="2"/>
      <c r="U6078" s="2"/>
      <c r="V6078" s="2"/>
      <c r="W6078" s="2"/>
      <c r="X6078" s="2"/>
      <c r="Y6078" s="2"/>
    </row>
    <row r="6079" spans="1:25" x14ac:dyDescent="0.2">
      <c r="A6079">
        <v>7281</v>
      </c>
      <c r="B6079" t="s">
        <v>10040</v>
      </c>
      <c r="C6079" t="s">
        <v>18</v>
      </c>
      <c r="D6079" t="s">
        <v>808</v>
      </c>
      <c r="E6079" t="s">
        <v>809</v>
      </c>
      <c r="F6079" t="s">
        <v>159</v>
      </c>
      <c r="G6079" t="s">
        <v>24</v>
      </c>
      <c r="J6079" t="b">
        <v>1</v>
      </c>
      <c r="K6079" t="b">
        <v>0</v>
      </c>
      <c r="L6079" t="b">
        <v>1</v>
      </c>
      <c r="M6079" t="str">
        <f>HYPERLINK("https://arizona.app.box.com/file/389268287438")</f>
        <v>https://arizona.app.box.com/file/389268287438</v>
      </c>
      <c r="N6079" t="str">
        <f>HYPERLINK("https://arizona.app.box.com/file/389139242498")</f>
        <v>https://arizona.app.box.com/file/389139242498</v>
      </c>
    </row>
    <row r="6080" spans="1:25" x14ac:dyDescent="0.2">
      <c r="A6080">
        <v>7282</v>
      </c>
      <c r="B6080" t="s">
        <v>10040</v>
      </c>
      <c r="C6080" t="s">
        <v>18</v>
      </c>
      <c r="D6080" t="s">
        <v>812</v>
      </c>
      <c r="E6080" t="s">
        <v>813</v>
      </c>
      <c r="F6080" t="s">
        <v>122</v>
      </c>
      <c r="G6080" t="s">
        <v>17</v>
      </c>
      <c r="J6080" t="b">
        <v>1</v>
      </c>
      <c r="K6080" t="b">
        <v>0</v>
      </c>
      <c r="L6080" t="b">
        <v>0</v>
      </c>
      <c r="M6080" t="str">
        <f>HYPERLINK("https://arizona.app.box.com/file/389261015461")</f>
        <v>https://arizona.app.box.com/file/389261015461</v>
      </c>
    </row>
    <row r="6081" spans="1:25" x14ac:dyDescent="0.2">
      <c r="A6081">
        <v>7283</v>
      </c>
      <c r="B6081" t="s">
        <v>10040</v>
      </c>
      <c r="C6081" t="s">
        <v>18</v>
      </c>
      <c r="D6081" t="s">
        <v>815</v>
      </c>
      <c r="E6081" t="s">
        <v>643</v>
      </c>
      <c r="F6081" t="s">
        <v>122</v>
      </c>
      <c r="G6081" t="s">
        <v>24</v>
      </c>
      <c r="J6081" t="b">
        <v>1</v>
      </c>
      <c r="K6081" t="b">
        <v>0</v>
      </c>
      <c r="L6081" t="b">
        <v>1</v>
      </c>
    </row>
    <row r="6082" spans="1:25" x14ac:dyDescent="0.2">
      <c r="A6082">
        <v>7284</v>
      </c>
      <c r="B6082" t="s">
        <v>10040</v>
      </c>
      <c r="C6082" t="s">
        <v>18</v>
      </c>
      <c r="D6082" t="s">
        <v>806</v>
      </c>
      <c r="E6082" t="s">
        <v>165</v>
      </c>
      <c r="F6082" t="s">
        <v>122</v>
      </c>
      <c r="G6082" t="s">
        <v>17</v>
      </c>
      <c r="J6082" t="b">
        <v>0</v>
      </c>
      <c r="K6082" t="b">
        <v>0</v>
      </c>
      <c r="L6082" t="b">
        <v>0</v>
      </c>
    </row>
    <row r="6083" spans="1:25" x14ac:dyDescent="0.2">
      <c r="A6083">
        <v>7285</v>
      </c>
      <c r="B6083" t="s">
        <v>10040</v>
      </c>
      <c r="C6083" t="s">
        <v>18</v>
      </c>
      <c r="D6083" t="s">
        <v>7201</v>
      </c>
      <c r="E6083" t="s">
        <v>6017</v>
      </c>
      <c r="F6083" t="s">
        <v>144</v>
      </c>
      <c r="G6083" t="s">
        <v>32</v>
      </c>
      <c r="J6083" t="b">
        <v>0</v>
      </c>
      <c r="K6083" t="b">
        <v>0</v>
      </c>
      <c r="L6083" t="b">
        <v>0</v>
      </c>
      <c r="M6083" t="str">
        <f>HYPERLINK("https://arizona.app.box.com/file/389265227940")</f>
        <v>https://arizona.app.box.com/file/389265227940</v>
      </c>
      <c r="N6083" t="str">
        <f>HYPERLINK("https://arizona.app.box.com/file/389162111887")</f>
        <v>https://arizona.app.box.com/file/389162111887</v>
      </c>
    </row>
    <row r="6085" spans="1:25" x14ac:dyDescent="0.2">
      <c r="A6085" s="2">
        <v>7343</v>
      </c>
      <c r="B6085" s="2" t="s">
        <v>10042</v>
      </c>
      <c r="C6085" s="2" t="s">
        <v>13</v>
      </c>
      <c r="D6085" s="2" t="s">
        <v>10043</v>
      </c>
      <c r="E6085" s="2" t="s">
        <v>10044</v>
      </c>
      <c r="F6085" s="2" t="s">
        <v>27</v>
      </c>
      <c r="G6085" s="2" t="s">
        <v>62</v>
      </c>
      <c r="H6085" s="2"/>
      <c r="I6085" s="2"/>
      <c r="J6085" s="2"/>
      <c r="K6085" s="2"/>
      <c r="L6085" s="2"/>
      <c r="M6085" s="2"/>
      <c r="N6085" s="2"/>
      <c r="O6085" s="2"/>
      <c r="P6085" s="2"/>
      <c r="Q6085" s="2"/>
      <c r="R6085" s="2"/>
      <c r="S6085" s="2"/>
      <c r="T6085" s="2"/>
      <c r="U6085" s="2"/>
      <c r="V6085" s="2"/>
      <c r="W6085" s="2"/>
      <c r="X6085" s="2"/>
      <c r="Y6085" s="2"/>
    </row>
    <row r="6086" spans="1:25" x14ac:dyDescent="0.2">
      <c r="A6086">
        <v>7344</v>
      </c>
      <c r="B6086" t="s">
        <v>10042</v>
      </c>
      <c r="C6086" t="s">
        <v>18</v>
      </c>
      <c r="D6086" t="s">
        <v>10045</v>
      </c>
      <c r="E6086" t="s">
        <v>3834</v>
      </c>
      <c r="F6086" t="s">
        <v>27</v>
      </c>
      <c r="G6086" t="s">
        <v>62</v>
      </c>
      <c r="J6086" t="b">
        <v>1</v>
      </c>
      <c r="K6086" t="b">
        <v>1</v>
      </c>
      <c r="L6086" t="b">
        <v>1</v>
      </c>
      <c r="M6086" t="str">
        <f>HYPERLINK("https://arizona.app.box.com/file/386213589307")</f>
        <v>https://arizona.app.box.com/file/386213589307</v>
      </c>
    </row>
    <row r="6087" spans="1:25" x14ac:dyDescent="0.2">
      <c r="A6087">
        <v>7345</v>
      </c>
      <c r="B6087" t="s">
        <v>10042</v>
      </c>
      <c r="C6087" t="s">
        <v>18</v>
      </c>
      <c r="D6087" t="s">
        <v>10046</v>
      </c>
      <c r="E6087" t="s">
        <v>10047</v>
      </c>
      <c r="F6087" t="s">
        <v>27</v>
      </c>
      <c r="G6087" t="s">
        <v>62</v>
      </c>
      <c r="J6087" t="b">
        <v>0</v>
      </c>
      <c r="K6087" t="b">
        <v>0</v>
      </c>
      <c r="L6087" t="b">
        <v>0</v>
      </c>
    </row>
    <row r="6088" spans="1:25" x14ac:dyDescent="0.2">
      <c r="A6088">
        <v>7346</v>
      </c>
      <c r="B6088" t="s">
        <v>10042</v>
      </c>
      <c r="C6088" t="s">
        <v>18</v>
      </c>
      <c r="D6088" t="s">
        <v>10048</v>
      </c>
      <c r="E6088" t="s">
        <v>10049</v>
      </c>
      <c r="F6088" t="s">
        <v>27</v>
      </c>
      <c r="G6088" t="s">
        <v>62</v>
      </c>
      <c r="J6088" t="b">
        <v>0</v>
      </c>
      <c r="K6088" t="b">
        <v>0</v>
      </c>
      <c r="L6088" t="b">
        <v>0</v>
      </c>
    </row>
    <row r="6089" spans="1:25" x14ac:dyDescent="0.2">
      <c r="A6089">
        <v>7347</v>
      </c>
      <c r="B6089" t="s">
        <v>10042</v>
      </c>
      <c r="C6089" t="s">
        <v>18</v>
      </c>
      <c r="D6089" t="s">
        <v>1197</v>
      </c>
      <c r="E6089" t="s">
        <v>145</v>
      </c>
      <c r="F6089" t="s">
        <v>27</v>
      </c>
      <c r="G6089" t="s">
        <v>62</v>
      </c>
      <c r="J6089" t="b">
        <v>0</v>
      </c>
      <c r="K6089" t="b">
        <v>0</v>
      </c>
      <c r="L6089" t="b">
        <v>0</v>
      </c>
      <c r="M6089" t="str">
        <f>HYPERLINK("https://arizona.app.box.com/file/389162955984")</f>
        <v>https://arizona.app.box.com/file/389162955984</v>
      </c>
      <c r="N6089" t="str">
        <f>HYPERLINK("https://arizona.app.box.com/file/386236954836")</f>
        <v>https://arizona.app.box.com/file/386236954836</v>
      </c>
    </row>
    <row r="6090" spans="1:25" x14ac:dyDescent="0.2">
      <c r="A6090">
        <v>7348</v>
      </c>
      <c r="B6090" t="s">
        <v>10042</v>
      </c>
      <c r="C6090" t="s">
        <v>18</v>
      </c>
      <c r="D6090" t="s">
        <v>8030</v>
      </c>
      <c r="E6090" t="s">
        <v>8031</v>
      </c>
      <c r="F6090" t="s">
        <v>196</v>
      </c>
      <c r="G6090" t="s">
        <v>62</v>
      </c>
      <c r="J6090" t="b">
        <v>0</v>
      </c>
      <c r="K6090" t="b">
        <v>0</v>
      </c>
      <c r="L6090" t="b">
        <v>0</v>
      </c>
      <c r="M6090" t="str">
        <f>HYPERLINK("https://arizona.app.box.com/file/389178123316")</f>
        <v>https://arizona.app.box.com/file/389178123316</v>
      </c>
      <c r="N6090" t="str">
        <f>HYPERLINK("https://arizona.app.box.com/file/386239544117")</f>
        <v>https://arizona.app.box.com/file/386239544117</v>
      </c>
    </row>
    <row r="6092" spans="1:25" x14ac:dyDescent="0.2">
      <c r="A6092" s="2">
        <v>112</v>
      </c>
      <c r="B6092" s="2" t="s">
        <v>10050</v>
      </c>
      <c r="C6092" s="2" t="s">
        <v>13</v>
      </c>
      <c r="D6092" s="2" t="s">
        <v>7972</v>
      </c>
      <c r="E6092" s="2" t="s">
        <v>7973</v>
      </c>
      <c r="F6092" s="2" t="s">
        <v>6173</v>
      </c>
      <c r="G6092" s="2" t="s">
        <v>345</v>
      </c>
      <c r="H6092" s="2"/>
      <c r="I6092" s="2"/>
      <c r="J6092" s="2"/>
      <c r="K6092" s="2"/>
      <c r="L6092" s="2"/>
      <c r="M6092" s="2"/>
      <c r="N6092" s="2"/>
      <c r="O6092" s="2"/>
      <c r="P6092" s="2"/>
      <c r="Q6092" s="2"/>
      <c r="R6092" s="2"/>
      <c r="S6092" s="2"/>
      <c r="T6092" s="2"/>
      <c r="U6092" s="2"/>
      <c r="V6092" s="2"/>
      <c r="W6092" s="2"/>
      <c r="X6092" s="2"/>
      <c r="Y6092" s="2"/>
    </row>
    <row r="6093" spans="1:25" x14ac:dyDescent="0.2">
      <c r="A6093">
        <v>113</v>
      </c>
      <c r="B6093" t="s">
        <v>10050</v>
      </c>
      <c r="C6093" t="s">
        <v>18</v>
      </c>
      <c r="D6093" t="s">
        <v>7972</v>
      </c>
      <c r="E6093" t="s">
        <v>7973</v>
      </c>
      <c r="F6093" t="s">
        <v>7974</v>
      </c>
      <c r="G6093" t="s">
        <v>345</v>
      </c>
      <c r="J6093" t="b">
        <v>1</v>
      </c>
      <c r="K6093" t="b">
        <v>1</v>
      </c>
      <c r="L6093" t="b">
        <v>1</v>
      </c>
      <c r="M6093" t="str">
        <f>HYPERLINK("https://arizona.app.box.com/file/389260147779")</f>
        <v>https://arizona.app.box.com/file/389260147779</v>
      </c>
      <c r="N6093" t="str">
        <f>HYPERLINK("https://arizona.app.box.com/file/389159185366")</f>
        <v>https://arizona.app.box.com/file/389159185366</v>
      </c>
      <c r="O6093" t="str">
        <f>HYPERLINK("https://arizona.app.box.com/file/389264403594")</f>
        <v>https://arizona.app.box.com/file/389264403594</v>
      </c>
      <c r="P6093" t="str">
        <f>HYPERLINK("https://arizona.app.box.com/file/389167525888")</f>
        <v>https://arizona.app.box.com/file/389167525888</v>
      </c>
    </row>
    <row r="6094" spans="1:25" x14ac:dyDescent="0.2">
      <c r="A6094">
        <v>114</v>
      </c>
      <c r="B6094" t="s">
        <v>10050</v>
      </c>
      <c r="C6094" t="s">
        <v>18</v>
      </c>
      <c r="D6094" t="s">
        <v>2708</v>
      </c>
      <c r="E6094" t="s">
        <v>2709</v>
      </c>
      <c r="F6094" t="s">
        <v>159</v>
      </c>
      <c r="G6094" t="s">
        <v>345</v>
      </c>
      <c r="J6094" t="b">
        <v>0</v>
      </c>
      <c r="K6094" t="b">
        <v>0</v>
      </c>
      <c r="L6094" t="b">
        <v>0</v>
      </c>
      <c r="M6094" t="str">
        <f>HYPERLINK("https://arizona.app.box.com/file/389172389035")</f>
        <v>https://arizona.app.box.com/file/389172389035</v>
      </c>
      <c r="N6094" t="str">
        <f>HYPERLINK("https://arizona.app.box.com/file/386240779528")</f>
        <v>https://arizona.app.box.com/file/386240779528</v>
      </c>
    </row>
    <row r="6095" spans="1:25" x14ac:dyDescent="0.2">
      <c r="A6095">
        <v>115</v>
      </c>
      <c r="B6095" t="s">
        <v>10050</v>
      </c>
      <c r="C6095" t="s">
        <v>18</v>
      </c>
      <c r="D6095" t="s">
        <v>2712</v>
      </c>
      <c r="E6095" t="s">
        <v>2713</v>
      </c>
      <c r="F6095" t="s">
        <v>159</v>
      </c>
      <c r="G6095" t="s">
        <v>345</v>
      </c>
      <c r="J6095" t="b">
        <v>0</v>
      </c>
      <c r="K6095" t="b">
        <v>0</v>
      </c>
      <c r="L6095" t="b">
        <v>0</v>
      </c>
      <c r="M6095" t="str">
        <f>HYPERLINK("https://arizona.app.box.com/file/389171760076")</f>
        <v>https://arizona.app.box.com/file/389171760076</v>
      </c>
      <c r="N6095" t="str">
        <f>HYPERLINK("https://arizona.app.box.com/file/386241319808")</f>
        <v>https://arizona.app.box.com/file/386241319808</v>
      </c>
      <c r="O6095" t="str">
        <f>HYPERLINK("https://arizona.app.box.com/file/389163516789")</f>
        <v>https://arizona.app.box.com/file/389163516789</v>
      </c>
      <c r="P6095" t="str">
        <f>HYPERLINK("https://arizona.app.box.com/file/386239191401")</f>
        <v>https://arizona.app.box.com/file/386239191401</v>
      </c>
    </row>
    <row r="6096" spans="1:25" x14ac:dyDescent="0.2">
      <c r="A6096">
        <v>116</v>
      </c>
      <c r="B6096" t="s">
        <v>10050</v>
      </c>
      <c r="C6096" t="s">
        <v>18</v>
      </c>
      <c r="D6096" t="s">
        <v>10051</v>
      </c>
      <c r="E6096" t="s">
        <v>10052</v>
      </c>
      <c r="F6096" t="s">
        <v>82</v>
      </c>
      <c r="G6096" t="s">
        <v>88</v>
      </c>
      <c r="J6096" t="b">
        <v>0</v>
      </c>
      <c r="K6096" t="b">
        <v>0</v>
      </c>
      <c r="L6096" t="b">
        <v>0</v>
      </c>
    </row>
    <row r="6097" spans="1:25" x14ac:dyDescent="0.2">
      <c r="A6097">
        <v>117</v>
      </c>
      <c r="B6097" t="s">
        <v>10050</v>
      </c>
      <c r="C6097" t="s">
        <v>18</v>
      </c>
      <c r="D6097" t="s">
        <v>10053</v>
      </c>
      <c r="E6097" t="s">
        <v>10054</v>
      </c>
      <c r="F6097" t="s">
        <v>596</v>
      </c>
      <c r="G6097" t="s">
        <v>345</v>
      </c>
      <c r="J6097" t="b">
        <v>0</v>
      </c>
      <c r="K6097" t="b">
        <v>0</v>
      </c>
      <c r="L6097" t="b">
        <v>0</v>
      </c>
      <c r="M6097" t="str">
        <f>HYPERLINK("https://arizona.app.box.com/file/386243701171")</f>
        <v>https://arizona.app.box.com/file/386243701171</v>
      </c>
    </row>
    <row r="6099" spans="1:25" x14ac:dyDescent="0.2">
      <c r="A6099" s="2">
        <v>1309</v>
      </c>
      <c r="B6099" s="2" t="s">
        <v>10055</v>
      </c>
      <c r="C6099" s="2" t="s">
        <v>13</v>
      </c>
      <c r="D6099" s="2" t="s">
        <v>1760</v>
      </c>
      <c r="E6099" s="2" t="s">
        <v>10056</v>
      </c>
      <c r="F6099" s="2" t="s">
        <v>78</v>
      </c>
      <c r="G6099" s="2" t="s">
        <v>1752</v>
      </c>
      <c r="H6099" s="2"/>
      <c r="I6099" s="2"/>
      <c r="J6099" s="2"/>
      <c r="K6099" s="2"/>
      <c r="L6099" s="2"/>
      <c r="M6099" s="2"/>
      <c r="N6099" s="2"/>
      <c r="O6099" s="2"/>
      <c r="P6099" s="2"/>
      <c r="Q6099" s="2"/>
      <c r="R6099" s="2"/>
      <c r="S6099" s="2"/>
      <c r="T6099" s="2"/>
      <c r="U6099" s="2"/>
      <c r="V6099" s="2"/>
      <c r="W6099" s="2"/>
      <c r="X6099" s="2"/>
      <c r="Y6099" s="2"/>
    </row>
    <row r="6100" spans="1:25" x14ac:dyDescent="0.2">
      <c r="A6100">
        <v>1310</v>
      </c>
      <c r="B6100" t="s">
        <v>10055</v>
      </c>
      <c r="C6100" t="s">
        <v>18</v>
      </c>
      <c r="D6100" t="s">
        <v>1760</v>
      </c>
      <c r="E6100" t="s">
        <v>1608</v>
      </c>
      <c r="F6100" t="s">
        <v>78</v>
      </c>
      <c r="G6100" t="s">
        <v>917</v>
      </c>
      <c r="J6100" t="b">
        <v>1</v>
      </c>
      <c r="K6100" t="b">
        <v>1</v>
      </c>
      <c r="L6100" t="b">
        <v>1</v>
      </c>
      <c r="M6100" t="str">
        <f>HYPERLINK("https://arizona.app.box.com/file/389266673178")</f>
        <v>https://arizona.app.box.com/file/389266673178</v>
      </c>
      <c r="N6100" t="str">
        <f>HYPERLINK("https://arizona.app.box.com/file/389138262839")</f>
        <v>https://arizona.app.box.com/file/389138262839</v>
      </c>
    </row>
    <row r="6101" spans="1:25" x14ac:dyDescent="0.2">
      <c r="A6101">
        <v>1311</v>
      </c>
      <c r="B6101" t="s">
        <v>10055</v>
      </c>
      <c r="C6101" t="s">
        <v>18</v>
      </c>
      <c r="D6101" t="s">
        <v>10057</v>
      </c>
      <c r="E6101" t="s">
        <v>390</v>
      </c>
      <c r="F6101" t="s">
        <v>78</v>
      </c>
      <c r="G6101" t="s">
        <v>917</v>
      </c>
      <c r="J6101" t="b">
        <v>1</v>
      </c>
      <c r="K6101" t="b">
        <v>1</v>
      </c>
      <c r="L6101" t="b">
        <v>1</v>
      </c>
      <c r="M6101" t="str">
        <f>HYPERLINK("https://arizona.app.box.com/file/386239955253")</f>
        <v>https://arizona.app.box.com/file/386239955253</v>
      </c>
    </row>
    <row r="6102" spans="1:25" x14ac:dyDescent="0.2">
      <c r="A6102">
        <v>1312</v>
      </c>
      <c r="B6102" t="s">
        <v>10055</v>
      </c>
      <c r="C6102" t="s">
        <v>18</v>
      </c>
      <c r="D6102" t="s">
        <v>1750</v>
      </c>
      <c r="E6102" t="s">
        <v>1751</v>
      </c>
      <c r="F6102" t="s">
        <v>78</v>
      </c>
      <c r="G6102" t="s">
        <v>917</v>
      </c>
      <c r="J6102" t="b">
        <v>0</v>
      </c>
      <c r="K6102" t="b">
        <v>0</v>
      </c>
      <c r="L6102" t="b">
        <v>0</v>
      </c>
      <c r="M6102" t="str">
        <f>HYPERLINK("https://arizona.app.box.com/file/389163500984")</f>
        <v>https://arizona.app.box.com/file/389163500984</v>
      </c>
      <c r="N6102" t="str">
        <f>HYPERLINK("https://arizona.app.box.com/file/386216552746")</f>
        <v>https://arizona.app.box.com/file/386216552746</v>
      </c>
      <c r="O6102" t="str">
        <f>HYPERLINK("https://arizona.app.box.com/file/386215347199")</f>
        <v>https://arizona.app.box.com/file/386215347199</v>
      </c>
    </row>
    <row r="6103" spans="1:25" x14ac:dyDescent="0.2">
      <c r="A6103">
        <v>1313</v>
      </c>
      <c r="B6103" t="s">
        <v>10055</v>
      </c>
      <c r="C6103" t="s">
        <v>18</v>
      </c>
      <c r="D6103" t="s">
        <v>4910</v>
      </c>
      <c r="E6103" t="s">
        <v>4911</v>
      </c>
      <c r="F6103" t="s">
        <v>78</v>
      </c>
      <c r="G6103" t="s">
        <v>917</v>
      </c>
      <c r="J6103" t="b">
        <v>0</v>
      </c>
      <c r="K6103" t="b">
        <v>0</v>
      </c>
      <c r="L6103" t="b">
        <v>0</v>
      </c>
      <c r="M6103" t="str">
        <f>HYPERLINK("https://arizona.app.box.com/file/386240703084")</f>
        <v>https://arizona.app.box.com/file/386240703084</v>
      </c>
    </row>
    <row r="6104" spans="1:25" x14ac:dyDescent="0.2">
      <c r="A6104">
        <v>1314</v>
      </c>
      <c r="B6104" t="s">
        <v>10055</v>
      </c>
      <c r="C6104" t="s">
        <v>18</v>
      </c>
      <c r="D6104" t="s">
        <v>4907</v>
      </c>
      <c r="E6104" t="s">
        <v>4908</v>
      </c>
      <c r="F6104" t="s">
        <v>78</v>
      </c>
      <c r="G6104" t="s">
        <v>917</v>
      </c>
      <c r="J6104" t="b">
        <v>0</v>
      </c>
      <c r="K6104" t="b">
        <v>0</v>
      </c>
      <c r="L6104" t="b">
        <v>0</v>
      </c>
      <c r="M6104" t="str">
        <f>HYPERLINK("https://arizona.app.box.com/file/386245134110")</f>
        <v>https://arizona.app.box.com/file/386245134110</v>
      </c>
    </row>
    <row r="6106" spans="1:25" x14ac:dyDescent="0.2">
      <c r="A6106" s="2">
        <v>1722</v>
      </c>
      <c r="B6106" s="2" t="s">
        <v>10058</v>
      </c>
      <c r="C6106" s="2" t="s">
        <v>13</v>
      </c>
      <c r="D6106" s="2" t="s">
        <v>10059</v>
      </c>
      <c r="E6106" s="2" t="s">
        <v>10060</v>
      </c>
      <c r="F6106" s="2" t="s">
        <v>616</v>
      </c>
      <c r="G6106" s="2" t="s">
        <v>280</v>
      </c>
      <c r="H6106" s="2"/>
      <c r="I6106" s="2"/>
      <c r="J6106" s="2"/>
      <c r="K6106" s="2"/>
      <c r="L6106" s="2"/>
      <c r="M6106" s="2"/>
      <c r="N6106" s="2"/>
      <c r="O6106" s="2"/>
      <c r="P6106" s="2"/>
      <c r="Q6106" s="2"/>
      <c r="R6106" s="2"/>
      <c r="S6106" s="2"/>
      <c r="T6106" s="2"/>
      <c r="U6106" s="2"/>
      <c r="V6106" s="2"/>
      <c r="W6106" s="2"/>
      <c r="X6106" s="2"/>
      <c r="Y6106" s="2"/>
    </row>
    <row r="6107" spans="1:25" x14ac:dyDescent="0.2">
      <c r="A6107">
        <v>1723</v>
      </c>
      <c r="B6107" t="s">
        <v>10058</v>
      </c>
      <c r="C6107" t="s">
        <v>18</v>
      </c>
      <c r="D6107" t="s">
        <v>3200</v>
      </c>
      <c r="E6107" t="s">
        <v>19</v>
      </c>
      <c r="F6107" t="s">
        <v>616</v>
      </c>
      <c r="G6107" t="s">
        <v>280</v>
      </c>
      <c r="J6107" t="b">
        <v>1</v>
      </c>
      <c r="K6107" t="b">
        <v>1</v>
      </c>
      <c r="L6107" t="b">
        <v>1</v>
      </c>
      <c r="M6107" t="str">
        <f>HYPERLINK("https://arizona.app.box.com/file/389263927303")</f>
        <v>https://arizona.app.box.com/file/389263927303</v>
      </c>
      <c r="N6107" t="str">
        <f>HYPERLINK("https://arizona.app.box.com/file/389169608476")</f>
        <v>https://arizona.app.box.com/file/389169608476</v>
      </c>
    </row>
    <row r="6108" spans="1:25" x14ac:dyDescent="0.2">
      <c r="A6108">
        <v>1724</v>
      </c>
      <c r="B6108" t="s">
        <v>10058</v>
      </c>
      <c r="C6108" t="s">
        <v>18</v>
      </c>
      <c r="D6108" t="s">
        <v>1934</v>
      </c>
      <c r="E6108" t="s">
        <v>1935</v>
      </c>
      <c r="F6108" t="s">
        <v>205</v>
      </c>
      <c r="G6108" t="s">
        <v>280</v>
      </c>
      <c r="J6108" t="b">
        <v>0</v>
      </c>
      <c r="K6108" t="b">
        <v>0</v>
      </c>
      <c r="L6108" t="b">
        <v>0</v>
      </c>
    </row>
    <row r="6109" spans="1:25" x14ac:dyDescent="0.2">
      <c r="A6109">
        <v>1725</v>
      </c>
      <c r="B6109" t="s">
        <v>10058</v>
      </c>
      <c r="C6109" t="s">
        <v>18</v>
      </c>
      <c r="D6109" t="s">
        <v>3205</v>
      </c>
      <c r="E6109" t="s">
        <v>3206</v>
      </c>
      <c r="F6109" t="s">
        <v>616</v>
      </c>
      <c r="G6109" t="s">
        <v>280</v>
      </c>
      <c r="J6109" t="b">
        <v>0</v>
      </c>
      <c r="K6109" t="b">
        <v>0</v>
      </c>
      <c r="L6109" t="b">
        <v>0</v>
      </c>
    </row>
    <row r="6110" spans="1:25" x14ac:dyDescent="0.2">
      <c r="A6110">
        <v>1726</v>
      </c>
      <c r="B6110" t="s">
        <v>10058</v>
      </c>
      <c r="C6110" t="s">
        <v>18</v>
      </c>
      <c r="D6110" t="s">
        <v>1930</v>
      </c>
      <c r="E6110" t="s">
        <v>1931</v>
      </c>
      <c r="F6110" t="s">
        <v>1617</v>
      </c>
      <c r="G6110" t="s">
        <v>280</v>
      </c>
      <c r="J6110" t="b">
        <v>0</v>
      </c>
      <c r="K6110" t="b">
        <v>0</v>
      </c>
      <c r="L6110" t="b">
        <v>0</v>
      </c>
      <c r="M6110" t="str">
        <f>HYPERLINK("https://arizona.app.box.com/file/389162730892")</f>
        <v>https://arizona.app.box.com/file/389162730892</v>
      </c>
      <c r="N6110" t="str">
        <f>HYPERLINK("https://arizona.app.box.com/file/389165570929")</f>
        <v>https://arizona.app.box.com/file/389165570929</v>
      </c>
    </row>
    <row r="6111" spans="1:25" x14ac:dyDescent="0.2">
      <c r="A6111">
        <v>1727</v>
      </c>
      <c r="B6111" t="s">
        <v>10058</v>
      </c>
      <c r="C6111" t="s">
        <v>18</v>
      </c>
      <c r="D6111" t="s">
        <v>3196</v>
      </c>
      <c r="E6111" t="s">
        <v>3197</v>
      </c>
      <c r="F6111" t="s">
        <v>78</v>
      </c>
      <c r="G6111" t="s">
        <v>280</v>
      </c>
      <c r="J6111" t="b">
        <v>0</v>
      </c>
      <c r="K6111" t="b">
        <v>0</v>
      </c>
      <c r="L6111" t="b">
        <v>0</v>
      </c>
      <c r="M6111" t="str">
        <f>HYPERLINK("https://arizona.app.box.com/file/389267419477")</f>
        <v>https://arizona.app.box.com/file/389267419477</v>
      </c>
      <c r="N6111" t="str">
        <f>HYPERLINK("https://arizona.app.box.com/file/389164358716")</f>
        <v>https://arizona.app.box.com/file/389164358716</v>
      </c>
    </row>
    <row r="6113" spans="1:25" x14ac:dyDescent="0.2">
      <c r="A6113" s="2">
        <v>1883</v>
      </c>
      <c r="B6113" s="2" t="s">
        <v>10061</v>
      </c>
      <c r="C6113" s="2" t="s">
        <v>13</v>
      </c>
      <c r="D6113" s="2" t="s">
        <v>10062</v>
      </c>
      <c r="E6113" s="2" t="s">
        <v>10063</v>
      </c>
      <c r="F6113" s="2" t="s">
        <v>23</v>
      </c>
      <c r="G6113" s="2" t="s">
        <v>62</v>
      </c>
      <c r="H6113" s="2"/>
      <c r="I6113" s="2"/>
      <c r="J6113" s="2"/>
      <c r="K6113" s="2"/>
      <c r="L6113" s="2"/>
      <c r="M6113" s="2"/>
      <c r="N6113" s="2"/>
      <c r="O6113" s="2"/>
      <c r="P6113" s="2"/>
      <c r="Q6113" s="2"/>
      <c r="R6113" s="2"/>
      <c r="S6113" s="2"/>
      <c r="T6113" s="2"/>
      <c r="U6113" s="2"/>
      <c r="V6113" s="2"/>
      <c r="W6113" s="2"/>
      <c r="X6113" s="2"/>
      <c r="Y6113" s="2"/>
    </row>
    <row r="6114" spans="1:25" x14ac:dyDescent="0.2">
      <c r="A6114">
        <v>1884</v>
      </c>
      <c r="B6114" t="s">
        <v>10061</v>
      </c>
      <c r="C6114" t="s">
        <v>18</v>
      </c>
      <c r="D6114" t="s">
        <v>10062</v>
      </c>
      <c r="E6114" t="s">
        <v>10063</v>
      </c>
      <c r="F6114" t="s">
        <v>23</v>
      </c>
      <c r="G6114" t="s">
        <v>62</v>
      </c>
      <c r="J6114" t="b">
        <v>1</v>
      </c>
      <c r="K6114" t="b">
        <v>1</v>
      </c>
      <c r="L6114" t="b">
        <v>1</v>
      </c>
      <c r="M6114" t="str">
        <f>HYPERLINK("https://arizona.app.box.com/file/386213533715")</f>
        <v>https://arizona.app.box.com/file/386213533715</v>
      </c>
      <c r="N6114" t="str">
        <f>HYPERLINK("https://arizona.app.box.com/file/386241113911")</f>
        <v>https://arizona.app.box.com/file/386241113911</v>
      </c>
    </row>
    <row r="6115" spans="1:25" x14ac:dyDescent="0.2">
      <c r="A6115">
        <v>1885</v>
      </c>
      <c r="B6115" t="s">
        <v>10061</v>
      </c>
      <c r="C6115" t="s">
        <v>18</v>
      </c>
      <c r="D6115" t="s">
        <v>10064</v>
      </c>
      <c r="E6115" t="s">
        <v>10065</v>
      </c>
      <c r="F6115" t="s">
        <v>23</v>
      </c>
      <c r="G6115" t="s">
        <v>62</v>
      </c>
      <c r="J6115" t="b">
        <v>0</v>
      </c>
      <c r="K6115" t="b">
        <v>0</v>
      </c>
      <c r="L6115" t="b">
        <v>0</v>
      </c>
    </row>
    <row r="6116" spans="1:25" x14ac:dyDescent="0.2">
      <c r="A6116">
        <v>1886</v>
      </c>
      <c r="B6116" t="s">
        <v>10061</v>
      </c>
      <c r="C6116" t="s">
        <v>18</v>
      </c>
      <c r="D6116" t="s">
        <v>10066</v>
      </c>
      <c r="E6116" t="s">
        <v>10067</v>
      </c>
      <c r="F6116" t="s">
        <v>23</v>
      </c>
      <c r="G6116" t="s">
        <v>62</v>
      </c>
      <c r="J6116" t="b">
        <v>0</v>
      </c>
      <c r="K6116" t="b">
        <v>0</v>
      </c>
      <c r="L6116" t="b">
        <v>0</v>
      </c>
    </row>
    <row r="6117" spans="1:25" x14ac:dyDescent="0.2">
      <c r="A6117">
        <v>1887</v>
      </c>
      <c r="B6117" t="s">
        <v>10061</v>
      </c>
      <c r="C6117" t="s">
        <v>18</v>
      </c>
      <c r="D6117" t="s">
        <v>10068</v>
      </c>
      <c r="E6117" t="s">
        <v>10069</v>
      </c>
      <c r="F6117" t="s">
        <v>23</v>
      </c>
      <c r="G6117" t="s">
        <v>62</v>
      </c>
      <c r="J6117" t="b">
        <v>0</v>
      </c>
      <c r="K6117" t="b">
        <v>0</v>
      </c>
      <c r="L6117" t="b">
        <v>0</v>
      </c>
      <c r="M6117" t="str">
        <f>HYPERLINK("https://arizona.app.box.com/file/386235530496")</f>
        <v>https://arizona.app.box.com/file/386235530496</v>
      </c>
      <c r="N6117" t="str">
        <f>HYPERLINK("https://arizona.app.box.com/file/386229076986")</f>
        <v>https://arizona.app.box.com/file/386229076986</v>
      </c>
    </row>
    <row r="6118" spans="1:25" x14ac:dyDescent="0.2">
      <c r="A6118">
        <v>1888</v>
      </c>
      <c r="B6118" t="s">
        <v>10061</v>
      </c>
      <c r="C6118" t="s">
        <v>18</v>
      </c>
      <c r="D6118" t="s">
        <v>10070</v>
      </c>
      <c r="E6118" t="s">
        <v>10071</v>
      </c>
      <c r="F6118" t="s">
        <v>23</v>
      </c>
      <c r="G6118" t="s">
        <v>502</v>
      </c>
      <c r="J6118" t="b">
        <v>0</v>
      </c>
      <c r="K6118" t="b">
        <v>0</v>
      </c>
      <c r="L6118" t="b">
        <v>0</v>
      </c>
    </row>
    <row r="6120" spans="1:25" x14ac:dyDescent="0.2">
      <c r="A6120" s="2">
        <v>2555</v>
      </c>
      <c r="B6120" s="2" t="s">
        <v>10072</v>
      </c>
      <c r="C6120" s="2" t="s">
        <v>13</v>
      </c>
      <c r="D6120" s="2" t="s">
        <v>10073</v>
      </c>
      <c r="E6120" s="2" t="s">
        <v>10074</v>
      </c>
      <c r="F6120" s="2" t="s">
        <v>71</v>
      </c>
      <c r="G6120" s="2" t="s">
        <v>1405</v>
      </c>
      <c r="H6120" s="2"/>
      <c r="I6120" s="2"/>
      <c r="J6120" s="2"/>
      <c r="K6120" s="2"/>
      <c r="L6120" s="2"/>
      <c r="M6120" s="2"/>
      <c r="N6120" s="2"/>
      <c r="O6120" s="2"/>
      <c r="P6120" s="2"/>
      <c r="Q6120" s="2"/>
      <c r="R6120" s="2"/>
      <c r="S6120" s="2"/>
      <c r="T6120" s="2"/>
      <c r="U6120" s="2"/>
      <c r="V6120" s="2"/>
      <c r="W6120" s="2"/>
      <c r="X6120" s="2"/>
      <c r="Y6120" s="2"/>
    </row>
    <row r="6121" spans="1:25" x14ac:dyDescent="0.2">
      <c r="A6121">
        <v>2556</v>
      </c>
      <c r="B6121" t="s">
        <v>10072</v>
      </c>
      <c r="C6121" t="s">
        <v>18</v>
      </c>
      <c r="D6121" t="s">
        <v>3971</v>
      </c>
      <c r="E6121" t="s">
        <v>2608</v>
      </c>
      <c r="F6121" t="s">
        <v>82</v>
      </c>
      <c r="G6121" t="s">
        <v>1406</v>
      </c>
      <c r="J6121" t="b">
        <v>0</v>
      </c>
      <c r="K6121" t="b">
        <v>0</v>
      </c>
      <c r="L6121" t="b">
        <v>0</v>
      </c>
      <c r="M6121" t="str">
        <f>HYPERLINK("https://arizona.app.box.com/file/389267219327")</f>
        <v>https://arizona.app.box.com/file/389267219327</v>
      </c>
    </row>
    <row r="6122" spans="1:25" x14ac:dyDescent="0.2">
      <c r="A6122">
        <v>2557</v>
      </c>
      <c r="B6122" t="s">
        <v>10072</v>
      </c>
      <c r="C6122" t="s">
        <v>18</v>
      </c>
      <c r="D6122" t="s">
        <v>9480</v>
      </c>
      <c r="E6122" t="s">
        <v>9481</v>
      </c>
      <c r="F6122" t="s">
        <v>264</v>
      </c>
      <c r="G6122" t="s">
        <v>1406</v>
      </c>
      <c r="J6122" t="b">
        <v>0</v>
      </c>
      <c r="K6122" t="b">
        <v>0</v>
      </c>
      <c r="L6122" t="b">
        <v>0</v>
      </c>
      <c r="M6122" t="str">
        <f>HYPERLINK("https://arizona.app.box.com/file/386231428885")</f>
        <v>https://arizona.app.box.com/file/386231428885</v>
      </c>
      <c r="N6122" t="str">
        <f>HYPERLINK("https://arizona.app.box.com/file/386231140772")</f>
        <v>https://arizona.app.box.com/file/386231140772</v>
      </c>
    </row>
    <row r="6123" spans="1:25" x14ac:dyDescent="0.2">
      <c r="A6123">
        <v>2558</v>
      </c>
      <c r="B6123" t="s">
        <v>10072</v>
      </c>
      <c r="C6123" t="s">
        <v>18</v>
      </c>
      <c r="D6123" t="s">
        <v>3986</v>
      </c>
      <c r="E6123" t="s">
        <v>3987</v>
      </c>
      <c r="F6123" t="s">
        <v>3988</v>
      </c>
      <c r="G6123" t="s">
        <v>1406</v>
      </c>
      <c r="J6123" t="b">
        <v>0</v>
      </c>
      <c r="K6123" t="b">
        <v>0</v>
      </c>
      <c r="L6123" t="b">
        <v>0</v>
      </c>
      <c r="M6123" t="str">
        <f>HYPERLINK("https://arizona.app.box.com/file/389263701217")</f>
        <v>https://arizona.app.box.com/file/389263701217</v>
      </c>
      <c r="N6123" t="str">
        <f>HYPERLINK("https://arizona.app.box.com/file/389171442397")</f>
        <v>https://arizona.app.box.com/file/389171442397</v>
      </c>
    </row>
    <row r="6124" spans="1:25" x14ac:dyDescent="0.2">
      <c r="A6124">
        <v>2559</v>
      </c>
      <c r="B6124" t="s">
        <v>10072</v>
      </c>
      <c r="C6124" t="s">
        <v>18</v>
      </c>
      <c r="D6124" t="s">
        <v>3973</v>
      </c>
      <c r="E6124" t="s">
        <v>3974</v>
      </c>
      <c r="F6124" t="s">
        <v>205</v>
      </c>
      <c r="G6124" t="s">
        <v>1406</v>
      </c>
      <c r="J6124" t="b">
        <v>0</v>
      </c>
      <c r="K6124" t="b">
        <v>0</v>
      </c>
      <c r="L6124" t="b">
        <v>0</v>
      </c>
      <c r="M6124" t="str">
        <f>HYPERLINK("https://arizona.app.box.com/file/389254000791")</f>
        <v>https://arizona.app.box.com/file/389254000791</v>
      </c>
      <c r="N6124" t="str">
        <f>HYPERLINK("https://arizona.app.box.com/file/386263958257")</f>
        <v>https://arizona.app.box.com/file/386263958257</v>
      </c>
    </row>
    <row r="6125" spans="1:25" x14ac:dyDescent="0.2">
      <c r="A6125">
        <v>2560</v>
      </c>
      <c r="B6125" t="s">
        <v>10072</v>
      </c>
      <c r="C6125" t="s">
        <v>18</v>
      </c>
      <c r="D6125" t="s">
        <v>8412</v>
      </c>
      <c r="E6125" t="s">
        <v>117</v>
      </c>
      <c r="F6125" t="s">
        <v>510</v>
      </c>
      <c r="G6125" t="s">
        <v>1406</v>
      </c>
      <c r="J6125" t="b">
        <v>0</v>
      </c>
      <c r="K6125" t="b">
        <v>0</v>
      </c>
      <c r="L6125" t="b">
        <v>0</v>
      </c>
      <c r="M6125" t="str">
        <f>HYPERLINK("https://arizona.app.box.com/file/389264489874")</f>
        <v>https://arizona.app.box.com/file/389264489874</v>
      </c>
      <c r="N6125" t="str">
        <f>HYPERLINK("https://arizona.app.box.com/file/389165671339")</f>
        <v>https://arizona.app.box.com/file/389165671339</v>
      </c>
    </row>
    <row r="6127" spans="1:25" x14ac:dyDescent="0.2">
      <c r="A6127" s="2">
        <v>3262</v>
      </c>
      <c r="B6127" s="2" t="s">
        <v>10075</v>
      </c>
      <c r="C6127" s="2" t="s">
        <v>13</v>
      </c>
      <c r="D6127" s="2" t="s">
        <v>10076</v>
      </c>
      <c r="E6127" s="2" t="s">
        <v>10077</v>
      </c>
      <c r="F6127" s="2" t="s">
        <v>168</v>
      </c>
      <c r="G6127" s="2" t="s">
        <v>62</v>
      </c>
      <c r="H6127" s="2"/>
      <c r="I6127" s="2"/>
      <c r="J6127" s="2"/>
      <c r="K6127" s="2"/>
      <c r="L6127" s="2"/>
      <c r="M6127" s="2"/>
      <c r="N6127" s="2"/>
      <c r="O6127" s="2"/>
      <c r="P6127" s="2"/>
      <c r="Q6127" s="2"/>
      <c r="R6127" s="2"/>
      <c r="S6127" s="2"/>
      <c r="T6127" s="2"/>
      <c r="U6127" s="2"/>
      <c r="V6127" s="2"/>
      <c r="W6127" s="2"/>
      <c r="X6127" s="2"/>
      <c r="Y6127" s="2"/>
    </row>
    <row r="6128" spans="1:25" x14ac:dyDescent="0.2">
      <c r="A6128">
        <v>3263</v>
      </c>
      <c r="B6128" t="s">
        <v>10075</v>
      </c>
      <c r="C6128" t="s">
        <v>18</v>
      </c>
      <c r="D6128" t="s">
        <v>10076</v>
      </c>
      <c r="E6128" t="s">
        <v>10077</v>
      </c>
      <c r="F6128" t="s">
        <v>168</v>
      </c>
      <c r="G6128" t="s">
        <v>62</v>
      </c>
      <c r="J6128" t="b">
        <v>1</v>
      </c>
      <c r="K6128" t="b">
        <v>1</v>
      </c>
      <c r="L6128" t="b">
        <v>1</v>
      </c>
      <c r="M6128" t="str">
        <f>HYPERLINK("https://arizona.app.box.com/file/386242435350")</f>
        <v>https://arizona.app.box.com/file/386242435350</v>
      </c>
      <c r="N6128" t="str">
        <f>HYPERLINK("https://arizona.app.box.com/file/386216278848")</f>
        <v>https://arizona.app.box.com/file/386216278848</v>
      </c>
    </row>
    <row r="6129" spans="1:25" x14ac:dyDescent="0.2">
      <c r="A6129">
        <v>3264</v>
      </c>
      <c r="B6129" t="s">
        <v>10075</v>
      </c>
      <c r="C6129" t="s">
        <v>18</v>
      </c>
      <c r="D6129" t="s">
        <v>8615</v>
      </c>
      <c r="E6129" t="s">
        <v>8616</v>
      </c>
      <c r="F6129" t="s">
        <v>168</v>
      </c>
      <c r="G6129" t="s">
        <v>24</v>
      </c>
      <c r="J6129" t="b">
        <v>0</v>
      </c>
      <c r="K6129" t="b">
        <v>0</v>
      </c>
      <c r="L6129" t="b">
        <v>0</v>
      </c>
      <c r="M6129" t="str">
        <f>HYPERLINK("https://arizona.app.box.com/file/386213421488")</f>
        <v>https://arizona.app.box.com/file/386213421488</v>
      </c>
      <c r="N6129" t="str">
        <f>HYPERLINK("https://arizona.app.box.com/file/386246645942")</f>
        <v>https://arizona.app.box.com/file/386246645942</v>
      </c>
    </row>
    <row r="6130" spans="1:25" x14ac:dyDescent="0.2">
      <c r="A6130">
        <v>3265</v>
      </c>
      <c r="B6130" t="s">
        <v>10075</v>
      </c>
      <c r="C6130" t="s">
        <v>18</v>
      </c>
      <c r="D6130" t="s">
        <v>6009</v>
      </c>
      <c r="E6130" t="s">
        <v>6010</v>
      </c>
      <c r="F6130" t="s">
        <v>31</v>
      </c>
      <c r="G6130" t="s">
        <v>17</v>
      </c>
      <c r="J6130" t="b">
        <v>0</v>
      </c>
      <c r="K6130" t="b">
        <v>0</v>
      </c>
      <c r="L6130" t="b">
        <v>0</v>
      </c>
      <c r="M6130" t="str">
        <f>HYPERLINK("https://arizona.app.box.com/file/389133410157")</f>
        <v>https://arizona.app.box.com/file/389133410157</v>
      </c>
    </row>
    <row r="6131" spans="1:25" x14ac:dyDescent="0.2">
      <c r="A6131">
        <v>3266</v>
      </c>
      <c r="B6131" t="s">
        <v>10075</v>
      </c>
      <c r="C6131" t="s">
        <v>18</v>
      </c>
      <c r="D6131" t="s">
        <v>10078</v>
      </c>
      <c r="E6131" t="s">
        <v>10079</v>
      </c>
      <c r="F6131" t="s">
        <v>168</v>
      </c>
      <c r="G6131" t="s">
        <v>638</v>
      </c>
      <c r="J6131" t="b">
        <v>0</v>
      </c>
      <c r="K6131" t="b">
        <v>0</v>
      </c>
      <c r="L6131" t="b">
        <v>0</v>
      </c>
    </row>
    <row r="6132" spans="1:25" x14ac:dyDescent="0.2">
      <c r="A6132">
        <v>3267</v>
      </c>
      <c r="B6132" t="s">
        <v>10075</v>
      </c>
      <c r="C6132" t="s">
        <v>18</v>
      </c>
      <c r="D6132" t="s">
        <v>10080</v>
      </c>
      <c r="E6132" t="s">
        <v>3855</v>
      </c>
      <c r="F6132" t="s">
        <v>82</v>
      </c>
      <c r="G6132" t="s">
        <v>32</v>
      </c>
      <c r="J6132" t="b">
        <v>0</v>
      </c>
      <c r="K6132" t="b">
        <v>0</v>
      </c>
      <c r="L6132" t="b">
        <v>0</v>
      </c>
    </row>
    <row r="6134" spans="1:25" x14ac:dyDescent="0.2">
      <c r="A6134" s="2">
        <v>5488</v>
      </c>
      <c r="B6134" s="2" t="s">
        <v>10081</v>
      </c>
      <c r="C6134" s="2" t="s">
        <v>13</v>
      </c>
      <c r="D6134" s="2" t="s">
        <v>10082</v>
      </c>
      <c r="E6134" s="2" t="s">
        <v>10083</v>
      </c>
      <c r="F6134" s="2" t="s">
        <v>205</v>
      </c>
      <c r="G6134" s="2" t="s">
        <v>10084</v>
      </c>
      <c r="H6134" s="2"/>
      <c r="I6134" s="2"/>
      <c r="J6134" s="2"/>
      <c r="K6134" s="2"/>
      <c r="L6134" s="2"/>
      <c r="M6134" s="2"/>
      <c r="N6134" s="2"/>
      <c r="O6134" s="2"/>
      <c r="P6134" s="2"/>
      <c r="Q6134" s="2"/>
      <c r="R6134" s="2"/>
      <c r="S6134" s="2"/>
      <c r="T6134" s="2"/>
      <c r="U6134" s="2"/>
      <c r="V6134" s="2"/>
      <c r="W6134" s="2"/>
      <c r="X6134" s="2"/>
      <c r="Y6134" s="2"/>
    </row>
    <row r="6135" spans="1:25" x14ac:dyDescent="0.2">
      <c r="A6135">
        <v>5489</v>
      </c>
      <c r="B6135" t="s">
        <v>10081</v>
      </c>
      <c r="C6135" t="s">
        <v>18</v>
      </c>
      <c r="D6135" t="s">
        <v>10082</v>
      </c>
      <c r="E6135" t="s">
        <v>10085</v>
      </c>
      <c r="F6135" t="s">
        <v>205</v>
      </c>
      <c r="G6135" t="s">
        <v>10084</v>
      </c>
      <c r="J6135" t="b">
        <v>1</v>
      </c>
      <c r="K6135" t="b">
        <v>1</v>
      </c>
      <c r="L6135" t="b">
        <v>1</v>
      </c>
    </row>
    <row r="6136" spans="1:25" x14ac:dyDescent="0.2">
      <c r="A6136">
        <v>5490</v>
      </c>
      <c r="B6136" t="s">
        <v>10081</v>
      </c>
      <c r="C6136" t="s">
        <v>18</v>
      </c>
      <c r="D6136" t="s">
        <v>10086</v>
      </c>
      <c r="E6136" t="s">
        <v>9092</v>
      </c>
      <c r="F6136" t="s">
        <v>205</v>
      </c>
      <c r="G6136" t="s">
        <v>10084</v>
      </c>
      <c r="J6136" t="b">
        <v>1</v>
      </c>
      <c r="K6136" t="b">
        <v>1</v>
      </c>
      <c r="L6136" t="b">
        <v>1</v>
      </c>
      <c r="M6136" t="str">
        <f>HYPERLINK("https://arizona.app.box.com/file/386246184598")</f>
        <v>https://arizona.app.box.com/file/386246184598</v>
      </c>
    </row>
    <row r="6137" spans="1:25" x14ac:dyDescent="0.2">
      <c r="A6137">
        <v>5491</v>
      </c>
      <c r="B6137" t="s">
        <v>10081</v>
      </c>
      <c r="C6137" t="s">
        <v>18</v>
      </c>
      <c r="D6137" t="s">
        <v>8385</v>
      </c>
      <c r="E6137" t="s">
        <v>8386</v>
      </c>
      <c r="F6137" t="s">
        <v>78</v>
      </c>
      <c r="G6137" t="s">
        <v>88</v>
      </c>
      <c r="J6137" t="b">
        <v>0</v>
      </c>
      <c r="K6137" t="b">
        <v>0</v>
      </c>
      <c r="L6137" t="b">
        <v>0</v>
      </c>
      <c r="M6137" t="str">
        <f>HYPERLINK("https://arizona.app.box.com/file/386241227789")</f>
        <v>https://arizona.app.box.com/file/386241227789</v>
      </c>
      <c r="N6137" t="str">
        <f>HYPERLINK("https://arizona.app.box.com/file/386232732218")</f>
        <v>https://arizona.app.box.com/file/386232732218</v>
      </c>
    </row>
    <row r="6138" spans="1:25" x14ac:dyDescent="0.2">
      <c r="A6138">
        <v>5492</v>
      </c>
      <c r="B6138" t="s">
        <v>10081</v>
      </c>
      <c r="C6138" t="s">
        <v>18</v>
      </c>
      <c r="D6138" t="s">
        <v>10087</v>
      </c>
      <c r="E6138" t="s">
        <v>10088</v>
      </c>
      <c r="F6138" t="s">
        <v>78</v>
      </c>
      <c r="G6138" t="s">
        <v>88</v>
      </c>
      <c r="J6138" t="b">
        <v>0</v>
      </c>
      <c r="K6138" t="b">
        <v>0</v>
      </c>
      <c r="L6138" t="b">
        <v>0</v>
      </c>
    </row>
    <row r="6139" spans="1:25" x14ac:dyDescent="0.2">
      <c r="A6139">
        <v>5493</v>
      </c>
      <c r="B6139" t="s">
        <v>10081</v>
      </c>
      <c r="C6139" t="s">
        <v>18</v>
      </c>
      <c r="D6139" t="s">
        <v>8383</v>
      </c>
      <c r="E6139" t="s">
        <v>8384</v>
      </c>
      <c r="F6139" t="s">
        <v>78</v>
      </c>
      <c r="G6139" t="s">
        <v>88</v>
      </c>
      <c r="J6139" t="b">
        <v>0</v>
      </c>
      <c r="K6139" t="b">
        <v>0</v>
      </c>
      <c r="L6139" t="b">
        <v>0</v>
      </c>
      <c r="M6139" t="str">
        <f>HYPERLINK("https://arizona.app.box.com/file/386252887500")</f>
        <v>https://arizona.app.box.com/file/386252887500</v>
      </c>
    </row>
    <row r="6141" spans="1:25" x14ac:dyDescent="0.2">
      <c r="A6141" s="2">
        <v>5551</v>
      </c>
      <c r="B6141" s="2" t="s">
        <v>10089</v>
      </c>
      <c r="C6141" s="2" t="s">
        <v>13</v>
      </c>
      <c r="D6141" s="2" t="s">
        <v>10090</v>
      </c>
      <c r="E6141" s="2" t="s">
        <v>10091</v>
      </c>
      <c r="F6141" s="2" t="s">
        <v>2924</v>
      </c>
      <c r="G6141" s="2" t="s">
        <v>8528</v>
      </c>
      <c r="H6141" s="2"/>
      <c r="I6141" s="2"/>
      <c r="J6141" s="2"/>
      <c r="K6141" s="2"/>
      <c r="L6141" s="2"/>
      <c r="M6141" s="2"/>
      <c r="N6141" s="2"/>
      <c r="O6141" s="2"/>
      <c r="P6141" s="2"/>
      <c r="Q6141" s="2"/>
      <c r="R6141" s="2"/>
      <c r="S6141" s="2"/>
      <c r="T6141" s="2"/>
      <c r="U6141" s="2"/>
      <c r="V6141" s="2"/>
      <c r="W6141" s="2"/>
      <c r="X6141" s="2"/>
      <c r="Y6141" s="2"/>
    </row>
    <row r="6142" spans="1:25" x14ac:dyDescent="0.2">
      <c r="A6142">
        <v>5552</v>
      </c>
      <c r="B6142" t="s">
        <v>10089</v>
      </c>
      <c r="C6142" t="s">
        <v>18</v>
      </c>
      <c r="D6142" t="s">
        <v>10090</v>
      </c>
      <c r="E6142" t="s">
        <v>10092</v>
      </c>
      <c r="F6142" t="s">
        <v>2924</v>
      </c>
      <c r="G6142" t="s">
        <v>8528</v>
      </c>
      <c r="J6142" t="b">
        <v>1</v>
      </c>
      <c r="K6142" t="b">
        <v>1</v>
      </c>
      <c r="L6142" t="b">
        <v>1</v>
      </c>
      <c r="M6142" t="str">
        <f>HYPERLINK("https://arizona.app.box.com/file/389169835820")</f>
        <v>https://arizona.app.box.com/file/389169835820</v>
      </c>
    </row>
    <row r="6143" spans="1:25" x14ac:dyDescent="0.2">
      <c r="A6143">
        <v>5553</v>
      </c>
      <c r="B6143" t="s">
        <v>10089</v>
      </c>
      <c r="C6143" t="s">
        <v>18</v>
      </c>
      <c r="D6143" t="s">
        <v>10093</v>
      </c>
      <c r="E6143" t="s">
        <v>10094</v>
      </c>
      <c r="F6143" t="s">
        <v>82</v>
      </c>
      <c r="G6143" t="s">
        <v>8528</v>
      </c>
      <c r="J6143" t="b">
        <v>0</v>
      </c>
      <c r="K6143" t="b">
        <v>0</v>
      </c>
      <c r="L6143" t="b">
        <v>0</v>
      </c>
    </row>
    <row r="6144" spans="1:25" x14ac:dyDescent="0.2">
      <c r="A6144">
        <v>5554</v>
      </c>
      <c r="B6144" t="s">
        <v>10089</v>
      </c>
      <c r="C6144" t="s">
        <v>18</v>
      </c>
      <c r="D6144" t="s">
        <v>6852</v>
      </c>
      <c r="E6144" t="s">
        <v>6853</v>
      </c>
      <c r="F6144" t="s">
        <v>82</v>
      </c>
      <c r="G6144" t="s">
        <v>6854</v>
      </c>
      <c r="J6144" t="b">
        <v>0</v>
      </c>
      <c r="K6144" t="b">
        <v>0</v>
      </c>
      <c r="L6144" t="b">
        <v>0</v>
      </c>
      <c r="M6144" t="str">
        <f>HYPERLINK("https://arizona.app.box.com/file/389262523862")</f>
        <v>https://arizona.app.box.com/file/389262523862</v>
      </c>
    </row>
    <row r="6145" spans="1:25" x14ac:dyDescent="0.2">
      <c r="A6145">
        <v>5555</v>
      </c>
      <c r="B6145" t="s">
        <v>10089</v>
      </c>
      <c r="C6145" t="s">
        <v>18</v>
      </c>
      <c r="D6145" t="s">
        <v>8512</v>
      </c>
      <c r="E6145" t="s">
        <v>8513</v>
      </c>
      <c r="F6145" t="s">
        <v>82</v>
      </c>
      <c r="G6145" t="s">
        <v>17</v>
      </c>
      <c r="J6145" t="b">
        <v>0</v>
      </c>
      <c r="K6145" t="b">
        <v>0</v>
      </c>
      <c r="L6145" t="b">
        <v>0</v>
      </c>
    </row>
    <row r="6146" spans="1:25" x14ac:dyDescent="0.2">
      <c r="A6146">
        <v>5556</v>
      </c>
      <c r="B6146" t="s">
        <v>10089</v>
      </c>
      <c r="C6146" t="s">
        <v>18</v>
      </c>
      <c r="D6146" t="s">
        <v>7049</v>
      </c>
      <c r="E6146" t="s">
        <v>407</v>
      </c>
      <c r="F6146" t="s">
        <v>369</v>
      </c>
      <c r="G6146" t="s">
        <v>32</v>
      </c>
      <c r="J6146" t="b">
        <v>0</v>
      </c>
      <c r="K6146" t="b">
        <v>0</v>
      </c>
      <c r="L6146" t="b">
        <v>0</v>
      </c>
      <c r="M6146" t="str">
        <f>HYPERLINK("https://arizona.app.box.com/file/389263760115")</f>
        <v>https://arizona.app.box.com/file/389263760115</v>
      </c>
      <c r="N6146" t="str">
        <f>HYPERLINK("https://arizona.app.box.com/file/389169036394")</f>
        <v>https://arizona.app.box.com/file/389169036394</v>
      </c>
    </row>
    <row r="6148" spans="1:25" x14ac:dyDescent="0.2">
      <c r="A6148" s="2">
        <v>6713</v>
      </c>
      <c r="B6148" s="2" t="s">
        <v>10095</v>
      </c>
      <c r="C6148" s="2" t="s">
        <v>13</v>
      </c>
      <c r="D6148" s="2" t="s">
        <v>8672</v>
      </c>
      <c r="E6148" s="2" t="s">
        <v>10096</v>
      </c>
      <c r="F6148" s="2" t="s">
        <v>159</v>
      </c>
      <c r="G6148" s="2" t="s">
        <v>879</v>
      </c>
      <c r="H6148" s="2"/>
      <c r="I6148" s="2"/>
      <c r="J6148" s="2"/>
      <c r="K6148" s="2"/>
      <c r="L6148" s="2"/>
      <c r="M6148" s="2"/>
      <c r="N6148" s="2"/>
      <c r="O6148" s="2"/>
      <c r="P6148" s="2"/>
      <c r="Q6148" s="2"/>
      <c r="R6148" s="2"/>
      <c r="S6148" s="2"/>
      <c r="T6148" s="2"/>
      <c r="U6148" s="2"/>
      <c r="V6148" s="2"/>
      <c r="W6148" s="2"/>
      <c r="X6148" s="2"/>
      <c r="Y6148" s="2"/>
    </row>
    <row r="6149" spans="1:25" x14ac:dyDescent="0.2">
      <c r="A6149">
        <v>6714</v>
      </c>
      <c r="B6149" t="s">
        <v>10095</v>
      </c>
      <c r="C6149" t="s">
        <v>18</v>
      </c>
      <c r="D6149" t="s">
        <v>8672</v>
      </c>
      <c r="E6149" t="s">
        <v>2285</v>
      </c>
      <c r="F6149" t="s">
        <v>159</v>
      </c>
      <c r="G6149" t="s">
        <v>879</v>
      </c>
      <c r="J6149" t="b">
        <v>1</v>
      </c>
      <c r="K6149" t="b">
        <v>1</v>
      </c>
      <c r="L6149" t="b">
        <v>1</v>
      </c>
      <c r="M6149" t="str">
        <f>HYPERLINK("https://arizona.app.box.com/file/389169858247")</f>
        <v>https://arizona.app.box.com/file/389169858247</v>
      </c>
      <c r="N6149" t="str">
        <f>HYPERLINK("https://arizona.app.box.com/file/386239155768")</f>
        <v>https://arizona.app.box.com/file/386239155768</v>
      </c>
    </row>
    <row r="6150" spans="1:25" x14ac:dyDescent="0.2">
      <c r="A6150">
        <v>6715</v>
      </c>
      <c r="B6150" t="s">
        <v>10095</v>
      </c>
      <c r="C6150" t="s">
        <v>18</v>
      </c>
      <c r="D6150" t="s">
        <v>10097</v>
      </c>
      <c r="E6150" t="s">
        <v>2490</v>
      </c>
      <c r="F6150" t="s">
        <v>87</v>
      </c>
      <c r="G6150" t="s">
        <v>879</v>
      </c>
      <c r="J6150" t="b">
        <v>1</v>
      </c>
      <c r="K6150" t="b">
        <v>1</v>
      </c>
      <c r="L6150" t="b">
        <v>1</v>
      </c>
      <c r="M6150" t="str">
        <f>HYPERLINK("https://arizona.app.box.com/file/386243315706")</f>
        <v>https://arizona.app.box.com/file/386243315706</v>
      </c>
    </row>
    <row r="6151" spans="1:25" x14ac:dyDescent="0.2">
      <c r="A6151">
        <v>6716</v>
      </c>
      <c r="B6151" t="s">
        <v>10095</v>
      </c>
      <c r="C6151" t="s">
        <v>18</v>
      </c>
      <c r="D6151" t="s">
        <v>8675</v>
      </c>
      <c r="E6151" t="s">
        <v>8676</v>
      </c>
      <c r="F6151" t="s">
        <v>159</v>
      </c>
      <c r="G6151" t="s">
        <v>62</v>
      </c>
      <c r="J6151" t="b">
        <v>0</v>
      </c>
      <c r="K6151" t="b">
        <v>0</v>
      </c>
      <c r="L6151" t="b">
        <v>0</v>
      </c>
      <c r="M6151" t="str">
        <f>HYPERLINK("https://arizona.app.box.com/file/386217715547")</f>
        <v>https://arizona.app.box.com/file/386217715547</v>
      </c>
    </row>
    <row r="6152" spans="1:25" x14ac:dyDescent="0.2">
      <c r="A6152">
        <v>6717</v>
      </c>
      <c r="B6152" t="s">
        <v>10095</v>
      </c>
      <c r="C6152" t="s">
        <v>18</v>
      </c>
      <c r="D6152" t="s">
        <v>2518</v>
      </c>
      <c r="E6152" t="s">
        <v>2519</v>
      </c>
      <c r="F6152" t="s">
        <v>87</v>
      </c>
      <c r="G6152" t="s">
        <v>879</v>
      </c>
      <c r="J6152" t="b">
        <v>0</v>
      </c>
      <c r="K6152" t="b">
        <v>0</v>
      </c>
      <c r="L6152" t="b">
        <v>0</v>
      </c>
      <c r="M6152" t="str">
        <f>HYPERLINK("https://arizona.app.box.com/file/386245183802")</f>
        <v>https://arizona.app.box.com/file/386245183802</v>
      </c>
    </row>
    <row r="6153" spans="1:25" x14ac:dyDescent="0.2">
      <c r="A6153">
        <v>6718</v>
      </c>
      <c r="B6153" t="s">
        <v>10095</v>
      </c>
      <c r="C6153" t="s">
        <v>18</v>
      </c>
      <c r="D6153" t="s">
        <v>2398</v>
      </c>
      <c r="E6153" t="s">
        <v>2399</v>
      </c>
      <c r="F6153" t="s">
        <v>144</v>
      </c>
      <c r="G6153" t="s">
        <v>879</v>
      </c>
      <c r="J6153" t="b">
        <v>0</v>
      </c>
      <c r="K6153" t="b">
        <v>0</v>
      </c>
      <c r="L6153" t="b">
        <v>0</v>
      </c>
      <c r="M6153" t="str">
        <f>HYPERLINK("https://arizona.app.box.com/file/389264066670")</f>
        <v>https://arizona.app.box.com/file/389264066670</v>
      </c>
      <c r="N6153" t="str">
        <f>HYPERLINK("https://arizona.app.box.com/file/389159540067")</f>
        <v>https://arizona.app.box.com/file/389159540067</v>
      </c>
    </row>
    <row r="6155" spans="1:25" x14ac:dyDescent="0.2">
      <c r="A6155" s="2">
        <v>6930</v>
      </c>
      <c r="B6155" s="2" t="s">
        <v>10098</v>
      </c>
      <c r="C6155" s="2" t="s">
        <v>13</v>
      </c>
      <c r="D6155" s="2" t="s">
        <v>5167</v>
      </c>
      <c r="E6155" s="2" t="s">
        <v>10099</v>
      </c>
      <c r="F6155" s="2" t="s">
        <v>78</v>
      </c>
      <c r="G6155" s="2" t="s">
        <v>17</v>
      </c>
      <c r="H6155" s="2"/>
      <c r="I6155" s="2"/>
      <c r="J6155" s="2"/>
      <c r="K6155" s="2"/>
      <c r="L6155" s="2"/>
      <c r="M6155" s="2"/>
      <c r="N6155" s="2"/>
      <c r="O6155" s="2"/>
      <c r="P6155" s="2"/>
      <c r="Q6155" s="2"/>
      <c r="R6155" s="2"/>
      <c r="S6155" s="2"/>
      <c r="T6155" s="2"/>
      <c r="U6155" s="2"/>
      <c r="V6155" s="2"/>
      <c r="W6155" s="2"/>
      <c r="X6155" s="2"/>
      <c r="Y6155" s="2"/>
    </row>
    <row r="6156" spans="1:25" x14ac:dyDescent="0.2">
      <c r="A6156">
        <v>6931</v>
      </c>
      <c r="B6156" t="s">
        <v>10098</v>
      </c>
      <c r="C6156" t="s">
        <v>18</v>
      </c>
      <c r="D6156" t="s">
        <v>5167</v>
      </c>
      <c r="E6156" t="s">
        <v>3101</v>
      </c>
      <c r="F6156" t="s">
        <v>78</v>
      </c>
      <c r="G6156" t="s">
        <v>17</v>
      </c>
      <c r="J6156" t="b">
        <v>1</v>
      </c>
      <c r="K6156" t="b">
        <v>1</v>
      </c>
      <c r="L6156" t="b">
        <v>1</v>
      </c>
      <c r="M6156" t="str">
        <f>HYPERLINK("https://arizona.app.box.com/file/389255221327")</f>
        <v>https://arizona.app.box.com/file/389255221327</v>
      </c>
    </row>
    <row r="6157" spans="1:25" x14ac:dyDescent="0.2">
      <c r="A6157">
        <v>6932</v>
      </c>
      <c r="B6157" t="s">
        <v>10098</v>
      </c>
      <c r="C6157" t="s">
        <v>18</v>
      </c>
      <c r="D6157" t="s">
        <v>5164</v>
      </c>
      <c r="E6157" t="s">
        <v>323</v>
      </c>
      <c r="F6157" t="s">
        <v>78</v>
      </c>
      <c r="G6157" t="s">
        <v>17</v>
      </c>
      <c r="J6157" t="b">
        <v>1</v>
      </c>
      <c r="K6157" t="b">
        <v>1</v>
      </c>
      <c r="L6157" t="b">
        <v>1</v>
      </c>
      <c r="M6157" t="str">
        <f>HYPERLINK("https://arizona.app.box.com/file/389266966562")</f>
        <v>https://arizona.app.box.com/file/389266966562</v>
      </c>
      <c r="N6157" t="str">
        <f>HYPERLINK("https://arizona.app.box.com/file/389162206398")</f>
        <v>https://arizona.app.box.com/file/389162206398</v>
      </c>
    </row>
    <row r="6158" spans="1:25" x14ac:dyDescent="0.2">
      <c r="A6158">
        <v>6933</v>
      </c>
      <c r="B6158" t="s">
        <v>10098</v>
      </c>
      <c r="C6158" t="s">
        <v>18</v>
      </c>
      <c r="D6158" t="s">
        <v>5155</v>
      </c>
      <c r="E6158" t="s">
        <v>5156</v>
      </c>
      <c r="F6158" t="s">
        <v>78</v>
      </c>
      <c r="G6158" t="s">
        <v>17</v>
      </c>
      <c r="J6158" t="b">
        <v>0</v>
      </c>
      <c r="K6158" t="b">
        <v>0</v>
      </c>
      <c r="L6158" t="b">
        <v>0</v>
      </c>
      <c r="M6158" t="str">
        <f>HYPERLINK("https://arizona.app.box.com/file/389137936828")</f>
        <v>https://arizona.app.box.com/file/389137936828</v>
      </c>
      <c r="N6158" t="str">
        <f>HYPERLINK("https://arizona.app.box.com/file/389151785542")</f>
        <v>https://arizona.app.box.com/file/389151785542</v>
      </c>
    </row>
    <row r="6159" spans="1:25" x14ac:dyDescent="0.2">
      <c r="A6159">
        <v>6934</v>
      </c>
      <c r="B6159" t="s">
        <v>10098</v>
      </c>
      <c r="C6159" t="s">
        <v>18</v>
      </c>
      <c r="D6159" t="s">
        <v>10100</v>
      </c>
      <c r="E6159" t="s">
        <v>4847</v>
      </c>
      <c r="F6159" t="s">
        <v>174</v>
      </c>
      <c r="G6159" t="s">
        <v>17</v>
      </c>
      <c r="J6159" t="b">
        <v>0</v>
      </c>
      <c r="K6159" t="b">
        <v>0</v>
      </c>
      <c r="L6159" t="b">
        <v>0</v>
      </c>
      <c r="M6159" t="str">
        <f>HYPERLINK("https://arizona.app.box.com/file/389167189507")</f>
        <v>https://arizona.app.box.com/file/389167189507</v>
      </c>
    </row>
    <row r="6160" spans="1:25" x14ac:dyDescent="0.2">
      <c r="A6160">
        <v>6935</v>
      </c>
      <c r="B6160" t="s">
        <v>10098</v>
      </c>
      <c r="C6160" t="s">
        <v>18</v>
      </c>
      <c r="D6160" t="s">
        <v>9478</v>
      </c>
      <c r="E6160" t="s">
        <v>7381</v>
      </c>
      <c r="F6160" t="s">
        <v>78</v>
      </c>
      <c r="G6160" t="s">
        <v>411</v>
      </c>
      <c r="J6160" t="b">
        <v>0</v>
      </c>
      <c r="K6160" t="b">
        <v>0</v>
      </c>
      <c r="L6160" t="b">
        <v>0</v>
      </c>
      <c r="M6160" t="str">
        <f>HYPERLINK("https://arizona.app.box.com/file/389261875456")</f>
        <v>https://arizona.app.box.com/file/389261875456</v>
      </c>
      <c r="N6160" t="str">
        <f>HYPERLINK("https://arizona.app.box.com/file/389165535643")</f>
        <v>https://arizona.app.box.com/file/389165535643</v>
      </c>
    </row>
    <row r="6162" spans="1:25" x14ac:dyDescent="0.2">
      <c r="A6162" s="2">
        <v>7</v>
      </c>
      <c r="B6162" s="2" t="s">
        <v>10101</v>
      </c>
      <c r="C6162" s="2" t="s">
        <v>13</v>
      </c>
      <c r="D6162" s="2" t="s">
        <v>8011</v>
      </c>
      <c r="E6162" s="2" t="s">
        <v>10102</v>
      </c>
      <c r="F6162" s="2" t="s">
        <v>122</v>
      </c>
      <c r="G6162" s="2" t="s">
        <v>62</v>
      </c>
      <c r="H6162" s="2"/>
      <c r="I6162" s="2"/>
      <c r="J6162" s="2"/>
      <c r="K6162" s="2"/>
      <c r="L6162" s="2"/>
      <c r="M6162" s="2"/>
      <c r="N6162" s="2"/>
      <c r="O6162" s="2"/>
      <c r="P6162" s="2"/>
      <c r="Q6162" s="2"/>
      <c r="R6162" s="2"/>
      <c r="S6162" s="2"/>
      <c r="T6162" s="2"/>
      <c r="U6162" s="2"/>
      <c r="V6162" s="2"/>
      <c r="W6162" s="2"/>
      <c r="X6162" s="2"/>
      <c r="Y6162" s="2"/>
    </row>
    <row r="6163" spans="1:25" x14ac:dyDescent="0.2">
      <c r="A6163">
        <v>8</v>
      </c>
      <c r="B6163" t="s">
        <v>10101</v>
      </c>
      <c r="C6163" t="s">
        <v>18</v>
      </c>
      <c r="D6163" t="s">
        <v>8011</v>
      </c>
      <c r="E6163" t="s">
        <v>1185</v>
      </c>
      <c r="F6163" t="s">
        <v>122</v>
      </c>
      <c r="G6163" t="s">
        <v>62</v>
      </c>
      <c r="J6163" t="b">
        <v>1</v>
      </c>
      <c r="K6163" t="b">
        <v>1</v>
      </c>
      <c r="L6163" t="b">
        <v>1</v>
      </c>
      <c r="M6163" t="str">
        <f>HYPERLINK("https://arizona.app.box.com/file/389173043502")</f>
        <v>https://arizona.app.box.com/file/389173043502</v>
      </c>
      <c r="N6163" t="str">
        <f>HYPERLINK("https://arizona.app.box.com/file/386238302079")</f>
        <v>https://arizona.app.box.com/file/386238302079</v>
      </c>
    </row>
    <row r="6164" spans="1:25" x14ac:dyDescent="0.2">
      <c r="A6164">
        <v>9</v>
      </c>
      <c r="B6164" t="s">
        <v>10101</v>
      </c>
      <c r="C6164" t="s">
        <v>18</v>
      </c>
      <c r="D6164" t="s">
        <v>8293</v>
      </c>
      <c r="E6164" t="s">
        <v>4471</v>
      </c>
      <c r="F6164" t="s">
        <v>122</v>
      </c>
      <c r="G6164" t="s">
        <v>62</v>
      </c>
      <c r="J6164" t="b">
        <v>1</v>
      </c>
      <c r="K6164" t="b">
        <v>1</v>
      </c>
      <c r="L6164" t="b">
        <v>1</v>
      </c>
      <c r="M6164" t="str">
        <f>HYPERLINK("https://arizona.app.box.com/file/389267467537")</f>
        <v>https://arizona.app.box.com/file/389267467537</v>
      </c>
      <c r="N6164" t="str">
        <f>HYPERLINK("https://arizona.app.box.com/file/389168743346")</f>
        <v>https://arizona.app.box.com/file/389168743346</v>
      </c>
    </row>
    <row r="6165" spans="1:25" x14ac:dyDescent="0.2">
      <c r="A6165">
        <v>10</v>
      </c>
      <c r="B6165" t="s">
        <v>10101</v>
      </c>
      <c r="C6165" t="s">
        <v>18</v>
      </c>
      <c r="D6165" t="s">
        <v>4891</v>
      </c>
      <c r="E6165" t="s">
        <v>4892</v>
      </c>
      <c r="F6165" t="s">
        <v>420</v>
      </c>
      <c r="G6165" t="s">
        <v>62</v>
      </c>
      <c r="J6165" t="b">
        <v>0</v>
      </c>
      <c r="K6165" t="b">
        <v>0</v>
      </c>
      <c r="L6165" t="b">
        <v>0</v>
      </c>
      <c r="M6165" t="str">
        <f>HYPERLINK("https://arizona.app.box.com/file/389264059582")</f>
        <v>https://arizona.app.box.com/file/389264059582</v>
      </c>
      <c r="N6165" t="str">
        <f>HYPERLINK("https://arizona.app.box.com/file/389138084390")</f>
        <v>https://arizona.app.box.com/file/389138084390</v>
      </c>
    </row>
    <row r="6166" spans="1:25" x14ac:dyDescent="0.2">
      <c r="A6166">
        <v>11</v>
      </c>
      <c r="B6166" t="s">
        <v>10101</v>
      </c>
      <c r="C6166" t="s">
        <v>18</v>
      </c>
      <c r="D6166" t="s">
        <v>10103</v>
      </c>
      <c r="E6166" t="s">
        <v>9021</v>
      </c>
      <c r="F6166" t="s">
        <v>78</v>
      </c>
      <c r="G6166" t="s">
        <v>8084</v>
      </c>
      <c r="J6166" t="b">
        <v>0</v>
      </c>
      <c r="K6166" t="b">
        <v>0</v>
      </c>
      <c r="L6166" t="b">
        <v>0</v>
      </c>
      <c r="M6166" t="str">
        <f>HYPERLINK("https://arizona.app.box.com/file/389184957705")</f>
        <v>https://arizona.app.box.com/file/389184957705</v>
      </c>
    </row>
    <row r="6167" spans="1:25" x14ac:dyDescent="0.2">
      <c r="A6167">
        <v>12</v>
      </c>
      <c r="B6167" t="s">
        <v>10101</v>
      </c>
      <c r="C6167" t="s">
        <v>18</v>
      </c>
      <c r="D6167" t="s">
        <v>10104</v>
      </c>
      <c r="E6167" t="s">
        <v>10105</v>
      </c>
      <c r="F6167" t="s">
        <v>78</v>
      </c>
      <c r="G6167" t="s">
        <v>8084</v>
      </c>
      <c r="J6167" t="b">
        <v>0</v>
      </c>
      <c r="K6167" t="b">
        <v>0</v>
      </c>
      <c r="L6167" t="b">
        <v>0</v>
      </c>
      <c r="M6167" t="str">
        <f>HYPERLINK("https://arizona.app.box.com/file/389174303994")</f>
        <v>https://arizona.app.box.com/file/389174303994</v>
      </c>
      <c r="N6167" t="str">
        <f>HYPERLINK("https://arizona.app.box.com/file/386238760471")</f>
        <v>https://arizona.app.box.com/file/386238760471</v>
      </c>
    </row>
    <row r="6169" spans="1:25" x14ac:dyDescent="0.2">
      <c r="A6169" s="2">
        <v>7056</v>
      </c>
      <c r="B6169" s="2" t="s">
        <v>10106</v>
      </c>
      <c r="C6169" s="2" t="s">
        <v>13</v>
      </c>
      <c r="D6169" s="2" t="s">
        <v>10107</v>
      </c>
      <c r="E6169" s="2" t="s">
        <v>10108</v>
      </c>
      <c r="F6169" s="2" t="s">
        <v>78</v>
      </c>
      <c r="G6169" s="2" t="s">
        <v>17</v>
      </c>
      <c r="H6169" s="2"/>
      <c r="I6169" s="2"/>
      <c r="J6169" s="2"/>
      <c r="K6169" s="2"/>
      <c r="L6169" s="2"/>
      <c r="M6169" s="2"/>
      <c r="N6169" s="2"/>
      <c r="O6169" s="2"/>
      <c r="P6169" s="2"/>
      <c r="Q6169" s="2"/>
      <c r="R6169" s="2"/>
      <c r="S6169" s="2"/>
      <c r="T6169" s="2"/>
      <c r="U6169" s="2"/>
      <c r="V6169" s="2"/>
      <c r="W6169" s="2"/>
      <c r="X6169" s="2"/>
      <c r="Y6169" s="2"/>
    </row>
    <row r="6170" spans="1:25" x14ac:dyDescent="0.2">
      <c r="A6170">
        <v>7057</v>
      </c>
      <c r="B6170" t="s">
        <v>10106</v>
      </c>
      <c r="C6170" t="s">
        <v>18</v>
      </c>
      <c r="D6170" t="s">
        <v>10107</v>
      </c>
      <c r="E6170" t="s">
        <v>10109</v>
      </c>
      <c r="F6170" t="s">
        <v>78</v>
      </c>
      <c r="G6170" t="s">
        <v>17</v>
      </c>
      <c r="J6170" t="b">
        <v>1</v>
      </c>
      <c r="K6170" t="b">
        <v>1</v>
      </c>
      <c r="L6170" t="b">
        <v>1</v>
      </c>
      <c r="M6170" t="str">
        <f>HYPERLINK("https://arizona.app.box.com/file/389132882305")</f>
        <v>https://arizona.app.box.com/file/389132882305</v>
      </c>
      <c r="N6170" t="str">
        <f>HYPERLINK("https://arizona.app.box.com/file/389164341404")</f>
        <v>https://arizona.app.box.com/file/389164341404</v>
      </c>
    </row>
    <row r="6171" spans="1:25" x14ac:dyDescent="0.2">
      <c r="A6171">
        <v>7058</v>
      </c>
      <c r="B6171" t="s">
        <v>10106</v>
      </c>
      <c r="C6171" t="s">
        <v>18</v>
      </c>
      <c r="D6171" t="s">
        <v>9003</v>
      </c>
      <c r="E6171" t="s">
        <v>8384</v>
      </c>
      <c r="F6171" t="s">
        <v>78</v>
      </c>
      <c r="G6171" t="s">
        <v>17</v>
      </c>
      <c r="J6171" t="b">
        <v>1</v>
      </c>
      <c r="K6171" t="b">
        <v>0</v>
      </c>
      <c r="L6171" t="b">
        <v>1</v>
      </c>
      <c r="M6171" t="str">
        <f>HYPERLINK("https://arizona.app.box.com/file/386239800820")</f>
        <v>https://arizona.app.box.com/file/386239800820</v>
      </c>
    </row>
    <row r="6172" spans="1:25" x14ac:dyDescent="0.2">
      <c r="A6172">
        <v>7059</v>
      </c>
      <c r="B6172" t="s">
        <v>10106</v>
      </c>
      <c r="C6172" t="s">
        <v>18</v>
      </c>
      <c r="D6172" t="s">
        <v>108</v>
      </c>
      <c r="E6172" t="s">
        <v>109</v>
      </c>
      <c r="F6172" t="s">
        <v>78</v>
      </c>
      <c r="G6172" t="s">
        <v>17</v>
      </c>
      <c r="J6172" t="b">
        <v>0</v>
      </c>
      <c r="K6172" t="b">
        <v>0</v>
      </c>
      <c r="L6172" t="b">
        <v>0</v>
      </c>
      <c r="M6172" t="str">
        <f>HYPERLINK("https://arizona.app.box.com/file/389151521009")</f>
        <v>https://arizona.app.box.com/file/389151521009</v>
      </c>
    </row>
    <row r="6173" spans="1:25" x14ac:dyDescent="0.2">
      <c r="A6173">
        <v>7060</v>
      </c>
      <c r="B6173" t="s">
        <v>10106</v>
      </c>
      <c r="C6173" t="s">
        <v>18</v>
      </c>
      <c r="D6173" t="s">
        <v>10110</v>
      </c>
      <c r="E6173" t="s">
        <v>10111</v>
      </c>
      <c r="F6173" t="s">
        <v>78</v>
      </c>
      <c r="G6173" t="s">
        <v>17</v>
      </c>
      <c r="J6173" t="b">
        <v>1</v>
      </c>
      <c r="K6173" t="b">
        <v>0</v>
      </c>
      <c r="L6173" t="b">
        <v>1</v>
      </c>
      <c r="M6173" t="str">
        <f>HYPERLINK("https://arizona.app.box.com/file/389267716476")</f>
        <v>https://arizona.app.box.com/file/389267716476</v>
      </c>
      <c r="N6173" t="str">
        <f>HYPERLINK("https://arizona.app.box.com/file/389169146157")</f>
        <v>https://arizona.app.box.com/file/389169146157</v>
      </c>
      <c r="O6173" t="str">
        <f>HYPERLINK("https://arizona.app.box.com/file/389266961507")</f>
        <v>https://arizona.app.box.com/file/389266961507</v>
      </c>
      <c r="P6173" t="str">
        <f>HYPERLINK("https://arizona.app.box.com/file/389152526905")</f>
        <v>https://arizona.app.box.com/file/389152526905</v>
      </c>
    </row>
    <row r="6174" spans="1:25" x14ac:dyDescent="0.2">
      <c r="A6174">
        <v>7061</v>
      </c>
      <c r="B6174" t="s">
        <v>10106</v>
      </c>
      <c r="C6174" t="s">
        <v>18</v>
      </c>
      <c r="D6174" t="s">
        <v>9001</v>
      </c>
      <c r="E6174" t="s">
        <v>9002</v>
      </c>
      <c r="F6174" t="s">
        <v>5215</v>
      </c>
      <c r="G6174" t="s">
        <v>17</v>
      </c>
      <c r="J6174" t="b">
        <v>0</v>
      </c>
      <c r="K6174" t="b">
        <v>0</v>
      </c>
      <c r="L6174" t="b">
        <v>0</v>
      </c>
      <c r="M6174" t="str">
        <f>HYPERLINK("https://arizona.app.box.com/file/386272227814")</f>
        <v>https://arizona.app.box.com/file/386272227814</v>
      </c>
      <c r="N6174" t="str">
        <f>HYPERLINK("https://arizona.app.box.com/file/389166454520")</f>
        <v>https://arizona.app.box.com/file/389166454520</v>
      </c>
    </row>
    <row r="6176" spans="1:25" x14ac:dyDescent="0.2">
      <c r="A6176" s="2">
        <v>7063</v>
      </c>
      <c r="B6176" s="2" t="s">
        <v>10112</v>
      </c>
      <c r="C6176" s="2" t="s">
        <v>13</v>
      </c>
      <c r="D6176" s="2" t="s">
        <v>10113</v>
      </c>
      <c r="E6176" s="2" t="s">
        <v>10114</v>
      </c>
      <c r="F6176" s="2" t="s">
        <v>78</v>
      </c>
      <c r="G6176" s="2" t="s">
        <v>134</v>
      </c>
      <c r="H6176" s="2"/>
      <c r="I6176" s="2"/>
      <c r="J6176" s="2"/>
      <c r="K6176" s="2"/>
      <c r="L6176" s="2"/>
      <c r="M6176" s="2"/>
      <c r="N6176" s="2"/>
      <c r="O6176" s="2"/>
      <c r="P6176" s="2"/>
      <c r="Q6176" s="2"/>
      <c r="R6176" s="2"/>
      <c r="S6176" s="2"/>
      <c r="T6176" s="2"/>
      <c r="U6176" s="2"/>
      <c r="V6176" s="2"/>
      <c r="W6176" s="2"/>
      <c r="X6176" s="2"/>
      <c r="Y6176" s="2"/>
    </row>
    <row r="6177" spans="1:25" x14ac:dyDescent="0.2">
      <c r="A6177">
        <v>7064</v>
      </c>
      <c r="B6177" t="s">
        <v>10112</v>
      </c>
      <c r="C6177" t="s">
        <v>18</v>
      </c>
      <c r="D6177" t="s">
        <v>10113</v>
      </c>
      <c r="E6177" t="s">
        <v>10115</v>
      </c>
      <c r="F6177" t="s">
        <v>78</v>
      </c>
      <c r="G6177" t="s">
        <v>134</v>
      </c>
      <c r="J6177" t="b">
        <v>1</v>
      </c>
      <c r="K6177" t="b">
        <v>1</v>
      </c>
      <c r="L6177" t="b">
        <v>1</v>
      </c>
      <c r="M6177" t="str">
        <f>HYPERLINK("https://arizona.app.box.com/file/389162912943")</f>
        <v>https://arizona.app.box.com/file/389162912943</v>
      </c>
      <c r="N6177" t="str">
        <f>HYPERLINK("https://arizona.app.box.com/file/389262855902")</f>
        <v>https://arizona.app.box.com/file/389262855902</v>
      </c>
      <c r="O6177" t="str">
        <f>HYPERLINK("https://arizona.app.box.com/file/389166449356")</f>
        <v>https://arizona.app.box.com/file/389166449356</v>
      </c>
    </row>
    <row r="6178" spans="1:25" x14ac:dyDescent="0.2">
      <c r="A6178">
        <v>7065</v>
      </c>
      <c r="B6178" t="s">
        <v>10112</v>
      </c>
      <c r="C6178" t="s">
        <v>18</v>
      </c>
      <c r="D6178" t="s">
        <v>10116</v>
      </c>
      <c r="E6178" t="s">
        <v>5021</v>
      </c>
      <c r="F6178" t="s">
        <v>78</v>
      </c>
      <c r="G6178" t="s">
        <v>134</v>
      </c>
      <c r="J6178" t="b">
        <v>1</v>
      </c>
      <c r="K6178" t="b">
        <v>1</v>
      </c>
      <c r="L6178" t="b">
        <v>1</v>
      </c>
      <c r="M6178" t="str">
        <f>HYPERLINK("https://arizona.app.box.com/file/389167875978")</f>
        <v>https://arizona.app.box.com/file/389167875978</v>
      </c>
    </row>
    <row r="6179" spans="1:25" x14ac:dyDescent="0.2">
      <c r="A6179">
        <v>7066</v>
      </c>
      <c r="B6179" t="s">
        <v>10112</v>
      </c>
      <c r="C6179" t="s">
        <v>18</v>
      </c>
      <c r="D6179" t="s">
        <v>10117</v>
      </c>
      <c r="E6179" t="s">
        <v>10118</v>
      </c>
      <c r="F6179" t="s">
        <v>23</v>
      </c>
      <c r="G6179" t="s">
        <v>265</v>
      </c>
      <c r="J6179" t="b">
        <v>0</v>
      </c>
      <c r="K6179" t="b">
        <v>0</v>
      </c>
      <c r="L6179" t="b">
        <v>0</v>
      </c>
      <c r="M6179" t="str">
        <f>HYPERLINK("https://arizona.app.box.com/file/386216510060")</f>
        <v>https://arizona.app.box.com/file/386216510060</v>
      </c>
    </row>
    <row r="6180" spans="1:25" x14ac:dyDescent="0.2">
      <c r="A6180">
        <v>7067</v>
      </c>
      <c r="B6180" t="s">
        <v>10112</v>
      </c>
      <c r="C6180" t="s">
        <v>18</v>
      </c>
      <c r="D6180" t="s">
        <v>10119</v>
      </c>
      <c r="E6180" t="s">
        <v>7018</v>
      </c>
      <c r="F6180" t="s">
        <v>23</v>
      </c>
      <c r="G6180" t="s">
        <v>265</v>
      </c>
      <c r="J6180" t="b">
        <v>0</v>
      </c>
      <c r="K6180" t="b">
        <v>0</v>
      </c>
      <c r="L6180" t="b">
        <v>0</v>
      </c>
      <c r="M6180" t="str">
        <f>HYPERLINK("https://arizona.app.box.com/file/386239837374")</f>
        <v>https://arizona.app.box.com/file/386239837374</v>
      </c>
    </row>
    <row r="6181" spans="1:25" x14ac:dyDescent="0.2">
      <c r="A6181">
        <v>7068</v>
      </c>
      <c r="B6181" t="s">
        <v>10112</v>
      </c>
      <c r="C6181" t="s">
        <v>18</v>
      </c>
      <c r="D6181" t="s">
        <v>10120</v>
      </c>
      <c r="E6181" t="s">
        <v>10121</v>
      </c>
      <c r="F6181" t="s">
        <v>151</v>
      </c>
      <c r="G6181" t="s">
        <v>134</v>
      </c>
      <c r="J6181" t="b">
        <v>0</v>
      </c>
      <c r="K6181" t="b">
        <v>0</v>
      </c>
      <c r="L6181" t="b">
        <v>0</v>
      </c>
    </row>
    <row r="6183" spans="1:25" x14ac:dyDescent="0.2">
      <c r="A6183" s="2">
        <v>7133</v>
      </c>
      <c r="B6183" s="2" t="s">
        <v>10122</v>
      </c>
      <c r="C6183" s="2" t="s">
        <v>13</v>
      </c>
      <c r="D6183" s="2" t="s">
        <v>4913</v>
      </c>
      <c r="E6183" s="2" t="s">
        <v>10123</v>
      </c>
      <c r="F6183" s="2" t="s">
        <v>785</v>
      </c>
      <c r="G6183" s="2" t="s">
        <v>1752</v>
      </c>
      <c r="H6183" s="2"/>
      <c r="I6183" s="2"/>
      <c r="J6183" s="2"/>
      <c r="K6183" s="2"/>
      <c r="L6183" s="2"/>
      <c r="M6183" s="2"/>
      <c r="N6183" s="2"/>
      <c r="O6183" s="2"/>
      <c r="P6183" s="2"/>
      <c r="Q6183" s="2"/>
      <c r="R6183" s="2"/>
      <c r="S6183" s="2"/>
      <c r="T6183" s="2"/>
      <c r="U6183" s="2"/>
      <c r="V6183" s="2"/>
      <c r="W6183" s="2"/>
      <c r="X6183" s="2"/>
      <c r="Y6183" s="2"/>
    </row>
    <row r="6184" spans="1:25" x14ac:dyDescent="0.2">
      <c r="A6184">
        <v>7134</v>
      </c>
      <c r="B6184" t="s">
        <v>10122</v>
      </c>
      <c r="C6184" t="s">
        <v>18</v>
      </c>
      <c r="D6184" t="s">
        <v>4913</v>
      </c>
      <c r="E6184" t="s">
        <v>4914</v>
      </c>
      <c r="F6184" t="s">
        <v>785</v>
      </c>
      <c r="G6184" t="s">
        <v>917</v>
      </c>
      <c r="J6184" t="b">
        <v>1</v>
      </c>
      <c r="K6184" t="b">
        <v>1</v>
      </c>
      <c r="L6184" t="b">
        <v>1</v>
      </c>
      <c r="M6184" t="str">
        <f>HYPERLINK("https://arizona.app.box.com/file/389172799337")</f>
        <v>https://arizona.app.box.com/file/389172799337</v>
      </c>
      <c r="N6184" t="str">
        <f>HYPERLINK("https://arizona.app.box.com/file/386212549656")</f>
        <v>https://arizona.app.box.com/file/386212549656</v>
      </c>
    </row>
    <row r="6185" spans="1:25" x14ac:dyDescent="0.2">
      <c r="A6185">
        <v>7135</v>
      </c>
      <c r="B6185" t="s">
        <v>10122</v>
      </c>
      <c r="C6185" t="s">
        <v>18</v>
      </c>
      <c r="D6185" t="s">
        <v>4917</v>
      </c>
      <c r="E6185" t="s">
        <v>4918</v>
      </c>
      <c r="F6185" t="s">
        <v>71</v>
      </c>
      <c r="G6185" t="s">
        <v>917</v>
      </c>
      <c r="J6185" t="b">
        <v>0</v>
      </c>
      <c r="K6185" t="b">
        <v>0</v>
      </c>
      <c r="L6185" t="b">
        <v>0</v>
      </c>
      <c r="M6185" t="str">
        <f>HYPERLINK("https://arizona.app.box.com/file/386242353511")</f>
        <v>https://arizona.app.box.com/file/386242353511</v>
      </c>
      <c r="N6185" t="str">
        <f>HYPERLINK("https://arizona.app.box.com/file/386241923928")</f>
        <v>https://arizona.app.box.com/file/386241923928</v>
      </c>
    </row>
    <row r="6186" spans="1:25" x14ac:dyDescent="0.2">
      <c r="A6186">
        <v>7136</v>
      </c>
      <c r="B6186" t="s">
        <v>10122</v>
      </c>
      <c r="C6186" t="s">
        <v>18</v>
      </c>
      <c r="D6186" t="s">
        <v>4910</v>
      </c>
      <c r="E6186" t="s">
        <v>4911</v>
      </c>
      <c r="F6186" t="s">
        <v>78</v>
      </c>
      <c r="G6186" t="s">
        <v>917</v>
      </c>
      <c r="J6186" t="b">
        <v>0</v>
      </c>
      <c r="K6186" t="b">
        <v>0</v>
      </c>
      <c r="L6186" t="b">
        <v>0</v>
      </c>
      <c r="M6186" t="str">
        <f>HYPERLINK("https://arizona.app.box.com/file/386240703084")</f>
        <v>https://arizona.app.box.com/file/386240703084</v>
      </c>
    </row>
    <row r="6187" spans="1:25" x14ac:dyDescent="0.2">
      <c r="A6187">
        <v>7137</v>
      </c>
      <c r="B6187" t="s">
        <v>10122</v>
      </c>
      <c r="C6187" t="s">
        <v>18</v>
      </c>
      <c r="D6187" t="s">
        <v>4907</v>
      </c>
      <c r="E6187" t="s">
        <v>4908</v>
      </c>
      <c r="F6187" t="s">
        <v>78</v>
      </c>
      <c r="G6187" t="s">
        <v>917</v>
      </c>
      <c r="J6187" t="b">
        <v>0</v>
      </c>
      <c r="K6187" t="b">
        <v>0</v>
      </c>
      <c r="L6187" t="b">
        <v>0</v>
      </c>
      <c r="M6187" t="str">
        <f>HYPERLINK("https://arizona.app.box.com/file/386245134110")</f>
        <v>https://arizona.app.box.com/file/386245134110</v>
      </c>
    </row>
    <row r="6188" spans="1:25" x14ac:dyDescent="0.2">
      <c r="A6188">
        <v>7138</v>
      </c>
      <c r="B6188" t="s">
        <v>10122</v>
      </c>
      <c r="C6188" t="s">
        <v>18</v>
      </c>
      <c r="D6188" t="s">
        <v>10124</v>
      </c>
      <c r="E6188" t="s">
        <v>2097</v>
      </c>
      <c r="F6188" t="s">
        <v>71</v>
      </c>
      <c r="G6188" t="s">
        <v>917</v>
      </c>
      <c r="J6188" t="b">
        <v>0</v>
      </c>
      <c r="K6188" t="b">
        <v>0</v>
      </c>
      <c r="L6188" t="b">
        <v>0</v>
      </c>
      <c r="M6188" t="str">
        <f>HYPERLINK("https://arizona.app.box.com/file/389173720748")</f>
        <v>https://arizona.app.box.com/file/389173720748</v>
      </c>
    </row>
    <row r="6190" spans="1:25" x14ac:dyDescent="0.2">
      <c r="A6190" s="2">
        <v>7147</v>
      </c>
      <c r="B6190" s="2" t="s">
        <v>10125</v>
      </c>
      <c r="C6190" s="2" t="s">
        <v>13</v>
      </c>
      <c r="D6190" s="2" t="s">
        <v>10126</v>
      </c>
      <c r="E6190" s="2" t="s">
        <v>10127</v>
      </c>
      <c r="F6190" s="2" t="s">
        <v>196</v>
      </c>
      <c r="G6190" s="2" t="s">
        <v>252</v>
      </c>
      <c r="H6190" s="2"/>
      <c r="I6190" s="2"/>
      <c r="J6190" s="2"/>
      <c r="K6190" s="2"/>
      <c r="L6190" s="2"/>
      <c r="M6190" s="2"/>
      <c r="N6190" s="2"/>
      <c r="O6190" s="2"/>
      <c r="P6190" s="2"/>
      <c r="Q6190" s="2"/>
      <c r="R6190" s="2"/>
      <c r="S6190" s="2"/>
      <c r="T6190" s="2"/>
      <c r="U6190" s="2"/>
      <c r="V6190" s="2"/>
      <c r="W6190" s="2"/>
      <c r="X6190" s="2"/>
      <c r="Y6190" s="2"/>
    </row>
    <row r="6191" spans="1:25" x14ac:dyDescent="0.2">
      <c r="A6191">
        <v>7148</v>
      </c>
      <c r="B6191" t="s">
        <v>10125</v>
      </c>
      <c r="C6191" t="s">
        <v>18</v>
      </c>
      <c r="D6191" t="s">
        <v>10126</v>
      </c>
      <c r="E6191" t="s">
        <v>10127</v>
      </c>
      <c r="F6191" t="s">
        <v>196</v>
      </c>
      <c r="G6191" t="s">
        <v>252</v>
      </c>
      <c r="J6191" t="b">
        <v>1</v>
      </c>
      <c r="K6191" t="b">
        <v>1</v>
      </c>
      <c r="L6191" t="b">
        <v>1</v>
      </c>
      <c r="M6191" t="str">
        <f>HYPERLINK("https://arizona.app.box.com/file/386215809469")</f>
        <v>https://arizona.app.box.com/file/386215809469</v>
      </c>
      <c r="N6191" t="str">
        <f>HYPERLINK("https://arizona.app.box.com/file/386241113911")</f>
        <v>https://arizona.app.box.com/file/386241113911</v>
      </c>
    </row>
    <row r="6192" spans="1:25" x14ac:dyDescent="0.2">
      <c r="A6192">
        <v>7149</v>
      </c>
      <c r="B6192" t="s">
        <v>10125</v>
      </c>
      <c r="C6192" t="s">
        <v>18</v>
      </c>
      <c r="D6192" t="s">
        <v>1780</v>
      </c>
      <c r="E6192" t="s">
        <v>1781</v>
      </c>
      <c r="F6192" t="s">
        <v>369</v>
      </c>
      <c r="G6192" t="s">
        <v>252</v>
      </c>
      <c r="J6192" t="b">
        <v>0</v>
      </c>
      <c r="K6192" t="b">
        <v>0</v>
      </c>
      <c r="L6192" t="b">
        <v>0</v>
      </c>
      <c r="M6192" t="str">
        <f>HYPERLINK("https://arizona.app.box.com/file/386246450325")</f>
        <v>https://arizona.app.box.com/file/386246450325</v>
      </c>
      <c r="N6192" t="str">
        <f>HYPERLINK("https://arizona.app.box.com/file/386241113911")</f>
        <v>https://arizona.app.box.com/file/386241113911</v>
      </c>
    </row>
    <row r="6193" spans="1:25" x14ac:dyDescent="0.2">
      <c r="A6193">
        <v>7150</v>
      </c>
      <c r="B6193" t="s">
        <v>10125</v>
      </c>
      <c r="C6193" t="s">
        <v>18</v>
      </c>
      <c r="D6193" t="s">
        <v>8275</v>
      </c>
      <c r="E6193" t="s">
        <v>8276</v>
      </c>
      <c r="F6193" t="s">
        <v>20</v>
      </c>
      <c r="G6193" t="s">
        <v>252</v>
      </c>
      <c r="J6193" t="b">
        <v>0</v>
      </c>
      <c r="K6193" t="b">
        <v>0</v>
      </c>
      <c r="L6193" t="b">
        <v>0</v>
      </c>
      <c r="M6193" t="str">
        <f>HYPERLINK("https://arizona.app.box.com/file/386246456727")</f>
        <v>https://arizona.app.box.com/file/386246456727</v>
      </c>
      <c r="N6193" t="str">
        <f>HYPERLINK("https://arizona.app.box.com/file/386241113911")</f>
        <v>https://arizona.app.box.com/file/386241113911</v>
      </c>
    </row>
    <row r="6194" spans="1:25" x14ac:dyDescent="0.2">
      <c r="A6194">
        <v>7151</v>
      </c>
      <c r="B6194" t="s">
        <v>10125</v>
      </c>
      <c r="C6194" t="s">
        <v>18</v>
      </c>
      <c r="D6194" t="s">
        <v>8520</v>
      </c>
      <c r="E6194" t="s">
        <v>8521</v>
      </c>
      <c r="F6194" t="s">
        <v>144</v>
      </c>
      <c r="G6194" t="s">
        <v>252</v>
      </c>
      <c r="J6194" t="b">
        <v>0</v>
      </c>
      <c r="K6194" t="b">
        <v>0</v>
      </c>
      <c r="L6194" t="b">
        <v>0</v>
      </c>
      <c r="M6194" t="str">
        <f>HYPERLINK("https://arizona.app.box.com/file/386241115778")</f>
        <v>https://arizona.app.box.com/file/386241115778</v>
      </c>
      <c r="N6194" t="str">
        <f>HYPERLINK("https://arizona.app.box.com/file/386241113911")</f>
        <v>https://arizona.app.box.com/file/386241113911</v>
      </c>
    </row>
    <row r="6195" spans="1:25" x14ac:dyDescent="0.2">
      <c r="A6195">
        <v>7152</v>
      </c>
      <c r="B6195" t="s">
        <v>10125</v>
      </c>
      <c r="C6195" t="s">
        <v>18</v>
      </c>
      <c r="D6195" t="s">
        <v>8522</v>
      </c>
      <c r="E6195" t="s">
        <v>8523</v>
      </c>
      <c r="F6195" t="s">
        <v>144</v>
      </c>
      <c r="G6195" t="s">
        <v>252</v>
      </c>
      <c r="J6195" t="b">
        <v>0</v>
      </c>
      <c r="K6195" t="b">
        <v>0</v>
      </c>
      <c r="L6195" t="b">
        <v>0</v>
      </c>
    </row>
    <row r="6197" spans="1:25" x14ac:dyDescent="0.2">
      <c r="A6197" s="2">
        <v>7182</v>
      </c>
      <c r="B6197" s="2" t="s">
        <v>10128</v>
      </c>
      <c r="C6197" s="2" t="s">
        <v>13</v>
      </c>
      <c r="D6197" s="2" t="s">
        <v>10129</v>
      </c>
      <c r="E6197" s="2" t="s">
        <v>10130</v>
      </c>
      <c r="F6197" s="2" t="s">
        <v>451</v>
      </c>
      <c r="G6197" s="2" t="s">
        <v>417</v>
      </c>
      <c r="H6197" s="2"/>
      <c r="I6197" s="2"/>
      <c r="J6197" s="2"/>
      <c r="K6197" s="2"/>
      <c r="L6197" s="2"/>
      <c r="M6197" s="2"/>
      <c r="N6197" s="2"/>
      <c r="O6197" s="2"/>
      <c r="P6197" s="2"/>
      <c r="Q6197" s="2"/>
      <c r="R6197" s="2"/>
      <c r="S6197" s="2"/>
      <c r="T6197" s="2"/>
      <c r="U6197" s="2"/>
      <c r="V6197" s="2"/>
      <c r="W6197" s="2"/>
      <c r="X6197" s="2"/>
      <c r="Y6197" s="2"/>
    </row>
    <row r="6198" spans="1:25" x14ac:dyDescent="0.2">
      <c r="A6198">
        <v>7183</v>
      </c>
      <c r="B6198" t="s">
        <v>10128</v>
      </c>
      <c r="C6198" t="s">
        <v>18</v>
      </c>
      <c r="D6198" t="s">
        <v>10129</v>
      </c>
      <c r="E6198" t="s">
        <v>10130</v>
      </c>
      <c r="F6198" t="s">
        <v>451</v>
      </c>
      <c r="G6198" t="s">
        <v>417</v>
      </c>
      <c r="J6198" t="b">
        <v>1</v>
      </c>
      <c r="K6198" t="b">
        <v>1</v>
      </c>
      <c r="L6198" t="b">
        <v>1</v>
      </c>
      <c r="M6198" t="str">
        <f>HYPERLINK("https://arizona.app.box.com/file/386247978934")</f>
        <v>https://arizona.app.box.com/file/386247978934</v>
      </c>
      <c r="N6198" t="str">
        <f>HYPERLINK("https://arizona.app.box.com/file/386243161660")</f>
        <v>https://arizona.app.box.com/file/386243161660</v>
      </c>
    </row>
    <row r="6199" spans="1:25" x14ac:dyDescent="0.2">
      <c r="A6199">
        <v>7184</v>
      </c>
      <c r="B6199" t="s">
        <v>10128</v>
      </c>
      <c r="C6199" t="s">
        <v>18</v>
      </c>
      <c r="D6199" t="s">
        <v>1001</v>
      </c>
      <c r="E6199" t="s">
        <v>1002</v>
      </c>
      <c r="F6199" t="s">
        <v>205</v>
      </c>
      <c r="G6199" t="s">
        <v>417</v>
      </c>
      <c r="J6199" t="b">
        <v>0</v>
      </c>
      <c r="K6199" t="b">
        <v>0</v>
      </c>
      <c r="L6199" t="b">
        <v>0</v>
      </c>
      <c r="M6199" t="str">
        <f>HYPERLINK("https://arizona.app.box.com/file/386242764900")</f>
        <v>https://arizona.app.box.com/file/386242764900</v>
      </c>
      <c r="N6199" t="str">
        <f>HYPERLINK("https://arizona.app.box.com/file/386214050764")</f>
        <v>https://arizona.app.box.com/file/386214050764</v>
      </c>
    </row>
    <row r="6200" spans="1:25" x14ac:dyDescent="0.2">
      <c r="A6200">
        <v>7185</v>
      </c>
      <c r="B6200" t="s">
        <v>10128</v>
      </c>
      <c r="C6200" t="s">
        <v>18</v>
      </c>
      <c r="D6200" t="s">
        <v>10131</v>
      </c>
      <c r="E6200" t="s">
        <v>10132</v>
      </c>
      <c r="F6200" t="s">
        <v>451</v>
      </c>
      <c r="G6200" t="s">
        <v>88</v>
      </c>
      <c r="J6200" t="b">
        <v>0</v>
      </c>
      <c r="K6200" t="b">
        <v>0</v>
      </c>
      <c r="L6200" t="b">
        <v>0</v>
      </c>
      <c r="M6200" t="str">
        <f>HYPERLINK("https://arizona.app.box.com/file/386243129582")</f>
        <v>https://arizona.app.box.com/file/386243129582</v>
      </c>
      <c r="N6200" t="str">
        <f>HYPERLINK("https://arizona.app.box.com/file/386265332083")</f>
        <v>https://arizona.app.box.com/file/386265332083</v>
      </c>
    </row>
    <row r="6201" spans="1:25" x14ac:dyDescent="0.2">
      <c r="A6201">
        <v>7186</v>
      </c>
      <c r="B6201" t="s">
        <v>10128</v>
      </c>
      <c r="C6201" t="s">
        <v>18</v>
      </c>
      <c r="D6201" t="s">
        <v>7256</v>
      </c>
      <c r="E6201" t="s">
        <v>7257</v>
      </c>
      <c r="F6201" t="s">
        <v>451</v>
      </c>
      <c r="G6201" t="s">
        <v>1290</v>
      </c>
      <c r="J6201" t="b">
        <v>0</v>
      </c>
      <c r="K6201" t="b">
        <v>0</v>
      </c>
      <c r="L6201" t="b">
        <v>0</v>
      </c>
    </row>
    <row r="6202" spans="1:25" x14ac:dyDescent="0.2">
      <c r="A6202">
        <v>7187</v>
      </c>
      <c r="B6202" t="s">
        <v>10128</v>
      </c>
      <c r="C6202" t="s">
        <v>18</v>
      </c>
      <c r="D6202" t="s">
        <v>1005</v>
      </c>
      <c r="E6202" t="s">
        <v>999</v>
      </c>
      <c r="F6202" t="s">
        <v>205</v>
      </c>
      <c r="G6202" t="s">
        <v>417</v>
      </c>
      <c r="J6202" t="b">
        <v>0</v>
      </c>
      <c r="K6202" t="b">
        <v>0</v>
      </c>
      <c r="L6202" t="b">
        <v>0</v>
      </c>
      <c r="M6202" t="str">
        <f>HYPERLINK("https://arizona.app.box.com/file/386246061097")</f>
        <v>https://arizona.app.box.com/file/386246061097</v>
      </c>
    </row>
    <row r="6204" spans="1:25" x14ac:dyDescent="0.2">
      <c r="A6204" s="2">
        <v>7196</v>
      </c>
      <c r="B6204" s="2" t="s">
        <v>10133</v>
      </c>
      <c r="C6204" s="2" t="s">
        <v>13</v>
      </c>
      <c r="D6204" s="2" t="s">
        <v>10134</v>
      </c>
      <c r="E6204" s="2" t="s">
        <v>10135</v>
      </c>
      <c r="F6204" s="2" t="s">
        <v>205</v>
      </c>
      <c r="G6204" s="2" t="s">
        <v>62</v>
      </c>
      <c r="H6204" s="2"/>
      <c r="I6204" s="2"/>
      <c r="J6204" s="2"/>
      <c r="K6204" s="2"/>
      <c r="L6204" s="2"/>
      <c r="M6204" s="2"/>
      <c r="N6204" s="2"/>
      <c r="O6204" s="2"/>
      <c r="P6204" s="2"/>
      <c r="Q6204" s="2"/>
      <c r="R6204" s="2"/>
      <c r="S6204" s="2"/>
      <c r="T6204" s="2"/>
      <c r="U6204" s="2"/>
      <c r="V6204" s="2"/>
      <c r="W6204" s="2"/>
      <c r="X6204" s="2"/>
      <c r="Y6204" s="2"/>
    </row>
    <row r="6205" spans="1:25" x14ac:dyDescent="0.2">
      <c r="A6205">
        <v>7197</v>
      </c>
      <c r="B6205" t="s">
        <v>10133</v>
      </c>
      <c r="C6205" t="s">
        <v>18</v>
      </c>
      <c r="D6205" t="s">
        <v>10134</v>
      </c>
      <c r="E6205" t="s">
        <v>8345</v>
      </c>
      <c r="F6205" t="s">
        <v>82</v>
      </c>
      <c r="G6205" t="s">
        <v>62</v>
      </c>
      <c r="J6205" t="b">
        <v>1</v>
      </c>
      <c r="K6205" t="b">
        <v>1</v>
      </c>
      <c r="L6205" t="b">
        <v>1</v>
      </c>
      <c r="M6205" t="str">
        <f>HYPERLINK("https://arizona.app.box.com/file/386230234986")</f>
        <v>https://arizona.app.box.com/file/386230234986</v>
      </c>
    </row>
    <row r="6206" spans="1:25" x14ac:dyDescent="0.2">
      <c r="A6206">
        <v>7198</v>
      </c>
      <c r="B6206" t="s">
        <v>10133</v>
      </c>
      <c r="C6206" t="s">
        <v>18</v>
      </c>
      <c r="D6206" t="s">
        <v>10136</v>
      </c>
      <c r="E6206" t="s">
        <v>10137</v>
      </c>
      <c r="F6206" t="s">
        <v>82</v>
      </c>
      <c r="G6206" t="s">
        <v>62</v>
      </c>
      <c r="J6206" t="b">
        <v>1</v>
      </c>
      <c r="K6206" t="b">
        <v>1</v>
      </c>
      <c r="L6206" t="b">
        <v>1</v>
      </c>
      <c r="M6206" t="str">
        <f>HYPERLINK("https://arizona.app.box.com/file/386214101231")</f>
        <v>https://arizona.app.box.com/file/386214101231</v>
      </c>
    </row>
    <row r="6207" spans="1:25" x14ac:dyDescent="0.2">
      <c r="A6207">
        <v>7199</v>
      </c>
      <c r="B6207" t="s">
        <v>10133</v>
      </c>
      <c r="C6207" t="s">
        <v>18</v>
      </c>
      <c r="D6207" t="s">
        <v>10138</v>
      </c>
      <c r="E6207" t="s">
        <v>4551</v>
      </c>
      <c r="F6207" t="s">
        <v>205</v>
      </c>
      <c r="G6207" t="s">
        <v>62</v>
      </c>
      <c r="J6207" t="b">
        <v>0</v>
      </c>
      <c r="K6207" t="b">
        <v>0</v>
      </c>
      <c r="L6207" t="b">
        <v>0</v>
      </c>
      <c r="M6207" t="str">
        <f>HYPERLINK("https://arizona.app.box.com/file/386222109670")</f>
        <v>https://arizona.app.box.com/file/386222109670</v>
      </c>
    </row>
    <row r="6208" spans="1:25" x14ac:dyDescent="0.2">
      <c r="A6208">
        <v>7200</v>
      </c>
      <c r="B6208" t="s">
        <v>10133</v>
      </c>
      <c r="C6208" t="s">
        <v>18</v>
      </c>
      <c r="D6208" t="s">
        <v>10139</v>
      </c>
      <c r="E6208" t="s">
        <v>10140</v>
      </c>
      <c r="F6208" t="s">
        <v>159</v>
      </c>
      <c r="G6208" t="s">
        <v>8528</v>
      </c>
      <c r="J6208" t="b">
        <v>0</v>
      </c>
      <c r="K6208" t="b">
        <v>0</v>
      </c>
      <c r="L6208" t="b">
        <v>0</v>
      </c>
      <c r="M6208" t="str">
        <f>HYPERLINK("https://arizona.app.box.com/file/389176227191")</f>
        <v>https://arizona.app.box.com/file/389176227191</v>
      </c>
      <c r="N6208" t="str">
        <f>HYPERLINK("https://arizona.app.box.com/file/386237032462")</f>
        <v>https://arizona.app.box.com/file/386237032462</v>
      </c>
    </row>
    <row r="6209" spans="1:25" x14ac:dyDescent="0.2">
      <c r="A6209">
        <v>7201</v>
      </c>
      <c r="B6209" t="s">
        <v>10133</v>
      </c>
      <c r="C6209" t="s">
        <v>18</v>
      </c>
      <c r="D6209" t="s">
        <v>2604</v>
      </c>
      <c r="E6209" t="s">
        <v>2605</v>
      </c>
      <c r="F6209" t="s">
        <v>78</v>
      </c>
      <c r="G6209" t="s">
        <v>88</v>
      </c>
      <c r="J6209" t="b">
        <v>0</v>
      </c>
      <c r="K6209" t="b">
        <v>0</v>
      </c>
      <c r="L6209" t="b">
        <v>0</v>
      </c>
      <c r="M6209" t="str">
        <f>HYPERLINK("https://arizona.app.box.com/file/389172393202")</f>
        <v>https://arizona.app.box.com/file/389172393202</v>
      </c>
    </row>
    <row r="6211" spans="1:25" x14ac:dyDescent="0.2">
      <c r="A6211" s="2">
        <v>7224</v>
      </c>
      <c r="B6211" s="2" t="s">
        <v>10141</v>
      </c>
      <c r="C6211" s="2" t="s">
        <v>13</v>
      </c>
      <c r="D6211" s="2" t="s">
        <v>10100</v>
      </c>
      <c r="E6211" s="2" t="s">
        <v>10142</v>
      </c>
      <c r="F6211" s="2" t="s">
        <v>174</v>
      </c>
      <c r="G6211" s="2" t="s">
        <v>17</v>
      </c>
      <c r="H6211" s="2"/>
      <c r="I6211" s="2"/>
      <c r="J6211" s="2"/>
      <c r="K6211" s="2"/>
      <c r="L6211" s="2"/>
      <c r="M6211" s="2"/>
      <c r="N6211" s="2"/>
      <c r="O6211" s="2"/>
      <c r="P6211" s="2"/>
      <c r="Q6211" s="2"/>
      <c r="R6211" s="2"/>
      <c r="S6211" s="2"/>
      <c r="T6211" s="2"/>
      <c r="U6211" s="2"/>
      <c r="V6211" s="2"/>
      <c r="W6211" s="2"/>
      <c r="X6211" s="2"/>
      <c r="Y6211" s="2"/>
    </row>
    <row r="6212" spans="1:25" x14ac:dyDescent="0.2">
      <c r="A6212">
        <v>7225</v>
      </c>
      <c r="B6212" t="s">
        <v>10141</v>
      </c>
      <c r="C6212" t="s">
        <v>18</v>
      </c>
      <c r="D6212" t="s">
        <v>10100</v>
      </c>
      <c r="E6212" t="s">
        <v>4847</v>
      </c>
      <c r="F6212" t="s">
        <v>174</v>
      </c>
      <c r="G6212" t="s">
        <v>17</v>
      </c>
      <c r="J6212" t="b">
        <v>1</v>
      </c>
      <c r="K6212" t="b">
        <v>1</v>
      </c>
      <c r="L6212" t="b">
        <v>1</v>
      </c>
      <c r="M6212" t="str">
        <f>HYPERLINK("https://arizona.app.box.com/file/389167189507")</f>
        <v>https://arizona.app.box.com/file/389167189507</v>
      </c>
    </row>
    <row r="6213" spans="1:25" x14ac:dyDescent="0.2">
      <c r="A6213">
        <v>7226</v>
      </c>
      <c r="B6213" t="s">
        <v>10141</v>
      </c>
      <c r="C6213" t="s">
        <v>18</v>
      </c>
      <c r="D6213" t="s">
        <v>10143</v>
      </c>
      <c r="E6213" t="s">
        <v>1442</v>
      </c>
      <c r="F6213" t="s">
        <v>174</v>
      </c>
      <c r="G6213" t="s">
        <v>17</v>
      </c>
      <c r="J6213" t="b">
        <v>1</v>
      </c>
      <c r="K6213" t="b">
        <v>1</v>
      </c>
      <c r="L6213" t="b">
        <v>1</v>
      </c>
      <c r="M6213" t="str">
        <f>HYPERLINK("https://arizona.app.box.com/file/389257426445")</f>
        <v>https://arizona.app.box.com/file/389257426445</v>
      </c>
      <c r="N6213" t="str">
        <f>HYPERLINK("https://arizona.app.box.com/file/389137005997")</f>
        <v>https://arizona.app.box.com/file/389137005997</v>
      </c>
    </row>
    <row r="6214" spans="1:25" x14ac:dyDescent="0.2">
      <c r="A6214">
        <v>7227</v>
      </c>
      <c r="B6214" t="s">
        <v>10141</v>
      </c>
      <c r="C6214" t="s">
        <v>18</v>
      </c>
      <c r="D6214" t="s">
        <v>5167</v>
      </c>
      <c r="E6214" t="s">
        <v>3101</v>
      </c>
      <c r="F6214" t="s">
        <v>78</v>
      </c>
      <c r="G6214" t="s">
        <v>17</v>
      </c>
      <c r="J6214" t="b">
        <v>0</v>
      </c>
      <c r="K6214" t="b">
        <v>0</v>
      </c>
      <c r="L6214" t="b">
        <v>0</v>
      </c>
      <c r="M6214" t="str">
        <f>HYPERLINK("https://arizona.app.box.com/file/389255221327")</f>
        <v>https://arizona.app.box.com/file/389255221327</v>
      </c>
    </row>
    <row r="6215" spans="1:25" x14ac:dyDescent="0.2">
      <c r="A6215">
        <v>7228</v>
      </c>
      <c r="B6215" t="s">
        <v>10141</v>
      </c>
      <c r="C6215" t="s">
        <v>18</v>
      </c>
      <c r="D6215" t="s">
        <v>5164</v>
      </c>
      <c r="E6215" t="s">
        <v>323</v>
      </c>
      <c r="F6215" t="s">
        <v>78</v>
      </c>
      <c r="G6215" t="s">
        <v>17</v>
      </c>
      <c r="J6215" t="b">
        <v>0</v>
      </c>
      <c r="K6215" t="b">
        <v>0</v>
      </c>
      <c r="L6215" t="b">
        <v>0</v>
      </c>
      <c r="M6215" t="str">
        <f>HYPERLINK("https://arizona.app.box.com/file/389266966562")</f>
        <v>https://arizona.app.box.com/file/389266966562</v>
      </c>
      <c r="N6215" t="str">
        <f>HYPERLINK("https://arizona.app.box.com/file/389162206398")</f>
        <v>https://arizona.app.box.com/file/389162206398</v>
      </c>
    </row>
    <row r="6216" spans="1:25" x14ac:dyDescent="0.2">
      <c r="A6216">
        <v>7229</v>
      </c>
      <c r="B6216" t="s">
        <v>10141</v>
      </c>
      <c r="C6216" t="s">
        <v>18</v>
      </c>
      <c r="D6216" t="s">
        <v>1696</v>
      </c>
      <c r="E6216" t="s">
        <v>1698</v>
      </c>
      <c r="F6216" t="s">
        <v>31</v>
      </c>
      <c r="G6216" t="s">
        <v>17</v>
      </c>
      <c r="J6216" t="b">
        <v>0</v>
      </c>
      <c r="K6216" t="b">
        <v>0</v>
      </c>
      <c r="L6216" t="b">
        <v>0</v>
      </c>
      <c r="M6216" t="str">
        <f>HYPERLINK("https://arizona.app.box.com/file/389153576695")</f>
        <v>https://arizona.app.box.com/file/389153576695</v>
      </c>
    </row>
    <row r="6218" spans="1:25" x14ac:dyDescent="0.2">
      <c r="A6218" s="2">
        <v>7259</v>
      </c>
      <c r="B6218" s="2" t="s">
        <v>10144</v>
      </c>
      <c r="C6218" s="2" t="s">
        <v>13</v>
      </c>
      <c r="D6218" s="2" t="s">
        <v>10145</v>
      </c>
      <c r="E6218" s="2" t="s">
        <v>10146</v>
      </c>
      <c r="F6218" s="2" t="s">
        <v>654</v>
      </c>
      <c r="G6218" s="2" t="s">
        <v>88</v>
      </c>
      <c r="H6218" s="2"/>
      <c r="I6218" s="2"/>
      <c r="J6218" s="2"/>
      <c r="K6218" s="2"/>
      <c r="L6218" s="2"/>
      <c r="M6218" s="2"/>
      <c r="N6218" s="2"/>
      <c r="O6218" s="2"/>
      <c r="P6218" s="2"/>
      <c r="Q6218" s="2"/>
      <c r="R6218" s="2"/>
      <c r="S6218" s="2"/>
      <c r="T6218" s="2"/>
      <c r="U6218" s="2"/>
      <c r="V6218" s="2"/>
      <c r="W6218" s="2"/>
      <c r="X6218" s="2"/>
      <c r="Y6218" s="2"/>
    </row>
    <row r="6219" spans="1:25" x14ac:dyDescent="0.2">
      <c r="A6219">
        <v>7260</v>
      </c>
      <c r="B6219" t="s">
        <v>10144</v>
      </c>
      <c r="C6219" t="s">
        <v>18</v>
      </c>
      <c r="D6219" t="s">
        <v>10145</v>
      </c>
      <c r="E6219" t="s">
        <v>10147</v>
      </c>
      <c r="F6219" t="s">
        <v>654</v>
      </c>
      <c r="G6219" t="s">
        <v>88</v>
      </c>
      <c r="J6219" t="b">
        <v>1</v>
      </c>
      <c r="K6219" t="b">
        <v>1</v>
      </c>
      <c r="L6219" t="b">
        <v>1</v>
      </c>
      <c r="M6219" t="str">
        <f>HYPERLINK("https://arizona.app.box.com/file/389268434007")</f>
        <v>https://arizona.app.box.com/file/389268434007</v>
      </c>
      <c r="N6219" t="str">
        <f>HYPERLINK("https://arizona.app.box.com/file/389163080562")</f>
        <v>https://arizona.app.box.com/file/389163080562</v>
      </c>
    </row>
    <row r="6220" spans="1:25" x14ac:dyDescent="0.2">
      <c r="A6220">
        <v>7261</v>
      </c>
      <c r="B6220" t="s">
        <v>10144</v>
      </c>
      <c r="C6220" t="s">
        <v>18</v>
      </c>
      <c r="D6220" t="s">
        <v>9373</v>
      </c>
      <c r="E6220" t="s">
        <v>9374</v>
      </c>
      <c r="F6220" t="s">
        <v>420</v>
      </c>
      <c r="G6220" t="s">
        <v>88</v>
      </c>
      <c r="J6220" t="b">
        <v>0</v>
      </c>
      <c r="K6220" t="b">
        <v>0</v>
      </c>
      <c r="L6220" t="b">
        <v>0</v>
      </c>
      <c r="M6220" t="str">
        <f>HYPERLINK("https://arizona.app.box.com/file/386240517636")</f>
        <v>https://arizona.app.box.com/file/386240517636</v>
      </c>
      <c r="N6220" t="str">
        <f>HYPERLINK("https://arizona.app.box.com/file/386244929700")</f>
        <v>https://arizona.app.box.com/file/386244929700</v>
      </c>
    </row>
    <row r="6221" spans="1:25" x14ac:dyDescent="0.2">
      <c r="A6221">
        <v>7262</v>
      </c>
      <c r="B6221" t="s">
        <v>10144</v>
      </c>
      <c r="C6221" t="s">
        <v>18</v>
      </c>
      <c r="D6221" t="s">
        <v>1391</v>
      </c>
      <c r="E6221" t="s">
        <v>1392</v>
      </c>
      <c r="F6221" t="s">
        <v>420</v>
      </c>
      <c r="G6221" t="s">
        <v>88</v>
      </c>
      <c r="J6221" t="b">
        <v>0</v>
      </c>
      <c r="K6221" t="b">
        <v>0</v>
      </c>
      <c r="L6221" t="b">
        <v>0</v>
      </c>
      <c r="M6221" t="str">
        <f>HYPERLINK("https://arizona.app.box.com/file/389267534255")</f>
        <v>https://arizona.app.box.com/file/389267534255</v>
      </c>
      <c r="N6221" t="str">
        <f>HYPERLINK("https://arizona.app.box.com/file/389162699638")</f>
        <v>https://arizona.app.box.com/file/389162699638</v>
      </c>
      <c r="O6221" t="str">
        <f>HYPERLINK("https://arizona.app.box.com/file/389175376702")</f>
        <v>https://arizona.app.box.com/file/389175376702</v>
      </c>
      <c r="P6221" t="str">
        <f>HYPERLINK("https://arizona.app.box.com/file/386216376839")</f>
        <v>https://arizona.app.box.com/file/386216376839</v>
      </c>
    </row>
    <row r="6222" spans="1:25" x14ac:dyDescent="0.2">
      <c r="A6222">
        <v>7263</v>
      </c>
      <c r="B6222" t="s">
        <v>10144</v>
      </c>
      <c r="C6222" t="s">
        <v>18</v>
      </c>
      <c r="D6222" t="s">
        <v>9371</v>
      </c>
      <c r="E6222" t="s">
        <v>9372</v>
      </c>
      <c r="F6222" t="s">
        <v>78</v>
      </c>
      <c r="G6222" t="s">
        <v>88</v>
      </c>
      <c r="J6222" t="b">
        <v>0</v>
      </c>
      <c r="K6222" t="b">
        <v>0</v>
      </c>
      <c r="L6222" t="b">
        <v>0</v>
      </c>
      <c r="M6222" t="str">
        <f>HYPERLINK("https://arizona.app.box.com/file/386260995962")</f>
        <v>https://arizona.app.box.com/file/386260995962</v>
      </c>
      <c r="N6222" t="str">
        <f>HYPERLINK("https://arizona.app.box.com/file/386264873598")</f>
        <v>https://arizona.app.box.com/file/386264873598</v>
      </c>
    </row>
    <row r="6223" spans="1:25" x14ac:dyDescent="0.2">
      <c r="A6223">
        <v>7264</v>
      </c>
      <c r="B6223" t="s">
        <v>10144</v>
      </c>
      <c r="C6223" t="s">
        <v>18</v>
      </c>
      <c r="D6223" t="s">
        <v>6306</v>
      </c>
      <c r="E6223" t="s">
        <v>6307</v>
      </c>
      <c r="F6223" t="s">
        <v>654</v>
      </c>
      <c r="G6223" t="s">
        <v>88</v>
      </c>
      <c r="J6223" t="b">
        <v>0</v>
      </c>
      <c r="K6223" t="b">
        <v>0</v>
      </c>
      <c r="L6223" t="b">
        <v>0</v>
      </c>
      <c r="M6223" t="str">
        <f>HYPERLINK("https://arizona.app.box.com/file/386248383751")</f>
        <v>https://arizona.app.box.com/file/386248383751</v>
      </c>
      <c r="N6223" t="str">
        <f>HYPERLINK("https://arizona.app.box.com/file/386256642445")</f>
        <v>https://arizona.app.box.com/file/386256642445</v>
      </c>
    </row>
    <row r="6225" spans="1:25" x14ac:dyDescent="0.2">
      <c r="A6225" s="2">
        <v>728</v>
      </c>
      <c r="B6225" s="2" t="s">
        <v>10148</v>
      </c>
      <c r="C6225" s="2" t="s">
        <v>13</v>
      </c>
      <c r="D6225" s="2" t="s">
        <v>9428</v>
      </c>
      <c r="E6225" s="2" t="s">
        <v>9429</v>
      </c>
      <c r="F6225" s="2" t="s">
        <v>20</v>
      </c>
      <c r="G6225" s="2" t="s">
        <v>17</v>
      </c>
      <c r="H6225" s="2"/>
      <c r="I6225" s="2"/>
      <c r="J6225" s="2"/>
      <c r="K6225" s="2"/>
      <c r="L6225" s="2"/>
      <c r="M6225" s="2"/>
      <c r="N6225" s="2"/>
      <c r="O6225" s="2"/>
      <c r="P6225" s="2"/>
      <c r="Q6225" s="2"/>
      <c r="R6225" s="2"/>
      <c r="S6225" s="2"/>
      <c r="T6225" s="2"/>
      <c r="U6225" s="2"/>
      <c r="V6225" s="2"/>
      <c r="W6225" s="2"/>
      <c r="X6225" s="2"/>
      <c r="Y6225" s="2"/>
    </row>
    <row r="6226" spans="1:25" x14ac:dyDescent="0.2">
      <c r="A6226">
        <v>729</v>
      </c>
      <c r="B6226" t="s">
        <v>10148</v>
      </c>
      <c r="C6226" t="s">
        <v>18</v>
      </c>
      <c r="D6226" t="s">
        <v>9428</v>
      </c>
      <c r="E6226" t="s">
        <v>9429</v>
      </c>
      <c r="F6226" t="s">
        <v>20</v>
      </c>
      <c r="G6226" t="s">
        <v>17</v>
      </c>
      <c r="J6226" t="b">
        <v>1</v>
      </c>
      <c r="K6226" t="b">
        <v>1</v>
      </c>
      <c r="L6226" t="b">
        <v>1</v>
      </c>
      <c r="M6226" t="str">
        <f>HYPERLINK("https://arizona.app.box.com/file/389152112683")</f>
        <v>https://arizona.app.box.com/file/389152112683</v>
      </c>
      <c r="N6226" t="str">
        <f>HYPERLINK("https://arizona.app.box.com/file/389157808966")</f>
        <v>https://arizona.app.box.com/file/389157808966</v>
      </c>
    </row>
    <row r="6227" spans="1:25" x14ac:dyDescent="0.2">
      <c r="A6227">
        <v>730</v>
      </c>
      <c r="B6227" t="s">
        <v>10148</v>
      </c>
      <c r="C6227" t="s">
        <v>18</v>
      </c>
      <c r="D6227" t="s">
        <v>10149</v>
      </c>
      <c r="E6227" t="s">
        <v>10150</v>
      </c>
      <c r="F6227" t="s">
        <v>82</v>
      </c>
      <c r="G6227" t="s">
        <v>17</v>
      </c>
      <c r="J6227" t="b">
        <v>0</v>
      </c>
      <c r="K6227" t="b">
        <v>0</v>
      </c>
      <c r="L6227" t="b">
        <v>0</v>
      </c>
    </row>
    <row r="6228" spans="1:25" x14ac:dyDescent="0.2">
      <c r="A6228">
        <v>731</v>
      </c>
      <c r="B6228" t="s">
        <v>10148</v>
      </c>
      <c r="C6228" t="s">
        <v>18</v>
      </c>
      <c r="D6228" t="s">
        <v>10151</v>
      </c>
      <c r="E6228" t="s">
        <v>10152</v>
      </c>
      <c r="F6228" t="s">
        <v>20</v>
      </c>
      <c r="G6228" t="s">
        <v>17</v>
      </c>
      <c r="J6228" t="b">
        <v>0</v>
      </c>
      <c r="K6228" t="b">
        <v>0</v>
      </c>
      <c r="L6228" t="b">
        <v>0</v>
      </c>
      <c r="M6228" t="str">
        <f>HYPERLINK("https://arizona.app.box.com/file/386237980027")</f>
        <v>https://arizona.app.box.com/file/386237980027</v>
      </c>
    </row>
    <row r="6229" spans="1:25" x14ac:dyDescent="0.2">
      <c r="A6229">
        <v>732</v>
      </c>
      <c r="B6229" t="s">
        <v>10148</v>
      </c>
      <c r="C6229" t="s">
        <v>18</v>
      </c>
      <c r="D6229" t="s">
        <v>10153</v>
      </c>
      <c r="E6229" t="s">
        <v>10154</v>
      </c>
      <c r="F6229" t="s">
        <v>82</v>
      </c>
      <c r="G6229" t="s">
        <v>17</v>
      </c>
      <c r="J6229" t="b">
        <v>0</v>
      </c>
      <c r="K6229" t="b">
        <v>0</v>
      </c>
      <c r="L6229" t="b">
        <v>0</v>
      </c>
      <c r="M6229" t="str">
        <f>HYPERLINK("https://arizona.app.box.com/file/386243589441")</f>
        <v>https://arizona.app.box.com/file/386243589441</v>
      </c>
    </row>
    <row r="6230" spans="1:25" x14ac:dyDescent="0.2">
      <c r="A6230">
        <v>733</v>
      </c>
      <c r="B6230" t="s">
        <v>10148</v>
      </c>
      <c r="C6230" t="s">
        <v>18</v>
      </c>
      <c r="D6230" t="s">
        <v>8510</v>
      </c>
      <c r="E6230" t="s">
        <v>8511</v>
      </c>
      <c r="F6230" t="s">
        <v>20</v>
      </c>
      <c r="G6230" t="s">
        <v>17</v>
      </c>
      <c r="J6230" t="b">
        <v>0</v>
      </c>
      <c r="K6230" t="b">
        <v>0</v>
      </c>
      <c r="L6230" t="b">
        <v>0</v>
      </c>
      <c r="M6230" t="str">
        <f>HYPERLINK("https://arizona.app.box.com/file/389161568038")</f>
        <v>https://arizona.app.box.com/file/389161568038</v>
      </c>
      <c r="N6230" t="str">
        <f>HYPERLINK("https://arizona.app.box.com/file/389159936717")</f>
        <v>https://arizona.app.box.com/file/389159936717</v>
      </c>
    </row>
    <row r="6232" spans="1:25" x14ac:dyDescent="0.2">
      <c r="A6232" s="2">
        <v>7294</v>
      </c>
      <c r="B6232" s="2" t="s">
        <v>10155</v>
      </c>
      <c r="C6232" s="2" t="s">
        <v>13</v>
      </c>
      <c r="D6232" s="2" t="s">
        <v>10156</v>
      </c>
      <c r="E6232" s="2" t="s">
        <v>10157</v>
      </c>
      <c r="F6232" s="2" t="s">
        <v>23</v>
      </c>
      <c r="G6232" s="2" t="s">
        <v>280</v>
      </c>
      <c r="H6232" s="2"/>
      <c r="I6232" s="2"/>
      <c r="J6232" s="2"/>
      <c r="K6232" s="2"/>
      <c r="L6232" s="2"/>
      <c r="M6232" s="2"/>
      <c r="N6232" s="2"/>
      <c r="O6232" s="2"/>
      <c r="P6232" s="2"/>
      <c r="Q6232" s="2"/>
      <c r="R6232" s="2"/>
      <c r="S6232" s="2"/>
      <c r="T6232" s="2"/>
      <c r="U6232" s="2"/>
      <c r="V6232" s="2"/>
      <c r="W6232" s="2"/>
      <c r="X6232" s="2"/>
      <c r="Y6232" s="2"/>
    </row>
    <row r="6233" spans="1:25" x14ac:dyDescent="0.2">
      <c r="A6233">
        <v>7295</v>
      </c>
      <c r="B6233" t="s">
        <v>10155</v>
      </c>
      <c r="C6233" t="s">
        <v>18</v>
      </c>
      <c r="D6233" t="s">
        <v>10156</v>
      </c>
      <c r="E6233" t="s">
        <v>10158</v>
      </c>
      <c r="F6233" t="s">
        <v>23</v>
      </c>
      <c r="G6233" t="s">
        <v>280</v>
      </c>
      <c r="J6233" t="b">
        <v>1</v>
      </c>
      <c r="K6233" t="b">
        <v>1</v>
      </c>
      <c r="L6233" t="b">
        <v>1</v>
      </c>
      <c r="M6233" t="str">
        <f>HYPERLINK("https://arizona.app.box.com/file/389165084702")</f>
        <v>https://arizona.app.box.com/file/389165084702</v>
      </c>
      <c r="N6233" t="str">
        <f>HYPERLINK("https://arizona.app.box.com/file/389153341418")</f>
        <v>https://arizona.app.box.com/file/389153341418</v>
      </c>
    </row>
    <row r="6234" spans="1:25" x14ac:dyDescent="0.2">
      <c r="A6234">
        <v>7296</v>
      </c>
      <c r="B6234" t="s">
        <v>10155</v>
      </c>
      <c r="C6234" t="s">
        <v>18</v>
      </c>
      <c r="D6234" t="s">
        <v>5326</v>
      </c>
      <c r="E6234" t="s">
        <v>4558</v>
      </c>
      <c r="F6234" t="s">
        <v>23</v>
      </c>
      <c r="G6234" t="s">
        <v>280</v>
      </c>
      <c r="J6234" t="b">
        <v>1</v>
      </c>
      <c r="K6234" t="b">
        <v>1</v>
      </c>
      <c r="L6234" t="b">
        <v>1</v>
      </c>
      <c r="M6234" t="str">
        <f>HYPERLINK("https://arizona.app.box.com/file/389167328396")</f>
        <v>https://arizona.app.box.com/file/389167328396</v>
      </c>
    </row>
    <row r="6235" spans="1:25" x14ac:dyDescent="0.2">
      <c r="A6235">
        <v>7297</v>
      </c>
      <c r="B6235" t="s">
        <v>10155</v>
      </c>
      <c r="C6235" t="s">
        <v>18</v>
      </c>
      <c r="D6235" t="s">
        <v>5323</v>
      </c>
      <c r="E6235" t="s">
        <v>3822</v>
      </c>
      <c r="F6235" t="s">
        <v>23</v>
      </c>
      <c r="G6235" t="s">
        <v>280</v>
      </c>
      <c r="J6235" t="b">
        <v>0</v>
      </c>
      <c r="K6235" t="b">
        <v>0</v>
      </c>
      <c r="L6235" t="b">
        <v>0</v>
      </c>
    </row>
    <row r="6236" spans="1:25" x14ac:dyDescent="0.2">
      <c r="A6236">
        <v>7298</v>
      </c>
      <c r="B6236" t="s">
        <v>10155</v>
      </c>
      <c r="C6236" t="s">
        <v>18</v>
      </c>
      <c r="D6236" t="s">
        <v>10159</v>
      </c>
      <c r="E6236" t="s">
        <v>5021</v>
      </c>
      <c r="F6236" t="s">
        <v>23</v>
      </c>
      <c r="G6236" t="s">
        <v>280</v>
      </c>
      <c r="J6236" t="b">
        <v>0</v>
      </c>
      <c r="K6236" t="b">
        <v>0</v>
      </c>
      <c r="L6236" t="b">
        <v>0</v>
      </c>
    </row>
    <row r="6237" spans="1:25" x14ac:dyDescent="0.2">
      <c r="A6237">
        <v>7299</v>
      </c>
      <c r="B6237" t="s">
        <v>10155</v>
      </c>
      <c r="C6237" t="s">
        <v>18</v>
      </c>
      <c r="D6237" t="s">
        <v>5313</v>
      </c>
      <c r="E6237" t="s">
        <v>4048</v>
      </c>
      <c r="F6237" t="s">
        <v>23</v>
      </c>
      <c r="G6237" t="s">
        <v>280</v>
      </c>
      <c r="J6237" t="b">
        <v>0</v>
      </c>
      <c r="K6237" t="b">
        <v>0</v>
      </c>
      <c r="L6237" t="b">
        <v>0</v>
      </c>
      <c r="M6237" t="str">
        <f>HYPERLINK("https://arizona.app.box.com/file/389166870556")</f>
        <v>https://arizona.app.box.com/file/389166870556</v>
      </c>
      <c r="N6237" t="str">
        <f>HYPERLINK("https://arizona.app.box.com/file/389262662703")</f>
        <v>https://arizona.app.box.com/file/389262662703</v>
      </c>
      <c r="O6237" t="str">
        <f>HYPERLINK("https://arizona.app.box.com/file/389160947267")</f>
        <v>https://arizona.app.box.com/file/389160947267</v>
      </c>
    </row>
    <row r="6239" spans="1:25" x14ac:dyDescent="0.2">
      <c r="A6239" s="2">
        <v>7357</v>
      </c>
      <c r="B6239" s="2" t="s">
        <v>10160</v>
      </c>
      <c r="C6239" s="2" t="s">
        <v>13</v>
      </c>
      <c r="D6239" s="2" t="s">
        <v>5801</v>
      </c>
      <c r="E6239" s="2" t="s">
        <v>10161</v>
      </c>
      <c r="F6239" s="2" t="s">
        <v>78</v>
      </c>
      <c r="G6239" s="2" t="s">
        <v>252</v>
      </c>
      <c r="H6239" s="2"/>
      <c r="I6239" s="2"/>
      <c r="J6239" s="2"/>
      <c r="K6239" s="2"/>
      <c r="L6239" s="2"/>
      <c r="M6239" s="2"/>
      <c r="N6239" s="2"/>
      <c r="O6239" s="2"/>
      <c r="P6239" s="2"/>
      <c r="Q6239" s="2"/>
      <c r="R6239" s="2"/>
      <c r="S6239" s="2"/>
      <c r="T6239" s="2"/>
      <c r="U6239" s="2"/>
      <c r="V6239" s="2"/>
      <c r="W6239" s="2"/>
      <c r="X6239" s="2"/>
      <c r="Y6239" s="2"/>
    </row>
    <row r="6240" spans="1:25" x14ac:dyDescent="0.2">
      <c r="A6240">
        <v>7358</v>
      </c>
      <c r="B6240" t="s">
        <v>10160</v>
      </c>
      <c r="C6240" t="s">
        <v>18</v>
      </c>
      <c r="D6240" t="s">
        <v>5801</v>
      </c>
      <c r="E6240" t="s">
        <v>195</v>
      </c>
      <c r="F6240" t="s">
        <v>78</v>
      </c>
      <c r="G6240" t="s">
        <v>252</v>
      </c>
      <c r="J6240" t="b">
        <v>1</v>
      </c>
      <c r="K6240" t="b">
        <v>1</v>
      </c>
      <c r="L6240" t="b">
        <v>1</v>
      </c>
      <c r="M6240" t="str">
        <f>HYPERLINK("https://arizona.app.box.com/file/389266100162")</f>
        <v>https://arizona.app.box.com/file/389266100162</v>
      </c>
    </row>
    <row r="6241" spans="1:25" x14ac:dyDescent="0.2">
      <c r="A6241">
        <v>7359</v>
      </c>
      <c r="B6241" t="s">
        <v>10160</v>
      </c>
      <c r="C6241" t="s">
        <v>18</v>
      </c>
      <c r="D6241" t="s">
        <v>10162</v>
      </c>
      <c r="E6241" t="s">
        <v>5474</v>
      </c>
      <c r="F6241" t="s">
        <v>78</v>
      </c>
      <c r="G6241" t="s">
        <v>252</v>
      </c>
      <c r="J6241" t="b">
        <v>1</v>
      </c>
      <c r="K6241" t="b">
        <v>1</v>
      </c>
      <c r="L6241" t="b">
        <v>1</v>
      </c>
      <c r="M6241" t="str">
        <f>HYPERLINK("https://arizona.app.box.com/file/389162595066")</f>
        <v>https://arizona.app.box.com/file/389162595066</v>
      </c>
    </row>
    <row r="6242" spans="1:25" x14ac:dyDescent="0.2">
      <c r="A6242">
        <v>7360</v>
      </c>
      <c r="B6242" t="s">
        <v>10160</v>
      </c>
      <c r="C6242" t="s">
        <v>18</v>
      </c>
      <c r="D6242" t="s">
        <v>5797</v>
      </c>
      <c r="E6242" t="s">
        <v>5799</v>
      </c>
      <c r="F6242" t="s">
        <v>78</v>
      </c>
      <c r="G6242" t="s">
        <v>252</v>
      </c>
      <c r="J6242" t="b">
        <v>0</v>
      </c>
      <c r="K6242" t="b">
        <v>0</v>
      </c>
      <c r="L6242" t="b">
        <v>0</v>
      </c>
      <c r="M6242" t="str">
        <f>HYPERLINK("https://arizona.app.box.com/file/389262814790")</f>
        <v>https://arizona.app.box.com/file/389262814790</v>
      </c>
    </row>
    <row r="6243" spans="1:25" x14ac:dyDescent="0.2">
      <c r="A6243">
        <v>7361</v>
      </c>
      <c r="B6243" t="s">
        <v>10160</v>
      </c>
      <c r="C6243" t="s">
        <v>18</v>
      </c>
      <c r="D6243" t="s">
        <v>5805</v>
      </c>
      <c r="E6243" t="s">
        <v>5806</v>
      </c>
      <c r="F6243" t="s">
        <v>670</v>
      </c>
      <c r="G6243" t="s">
        <v>17</v>
      </c>
      <c r="J6243" t="b">
        <v>0</v>
      </c>
      <c r="K6243" t="b">
        <v>0</v>
      </c>
      <c r="L6243" t="b">
        <v>0</v>
      </c>
      <c r="M6243" t="str">
        <f>HYPERLINK("https://arizona.app.box.com/file/389178153893")</f>
        <v>https://arizona.app.box.com/file/389178153893</v>
      </c>
    </row>
    <row r="6244" spans="1:25" x14ac:dyDescent="0.2">
      <c r="A6244">
        <v>7362</v>
      </c>
      <c r="B6244" t="s">
        <v>10160</v>
      </c>
      <c r="C6244" t="s">
        <v>18</v>
      </c>
      <c r="D6244" t="s">
        <v>5803</v>
      </c>
      <c r="E6244" t="s">
        <v>5474</v>
      </c>
      <c r="F6244" t="s">
        <v>78</v>
      </c>
      <c r="G6244" t="s">
        <v>252</v>
      </c>
      <c r="J6244" t="b">
        <v>0</v>
      </c>
      <c r="K6244" t="b">
        <v>0</v>
      </c>
      <c r="L6244" t="b">
        <v>0</v>
      </c>
      <c r="M6244" t="str">
        <f>HYPERLINK("https://arizona.app.box.com/file/389153192048")</f>
        <v>https://arizona.app.box.com/file/389153192048</v>
      </c>
    </row>
    <row r="6246" spans="1:25" x14ac:dyDescent="0.2">
      <c r="A6246" s="2">
        <v>7406</v>
      </c>
      <c r="B6246" s="2" t="s">
        <v>10163</v>
      </c>
      <c r="C6246" s="2" t="s">
        <v>13</v>
      </c>
      <c r="D6246" s="2" t="s">
        <v>10164</v>
      </c>
      <c r="E6246" s="2" t="s">
        <v>10165</v>
      </c>
      <c r="F6246" s="2" t="s">
        <v>45</v>
      </c>
      <c r="G6246" s="2" t="s">
        <v>88</v>
      </c>
      <c r="H6246" s="2"/>
      <c r="I6246" s="2"/>
      <c r="J6246" s="2"/>
      <c r="K6246" s="2"/>
      <c r="L6246" s="2"/>
      <c r="M6246" s="2"/>
      <c r="N6246" s="2"/>
      <c r="O6246" s="2"/>
      <c r="P6246" s="2"/>
      <c r="Q6246" s="2"/>
      <c r="R6246" s="2"/>
      <c r="S6246" s="2"/>
      <c r="T6246" s="2"/>
      <c r="U6246" s="2"/>
      <c r="V6246" s="2"/>
      <c r="W6246" s="2"/>
      <c r="X6246" s="2"/>
      <c r="Y6246" s="2"/>
    </row>
    <row r="6247" spans="1:25" x14ac:dyDescent="0.2">
      <c r="A6247">
        <v>7407</v>
      </c>
      <c r="B6247" t="s">
        <v>10163</v>
      </c>
      <c r="C6247" t="s">
        <v>18</v>
      </c>
      <c r="D6247" t="s">
        <v>10164</v>
      </c>
      <c r="E6247" t="s">
        <v>10165</v>
      </c>
      <c r="F6247" t="s">
        <v>10166</v>
      </c>
      <c r="G6247" t="s">
        <v>88</v>
      </c>
      <c r="J6247" t="b">
        <v>1</v>
      </c>
      <c r="K6247" t="b">
        <v>1</v>
      </c>
      <c r="L6247" t="b">
        <v>1</v>
      </c>
      <c r="M6247" t="str">
        <f>HYPERLINK("https://arizona.app.box.com/file/386249534345")</f>
        <v>https://arizona.app.box.com/file/386249534345</v>
      </c>
      <c r="N6247" t="str">
        <f>HYPERLINK("https://arizona.app.box.com/file/386265336102")</f>
        <v>https://arizona.app.box.com/file/386265336102</v>
      </c>
    </row>
    <row r="6248" spans="1:25" x14ac:dyDescent="0.2">
      <c r="A6248">
        <v>7408</v>
      </c>
      <c r="B6248" t="s">
        <v>10163</v>
      </c>
      <c r="C6248" t="s">
        <v>18</v>
      </c>
      <c r="D6248" t="s">
        <v>10167</v>
      </c>
      <c r="E6248" t="s">
        <v>10168</v>
      </c>
      <c r="F6248" t="s">
        <v>27</v>
      </c>
      <c r="G6248" t="s">
        <v>88</v>
      </c>
      <c r="J6248" t="b">
        <v>0</v>
      </c>
      <c r="K6248" t="b">
        <v>0</v>
      </c>
      <c r="L6248" t="b">
        <v>0</v>
      </c>
      <c r="M6248" t="str">
        <f>HYPERLINK("https://arizona.app.box.com/file/386241193909")</f>
        <v>https://arizona.app.box.com/file/386241193909</v>
      </c>
      <c r="N6248" t="str">
        <f>HYPERLINK("https://arizona.app.box.com/file/386252881030")</f>
        <v>https://arizona.app.box.com/file/386252881030</v>
      </c>
    </row>
    <row r="6249" spans="1:25" x14ac:dyDescent="0.2">
      <c r="A6249">
        <v>7409</v>
      </c>
      <c r="B6249" t="s">
        <v>10163</v>
      </c>
      <c r="C6249" t="s">
        <v>18</v>
      </c>
      <c r="D6249" t="s">
        <v>10169</v>
      </c>
      <c r="E6249" t="s">
        <v>10170</v>
      </c>
      <c r="F6249" t="s">
        <v>27</v>
      </c>
      <c r="G6249" t="s">
        <v>88</v>
      </c>
      <c r="J6249" t="b">
        <v>0</v>
      </c>
      <c r="K6249" t="b">
        <v>0</v>
      </c>
      <c r="L6249" t="b">
        <v>0</v>
      </c>
      <c r="M6249" t="str">
        <f>HYPERLINK("https://arizona.app.box.com/file/386224889627")</f>
        <v>https://arizona.app.box.com/file/386224889627</v>
      </c>
      <c r="N6249" t="str">
        <f>HYPERLINK("https://arizona.app.box.com/file/386251290172")</f>
        <v>https://arizona.app.box.com/file/386251290172</v>
      </c>
    </row>
    <row r="6250" spans="1:25" x14ac:dyDescent="0.2">
      <c r="A6250">
        <v>7410</v>
      </c>
      <c r="B6250" t="s">
        <v>10163</v>
      </c>
      <c r="C6250" t="s">
        <v>18</v>
      </c>
      <c r="D6250" t="s">
        <v>10171</v>
      </c>
      <c r="E6250" t="s">
        <v>3018</v>
      </c>
      <c r="F6250" t="s">
        <v>27</v>
      </c>
      <c r="G6250" t="s">
        <v>88</v>
      </c>
      <c r="J6250" t="b">
        <v>0</v>
      </c>
      <c r="K6250" t="b">
        <v>0</v>
      </c>
      <c r="L6250" t="b">
        <v>0</v>
      </c>
      <c r="M6250" t="str">
        <f>HYPERLINK("https://arizona.app.box.com/file/386266519322")</f>
        <v>https://arizona.app.box.com/file/386266519322</v>
      </c>
    </row>
    <row r="6251" spans="1:25" x14ac:dyDescent="0.2">
      <c r="A6251">
        <v>7411</v>
      </c>
      <c r="B6251" t="s">
        <v>10163</v>
      </c>
      <c r="C6251" t="s">
        <v>18</v>
      </c>
      <c r="D6251" t="s">
        <v>10172</v>
      </c>
      <c r="E6251" t="s">
        <v>10173</v>
      </c>
      <c r="F6251" t="s">
        <v>27</v>
      </c>
      <c r="G6251" t="s">
        <v>32</v>
      </c>
      <c r="J6251" t="b">
        <v>0</v>
      </c>
      <c r="K6251" t="b">
        <v>0</v>
      </c>
      <c r="L6251" t="b">
        <v>0</v>
      </c>
      <c r="M6251" t="str">
        <f>HYPERLINK("https://arizona.app.box.com/file/386216909922")</f>
        <v>https://arizona.app.box.com/file/386216909922</v>
      </c>
      <c r="N6251" t="str">
        <f>HYPERLINK("https://arizona.app.box.com/file/386228007427")</f>
        <v>https://arizona.app.box.com/file/386228007427</v>
      </c>
    </row>
    <row r="6253" spans="1:25" x14ac:dyDescent="0.2">
      <c r="A6253" s="2">
        <v>7413</v>
      </c>
      <c r="B6253" s="2" t="s">
        <v>10174</v>
      </c>
      <c r="C6253" s="2" t="s">
        <v>13</v>
      </c>
      <c r="D6253" s="2" t="s">
        <v>1579</v>
      </c>
      <c r="E6253" s="2" t="s">
        <v>1580</v>
      </c>
      <c r="F6253" s="2" t="s">
        <v>122</v>
      </c>
      <c r="G6253" s="2" t="s">
        <v>24</v>
      </c>
      <c r="H6253" s="2"/>
      <c r="I6253" s="2"/>
      <c r="J6253" s="2"/>
      <c r="K6253" s="2"/>
      <c r="L6253" s="2"/>
      <c r="M6253" s="2"/>
      <c r="N6253" s="2"/>
      <c r="O6253" s="2"/>
      <c r="P6253" s="2"/>
      <c r="Q6253" s="2"/>
      <c r="R6253" s="2"/>
      <c r="S6253" s="2"/>
      <c r="T6253" s="2"/>
      <c r="U6253" s="2"/>
      <c r="V6253" s="2"/>
      <c r="W6253" s="2"/>
      <c r="X6253" s="2"/>
      <c r="Y6253" s="2"/>
    </row>
    <row r="6254" spans="1:25" x14ac:dyDescent="0.2">
      <c r="A6254">
        <v>7414</v>
      </c>
      <c r="B6254" t="s">
        <v>10174</v>
      </c>
      <c r="C6254" t="s">
        <v>18</v>
      </c>
      <c r="D6254" t="s">
        <v>1579</v>
      </c>
      <c r="E6254" t="s">
        <v>1580</v>
      </c>
      <c r="F6254" t="s">
        <v>122</v>
      </c>
      <c r="G6254" t="s">
        <v>24</v>
      </c>
      <c r="J6254" t="b">
        <v>1</v>
      </c>
      <c r="K6254" t="b">
        <v>1</v>
      </c>
      <c r="L6254" t="b">
        <v>1</v>
      </c>
      <c r="M6254" t="str">
        <f>HYPERLINK("https://arizona.app.box.com/file/386226923986")</f>
        <v>https://arizona.app.box.com/file/386226923986</v>
      </c>
      <c r="N6254" t="str">
        <f>HYPERLINK("https://arizona.app.box.com/file/386245351562")</f>
        <v>https://arizona.app.box.com/file/386245351562</v>
      </c>
    </row>
    <row r="6255" spans="1:25" x14ac:dyDescent="0.2">
      <c r="A6255">
        <v>7415</v>
      </c>
      <c r="B6255" t="s">
        <v>10174</v>
      </c>
      <c r="C6255" t="s">
        <v>18</v>
      </c>
      <c r="D6255" t="s">
        <v>10175</v>
      </c>
      <c r="E6255" t="s">
        <v>10176</v>
      </c>
      <c r="F6255" t="s">
        <v>122</v>
      </c>
      <c r="G6255" t="s">
        <v>24</v>
      </c>
      <c r="J6255" t="b">
        <v>0</v>
      </c>
      <c r="K6255" t="b">
        <v>0</v>
      </c>
      <c r="L6255" t="b">
        <v>0</v>
      </c>
      <c r="M6255" t="str">
        <f>HYPERLINK("https://arizona.app.box.com/file/386212472834")</f>
        <v>https://arizona.app.box.com/file/386212472834</v>
      </c>
      <c r="N6255" t="str">
        <f>HYPERLINK("https://arizona.app.box.com/file/386227015097")</f>
        <v>https://arizona.app.box.com/file/386227015097</v>
      </c>
    </row>
    <row r="6256" spans="1:25" x14ac:dyDescent="0.2">
      <c r="A6256">
        <v>7416</v>
      </c>
      <c r="B6256" t="s">
        <v>10174</v>
      </c>
      <c r="C6256" t="s">
        <v>18</v>
      </c>
      <c r="D6256" t="s">
        <v>10177</v>
      </c>
      <c r="E6256" t="s">
        <v>1100</v>
      </c>
      <c r="F6256" t="s">
        <v>122</v>
      </c>
      <c r="G6256" t="s">
        <v>24</v>
      </c>
      <c r="J6256" t="b">
        <v>0</v>
      </c>
      <c r="K6256" t="b">
        <v>0</v>
      </c>
      <c r="L6256" t="b">
        <v>0</v>
      </c>
      <c r="M6256" t="str">
        <f>HYPERLINK("https://arizona.app.box.com/file/389170572307")</f>
        <v>https://arizona.app.box.com/file/389170572307</v>
      </c>
      <c r="N6256" t="str">
        <f>HYPERLINK("https://arizona.app.box.com/file/386245701877")</f>
        <v>https://arizona.app.box.com/file/386245701877</v>
      </c>
    </row>
    <row r="6257" spans="1:25" x14ac:dyDescent="0.2">
      <c r="A6257">
        <v>7417</v>
      </c>
      <c r="B6257" t="s">
        <v>10174</v>
      </c>
      <c r="C6257" t="s">
        <v>18</v>
      </c>
      <c r="D6257" t="s">
        <v>10178</v>
      </c>
      <c r="E6257" t="s">
        <v>10179</v>
      </c>
      <c r="F6257" t="s">
        <v>122</v>
      </c>
      <c r="G6257" t="s">
        <v>24</v>
      </c>
      <c r="J6257" t="b">
        <v>0</v>
      </c>
      <c r="K6257" t="b">
        <v>0</v>
      </c>
      <c r="L6257" t="b">
        <v>0</v>
      </c>
      <c r="M6257" t="str">
        <f>HYPERLINK("https://arizona.app.box.com/file/389262898129")</f>
        <v>https://arizona.app.box.com/file/389262898129</v>
      </c>
      <c r="N6257" t="str">
        <f>HYPERLINK("https://arizona.app.box.com/file/389164409206")</f>
        <v>https://arizona.app.box.com/file/389164409206</v>
      </c>
    </row>
    <row r="6258" spans="1:25" x14ac:dyDescent="0.2">
      <c r="A6258">
        <v>7418</v>
      </c>
      <c r="B6258" t="s">
        <v>10174</v>
      </c>
      <c r="C6258" t="s">
        <v>18</v>
      </c>
      <c r="D6258" t="s">
        <v>10180</v>
      </c>
      <c r="E6258" t="s">
        <v>10181</v>
      </c>
      <c r="F6258" t="s">
        <v>122</v>
      </c>
      <c r="G6258" t="s">
        <v>24</v>
      </c>
      <c r="J6258" t="b">
        <v>0</v>
      </c>
      <c r="K6258" t="b">
        <v>0</v>
      </c>
      <c r="L6258" t="b">
        <v>0</v>
      </c>
      <c r="M6258" t="str">
        <f>HYPERLINK("https://arizona.app.box.com/file/386240251553")</f>
        <v>https://arizona.app.box.com/file/386240251553</v>
      </c>
      <c r="N6258" t="str">
        <f>HYPERLINK("https://arizona.app.box.com/file/386241113911")</f>
        <v>https://arizona.app.box.com/file/386241113911</v>
      </c>
    </row>
    <row r="6260" spans="1:25" x14ac:dyDescent="0.2">
      <c r="A6260" s="2">
        <v>7448</v>
      </c>
      <c r="B6260" s="2" t="s">
        <v>10182</v>
      </c>
      <c r="C6260" s="2" t="s">
        <v>13</v>
      </c>
      <c r="D6260" s="2" t="s">
        <v>9685</v>
      </c>
      <c r="E6260" s="2" t="s">
        <v>10183</v>
      </c>
      <c r="F6260" s="2" t="s">
        <v>248</v>
      </c>
      <c r="G6260" s="2" t="s">
        <v>1867</v>
      </c>
      <c r="H6260" s="2"/>
      <c r="I6260" s="2"/>
      <c r="J6260" s="2"/>
      <c r="K6260" s="2"/>
      <c r="L6260" s="2"/>
      <c r="M6260" s="2"/>
      <c r="N6260" s="2"/>
      <c r="O6260" s="2"/>
      <c r="P6260" s="2"/>
      <c r="Q6260" s="2"/>
      <c r="R6260" s="2"/>
      <c r="S6260" s="2"/>
      <c r="T6260" s="2"/>
      <c r="U6260" s="2"/>
      <c r="V6260" s="2"/>
      <c r="W6260" s="2"/>
      <c r="X6260" s="2"/>
      <c r="Y6260" s="2"/>
    </row>
    <row r="6261" spans="1:25" x14ac:dyDescent="0.2">
      <c r="A6261">
        <v>7449</v>
      </c>
      <c r="B6261" t="s">
        <v>10182</v>
      </c>
      <c r="C6261" t="s">
        <v>18</v>
      </c>
      <c r="D6261" t="s">
        <v>9685</v>
      </c>
      <c r="E6261" t="s">
        <v>2903</v>
      </c>
      <c r="F6261" t="s">
        <v>248</v>
      </c>
      <c r="G6261" t="s">
        <v>1867</v>
      </c>
      <c r="J6261" t="b">
        <v>1</v>
      </c>
      <c r="K6261" t="b">
        <v>1</v>
      </c>
      <c r="L6261" t="b">
        <v>1</v>
      </c>
      <c r="M6261" t="str">
        <f>HYPERLINK("https://arizona.app.box.com/file/389164007181")</f>
        <v>https://arizona.app.box.com/file/389164007181</v>
      </c>
      <c r="N6261" t="str">
        <f>HYPERLINK("https://arizona.app.box.com/file/386237785594")</f>
        <v>https://arizona.app.box.com/file/386237785594</v>
      </c>
    </row>
    <row r="6262" spans="1:25" x14ac:dyDescent="0.2">
      <c r="A6262">
        <v>7450</v>
      </c>
      <c r="B6262" t="s">
        <v>10182</v>
      </c>
      <c r="C6262" t="s">
        <v>18</v>
      </c>
      <c r="D6262" t="s">
        <v>3548</v>
      </c>
      <c r="E6262" t="s">
        <v>3549</v>
      </c>
      <c r="F6262" t="s">
        <v>248</v>
      </c>
      <c r="G6262" t="s">
        <v>1867</v>
      </c>
      <c r="J6262" t="b">
        <v>1</v>
      </c>
      <c r="K6262" t="b">
        <v>1</v>
      </c>
      <c r="L6262" t="b">
        <v>1</v>
      </c>
      <c r="M6262" t="str">
        <f>HYPERLINK("https://arizona.app.box.com/file/389167105258")</f>
        <v>https://arizona.app.box.com/file/389167105258</v>
      </c>
      <c r="N6262" t="str">
        <f>HYPERLINK("https://arizona.app.box.com/file/386212126032")</f>
        <v>https://arizona.app.box.com/file/386212126032</v>
      </c>
    </row>
    <row r="6263" spans="1:25" x14ac:dyDescent="0.2">
      <c r="A6263">
        <v>7451</v>
      </c>
      <c r="B6263" t="s">
        <v>10182</v>
      </c>
      <c r="C6263" t="s">
        <v>18</v>
      </c>
      <c r="D6263" t="s">
        <v>3574</v>
      </c>
      <c r="E6263" t="s">
        <v>3575</v>
      </c>
      <c r="F6263" t="s">
        <v>248</v>
      </c>
      <c r="G6263" t="s">
        <v>1867</v>
      </c>
      <c r="J6263" t="b">
        <v>1</v>
      </c>
      <c r="K6263" t="b">
        <v>1</v>
      </c>
      <c r="L6263" t="b">
        <v>1</v>
      </c>
      <c r="M6263" t="str">
        <f>HYPERLINK("https://arizona.app.box.com/file/389172632593")</f>
        <v>https://arizona.app.box.com/file/389172632593</v>
      </c>
      <c r="N6263" t="str">
        <f>HYPERLINK("https://arizona.app.box.com/file/386237671666")</f>
        <v>https://arizona.app.box.com/file/386237671666</v>
      </c>
    </row>
    <row r="6264" spans="1:25" x14ac:dyDescent="0.2">
      <c r="A6264">
        <v>7452</v>
      </c>
      <c r="B6264" t="s">
        <v>10182</v>
      </c>
      <c r="C6264" t="s">
        <v>18</v>
      </c>
      <c r="D6264" t="s">
        <v>3578</v>
      </c>
      <c r="E6264" t="s">
        <v>3579</v>
      </c>
      <c r="F6264" t="s">
        <v>159</v>
      </c>
      <c r="G6264" t="s">
        <v>1867</v>
      </c>
      <c r="J6264" t="b">
        <v>0</v>
      </c>
      <c r="K6264" t="b">
        <v>0</v>
      </c>
      <c r="L6264" t="b">
        <v>0</v>
      </c>
      <c r="M6264" t="str">
        <f>HYPERLINK("https://arizona.app.box.com/file/389263275982")</f>
        <v>https://arizona.app.box.com/file/389263275982</v>
      </c>
      <c r="N6264" t="str">
        <f>HYPERLINK("https://arizona.app.box.com/file/389167235075")</f>
        <v>https://arizona.app.box.com/file/389167235075</v>
      </c>
    </row>
    <row r="6265" spans="1:25" x14ac:dyDescent="0.2">
      <c r="A6265">
        <v>7453</v>
      </c>
      <c r="B6265" t="s">
        <v>10182</v>
      </c>
      <c r="C6265" t="s">
        <v>18</v>
      </c>
      <c r="D6265" t="s">
        <v>3467</v>
      </c>
      <c r="E6265" t="s">
        <v>3468</v>
      </c>
      <c r="F6265" t="s">
        <v>420</v>
      </c>
      <c r="G6265" t="s">
        <v>1867</v>
      </c>
      <c r="J6265" t="b">
        <v>0</v>
      </c>
      <c r="K6265" t="b">
        <v>0</v>
      </c>
      <c r="L6265" t="b">
        <v>0</v>
      </c>
      <c r="M6265" t="str">
        <f>HYPERLINK("https://arizona.app.box.com/file/389265296116")</f>
        <v>https://arizona.app.box.com/file/389265296116</v>
      </c>
      <c r="N6265" t="str">
        <f>HYPERLINK("https://arizona.app.box.com/file/389138387799")</f>
        <v>https://arizona.app.box.com/file/389138387799</v>
      </c>
      <c r="O6265" t="str">
        <f>HYPERLINK("https://arizona.app.box.com/file/389256105862")</f>
        <v>https://arizona.app.box.com/file/389256105862</v>
      </c>
      <c r="P6265" t="str">
        <f>HYPERLINK("https://arizona.app.box.com/file/389162267153")</f>
        <v>https://arizona.app.box.com/file/389162267153</v>
      </c>
    </row>
    <row r="6267" spans="1:25" x14ac:dyDescent="0.2">
      <c r="A6267" s="2">
        <v>7455</v>
      </c>
      <c r="B6267" s="2" t="s">
        <v>10184</v>
      </c>
      <c r="C6267" s="2" t="s">
        <v>13</v>
      </c>
      <c r="D6267" s="2" t="s">
        <v>3341</v>
      </c>
      <c r="E6267" s="2" t="s">
        <v>3342</v>
      </c>
      <c r="F6267" s="2" t="s">
        <v>159</v>
      </c>
      <c r="G6267" s="2" t="s">
        <v>279</v>
      </c>
      <c r="H6267" s="2"/>
      <c r="I6267" s="2"/>
      <c r="J6267" s="2"/>
      <c r="K6267" s="2"/>
      <c r="L6267" s="2"/>
      <c r="M6267" s="2"/>
      <c r="N6267" s="2"/>
      <c r="O6267" s="2"/>
      <c r="P6267" s="2"/>
      <c r="Q6267" s="2"/>
      <c r="R6267" s="2"/>
      <c r="S6267" s="2"/>
      <c r="T6267" s="2"/>
      <c r="U6267" s="2"/>
      <c r="V6267" s="2"/>
      <c r="W6267" s="2"/>
      <c r="X6267" s="2"/>
      <c r="Y6267" s="2"/>
    </row>
    <row r="6268" spans="1:25" x14ac:dyDescent="0.2">
      <c r="A6268">
        <v>7456</v>
      </c>
      <c r="B6268" t="s">
        <v>10184</v>
      </c>
      <c r="C6268" t="s">
        <v>18</v>
      </c>
      <c r="D6268" t="s">
        <v>3341</v>
      </c>
      <c r="E6268" t="s">
        <v>3342</v>
      </c>
      <c r="F6268" t="s">
        <v>82</v>
      </c>
      <c r="G6268" t="s">
        <v>280</v>
      </c>
      <c r="J6268" t="b">
        <v>1</v>
      </c>
      <c r="K6268" t="b">
        <v>1</v>
      </c>
      <c r="L6268" t="b">
        <v>1</v>
      </c>
      <c r="M6268" t="str">
        <f>HYPERLINK("https://arizona.app.box.com/file/389152829504")</f>
        <v>https://arizona.app.box.com/file/389152829504</v>
      </c>
      <c r="N6268" t="str">
        <f>HYPERLINK("https://arizona.app.box.com/file/389155987704")</f>
        <v>https://arizona.app.box.com/file/389155987704</v>
      </c>
    </row>
    <row r="6269" spans="1:25" x14ac:dyDescent="0.2">
      <c r="A6269">
        <v>7457</v>
      </c>
      <c r="B6269" t="s">
        <v>10184</v>
      </c>
      <c r="C6269" t="s">
        <v>18</v>
      </c>
      <c r="D6269" t="s">
        <v>3336</v>
      </c>
      <c r="E6269" t="s">
        <v>3337</v>
      </c>
      <c r="F6269" t="s">
        <v>82</v>
      </c>
      <c r="G6269" t="s">
        <v>3338</v>
      </c>
      <c r="J6269" t="b">
        <v>0</v>
      </c>
      <c r="K6269" t="b">
        <v>0</v>
      </c>
      <c r="L6269" t="b">
        <v>0</v>
      </c>
      <c r="M6269" t="str">
        <f>HYPERLINK("https://arizona.app.box.com/file/389152565875")</f>
        <v>https://arizona.app.box.com/file/389152565875</v>
      </c>
      <c r="N6269" t="str">
        <f>HYPERLINK("https://arizona.app.box.com/file/389168239475")</f>
        <v>https://arizona.app.box.com/file/389168239475</v>
      </c>
    </row>
    <row r="6270" spans="1:25" x14ac:dyDescent="0.2">
      <c r="A6270">
        <v>7458</v>
      </c>
      <c r="B6270" t="s">
        <v>10184</v>
      </c>
      <c r="C6270" t="s">
        <v>18</v>
      </c>
      <c r="D6270" t="s">
        <v>3578</v>
      </c>
      <c r="E6270" t="s">
        <v>3579</v>
      </c>
      <c r="F6270" t="s">
        <v>159</v>
      </c>
      <c r="G6270" t="s">
        <v>1867</v>
      </c>
      <c r="J6270" t="b">
        <v>0</v>
      </c>
      <c r="K6270" t="b">
        <v>0</v>
      </c>
      <c r="L6270" t="b">
        <v>0</v>
      </c>
      <c r="M6270" t="str">
        <f>HYPERLINK("https://arizona.app.box.com/file/389263275982")</f>
        <v>https://arizona.app.box.com/file/389263275982</v>
      </c>
      <c r="N6270" t="str">
        <f>HYPERLINK("https://arizona.app.box.com/file/389167235075")</f>
        <v>https://arizona.app.box.com/file/389167235075</v>
      </c>
    </row>
    <row r="6271" spans="1:25" x14ac:dyDescent="0.2">
      <c r="A6271">
        <v>7459</v>
      </c>
      <c r="B6271" t="s">
        <v>10184</v>
      </c>
      <c r="C6271" t="s">
        <v>18</v>
      </c>
      <c r="D6271" t="s">
        <v>6593</v>
      </c>
      <c r="E6271" t="s">
        <v>6594</v>
      </c>
      <c r="F6271" t="s">
        <v>5215</v>
      </c>
      <c r="G6271" t="s">
        <v>280</v>
      </c>
      <c r="J6271" t="b">
        <v>0</v>
      </c>
      <c r="K6271" t="b">
        <v>0</v>
      </c>
      <c r="L6271" t="b">
        <v>0</v>
      </c>
      <c r="M6271" t="str">
        <f>HYPERLINK("https://arizona.app.box.com/file/389166186658")</f>
        <v>https://arizona.app.box.com/file/389166186658</v>
      </c>
      <c r="N6271" t="str">
        <f>HYPERLINK("https://arizona.app.box.com/file/389163163725")</f>
        <v>https://arizona.app.box.com/file/389163163725</v>
      </c>
    </row>
    <row r="6272" spans="1:25" x14ac:dyDescent="0.2">
      <c r="A6272">
        <v>7460</v>
      </c>
      <c r="B6272" t="s">
        <v>10184</v>
      </c>
      <c r="C6272" t="s">
        <v>18</v>
      </c>
      <c r="D6272" t="s">
        <v>5055</v>
      </c>
      <c r="E6272" t="s">
        <v>2731</v>
      </c>
      <c r="F6272" t="s">
        <v>200</v>
      </c>
      <c r="G6272" t="s">
        <v>638</v>
      </c>
      <c r="J6272" t="b">
        <v>0</v>
      </c>
      <c r="K6272" t="b">
        <v>0</v>
      </c>
      <c r="L6272" t="b">
        <v>0</v>
      </c>
      <c r="M6272" t="str">
        <f>HYPERLINK("https://arizona.app.box.com/file/386230969418")</f>
        <v>https://arizona.app.box.com/file/386230969418</v>
      </c>
    </row>
    <row r="6274" spans="1:25" x14ac:dyDescent="0.2">
      <c r="A6274" s="2">
        <v>7476</v>
      </c>
      <c r="B6274" s="2" t="s">
        <v>10185</v>
      </c>
      <c r="C6274" s="2" t="s">
        <v>13</v>
      </c>
      <c r="D6274" s="2" t="s">
        <v>1019</v>
      </c>
      <c r="E6274" s="2" t="s">
        <v>10186</v>
      </c>
      <c r="F6274" s="2" t="s">
        <v>159</v>
      </c>
      <c r="G6274" s="2" t="s">
        <v>88</v>
      </c>
      <c r="H6274" s="2"/>
      <c r="I6274" s="2"/>
      <c r="J6274" s="2"/>
      <c r="K6274" s="2"/>
      <c r="L6274" s="2"/>
      <c r="M6274" s="2"/>
      <c r="N6274" s="2"/>
      <c r="O6274" s="2"/>
      <c r="P6274" s="2"/>
      <c r="Q6274" s="2"/>
      <c r="R6274" s="2"/>
      <c r="S6274" s="2"/>
      <c r="T6274" s="2"/>
      <c r="U6274" s="2"/>
      <c r="V6274" s="2"/>
      <c r="W6274" s="2"/>
      <c r="X6274" s="2"/>
      <c r="Y6274" s="2"/>
    </row>
    <row r="6275" spans="1:25" x14ac:dyDescent="0.2">
      <c r="A6275">
        <v>7477</v>
      </c>
      <c r="B6275" t="s">
        <v>10185</v>
      </c>
      <c r="C6275" t="s">
        <v>18</v>
      </c>
      <c r="D6275" t="s">
        <v>1015</v>
      </c>
      <c r="E6275" t="s">
        <v>1016</v>
      </c>
      <c r="F6275" t="s">
        <v>159</v>
      </c>
      <c r="G6275" t="s">
        <v>88</v>
      </c>
      <c r="J6275" t="b">
        <v>1</v>
      </c>
      <c r="K6275" t="b">
        <v>1</v>
      </c>
      <c r="L6275" t="b">
        <v>1</v>
      </c>
      <c r="M6275" t="str">
        <f>HYPERLINK("https://arizona.app.box.com/file/389173691457")</f>
        <v>https://arizona.app.box.com/file/389173691457</v>
      </c>
      <c r="N6275" t="str">
        <f>HYPERLINK("https://arizona.app.box.com/file/386237510447")</f>
        <v>https://arizona.app.box.com/file/386237510447</v>
      </c>
    </row>
    <row r="6276" spans="1:25" x14ac:dyDescent="0.2">
      <c r="A6276">
        <v>7478</v>
      </c>
      <c r="B6276" t="s">
        <v>10185</v>
      </c>
      <c r="C6276" t="s">
        <v>18</v>
      </c>
      <c r="D6276" t="s">
        <v>1019</v>
      </c>
      <c r="E6276" t="s">
        <v>1020</v>
      </c>
      <c r="F6276" t="s">
        <v>159</v>
      </c>
      <c r="G6276" t="s">
        <v>88</v>
      </c>
      <c r="J6276" t="b">
        <v>1</v>
      </c>
      <c r="K6276" t="b">
        <v>1</v>
      </c>
      <c r="L6276" t="b">
        <v>1</v>
      </c>
      <c r="M6276" t="str">
        <f>HYPERLINK("https://arizona.app.box.com/file/389164797075")</f>
        <v>https://arizona.app.box.com/file/389164797075</v>
      </c>
      <c r="N6276" t="str">
        <f>HYPERLINK("https://arizona.app.box.com/file/386238571660")</f>
        <v>https://arizona.app.box.com/file/386238571660</v>
      </c>
    </row>
    <row r="6277" spans="1:25" x14ac:dyDescent="0.2">
      <c r="A6277">
        <v>7479</v>
      </c>
      <c r="B6277" t="s">
        <v>10185</v>
      </c>
      <c r="C6277" t="s">
        <v>18</v>
      </c>
      <c r="D6277" t="s">
        <v>1008</v>
      </c>
      <c r="E6277" t="s">
        <v>1009</v>
      </c>
      <c r="F6277" t="s">
        <v>1011</v>
      </c>
      <c r="G6277" t="s">
        <v>88</v>
      </c>
      <c r="J6277" t="b">
        <v>0</v>
      </c>
      <c r="K6277" t="b">
        <v>0</v>
      </c>
      <c r="L6277" t="b">
        <v>0</v>
      </c>
      <c r="M6277" t="str">
        <f>HYPERLINK("https://arizona.app.box.com/file/389170118193")</f>
        <v>https://arizona.app.box.com/file/389170118193</v>
      </c>
      <c r="N6277" t="str">
        <f>HYPERLINK("https://arizona.app.box.com/file/389264284151")</f>
        <v>https://arizona.app.box.com/file/389264284151</v>
      </c>
      <c r="O6277" t="str">
        <f>HYPERLINK("https://arizona.app.box.com/file/389162941818")</f>
        <v>https://arizona.app.box.com/file/389162941818</v>
      </c>
    </row>
    <row r="6278" spans="1:25" x14ac:dyDescent="0.2">
      <c r="A6278">
        <v>7480</v>
      </c>
      <c r="B6278" t="s">
        <v>10185</v>
      </c>
      <c r="C6278" t="s">
        <v>18</v>
      </c>
      <c r="D6278" t="s">
        <v>10187</v>
      </c>
      <c r="E6278" t="s">
        <v>10188</v>
      </c>
      <c r="F6278" t="s">
        <v>20</v>
      </c>
      <c r="G6278" t="s">
        <v>88</v>
      </c>
      <c r="J6278" t="b">
        <v>0</v>
      </c>
      <c r="K6278" t="b">
        <v>0</v>
      </c>
      <c r="L6278" t="b">
        <v>0</v>
      </c>
      <c r="M6278" t="str">
        <f>HYPERLINK("https://arizona.app.box.com/file/386264192874")</f>
        <v>https://arizona.app.box.com/file/386264192874</v>
      </c>
    </row>
    <row r="6279" spans="1:25" x14ac:dyDescent="0.2">
      <c r="A6279">
        <v>7481</v>
      </c>
      <c r="B6279" t="s">
        <v>10185</v>
      </c>
      <c r="C6279" t="s">
        <v>18</v>
      </c>
      <c r="D6279" t="s">
        <v>10189</v>
      </c>
      <c r="E6279" t="s">
        <v>1024</v>
      </c>
      <c r="F6279" t="s">
        <v>82</v>
      </c>
      <c r="G6279" t="s">
        <v>88</v>
      </c>
      <c r="J6279" t="b">
        <v>0</v>
      </c>
      <c r="K6279" t="b">
        <v>0</v>
      </c>
      <c r="L6279" t="b">
        <v>0</v>
      </c>
    </row>
    <row r="6281" spans="1:25" x14ac:dyDescent="0.2">
      <c r="A6281" s="2">
        <v>7497</v>
      </c>
      <c r="B6281" s="2" t="s">
        <v>10190</v>
      </c>
      <c r="C6281" s="2" t="s">
        <v>13</v>
      </c>
      <c r="D6281" s="2" t="s">
        <v>4203</v>
      </c>
      <c r="E6281" s="2" t="s">
        <v>10191</v>
      </c>
      <c r="F6281" s="2" t="s">
        <v>16</v>
      </c>
      <c r="G6281" s="2" t="s">
        <v>17</v>
      </c>
      <c r="H6281" s="2"/>
      <c r="I6281" s="2"/>
      <c r="J6281" s="2"/>
      <c r="K6281" s="2"/>
      <c r="L6281" s="2"/>
      <c r="M6281" s="2"/>
      <c r="N6281" s="2"/>
      <c r="O6281" s="2"/>
      <c r="P6281" s="2"/>
      <c r="Q6281" s="2"/>
      <c r="R6281" s="2"/>
      <c r="S6281" s="2"/>
      <c r="T6281" s="2"/>
      <c r="U6281" s="2"/>
      <c r="V6281" s="2"/>
      <c r="W6281" s="2"/>
      <c r="X6281" s="2"/>
      <c r="Y6281" s="2"/>
    </row>
    <row r="6282" spans="1:25" x14ac:dyDescent="0.2">
      <c r="A6282">
        <v>7498</v>
      </c>
      <c r="B6282" t="s">
        <v>10190</v>
      </c>
      <c r="C6282" t="s">
        <v>18</v>
      </c>
      <c r="D6282" t="s">
        <v>4203</v>
      </c>
      <c r="E6282" t="s">
        <v>4204</v>
      </c>
      <c r="F6282" t="s">
        <v>16</v>
      </c>
      <c r="G6282" t="s">
        <v>17</v>
      </c>
      <c r="J6282" t="b">
        <v>1</v>
      </c>
      <c r="K6282" t="b">
        <v>1</v>
      </c>
      <c r="L6282" t="b">
        <v>1</v>
      </c>
      <c r="M6282" t="str">
        <f>HYPERLINK("https://arizona.app.box.com/file/389170763061")</f>
        <v>https://arizona.app.box.com/file/389170763061</v>
      </c>
      <c r="N6282" t="str">
        <f>HYPERLINK("https://arizona.app.box.com/file/386239001587")</f>
        <v>https://arizona.app.box.com/file/386239001587</v>
      </c>
    </row>
    <row r="6283" spans="1:25" x14ac:dyDescent="0.2">
      <c r="A6283">
        <v>7499</v>
      </c>
      <c r="B6283" t="s">
        <v>10190</v>
      </c>
      <c r="C6283" t="s">
        <v>18</v>
      </c>
      <c r="D6283" t="s">
        <v>10192</v>
      </c>
      <c r="E6283" t="s">
        <v>5616</v>
      </c>
      <c r="F6283" t="s">
        <v>16</v>
      </c>
      <c r="G6283" t="s">
        <v>17</v>
      </c>
      <c r="J6283" t="b">
        <v>0</v>
      </c>
      <c r="K6283" t="b">
        <v>0</v>
      </c>
      <c r="L6283" t="b">
        <v>0</v>
      </c>
      <c r="M6283" t="str">
        <f>HYPERLINK("https://arizona.app.box.com/file/389158517771")</f>
        <v>https://arizona.app.box.com/file/389158517771</v>
      </c>
    </row>
    <row r="6284" spans="1:25" x14ac:dyDescent="0.2">
      <c r="A6284">
        <v>7500</v>
      </c>
      <c r="B6284" t="s">
        <v>10190</v>
      </c>
      <c r="C6284" t="s">
        <v>18</v>
      </c>
      <c r="D6284" t="s">
        <v>10193</v>
      </c>
      <c r="E6284" t="s">
        <v>5428</v>
      </c>
      <c r="F6284" t="s">
        <v>16</v>
      </c>
      <c r="G6284" t="s">
        <v>17</v>
      </c>
      <c r="J6284" t="b">
        <v>0</v>
      </c>
      <c r="K6284" t="b">
        <v>0</v>
      </c>
      <c r="L6284" t="b">
        <v>0</v>
      </c>
      <c r="M6284" t="str">
        <f>HYPERLINK("https://arizona.app.box.com/file/389164066589")</f>
        <v>https://arizona.app.box.com/file/389164066589</v>
      </c>
    </row>
    <row r="6285" spans="1:25" x14ac:dyDescent="0.2">
      <c r="A6285">
        <v>7501</v>
      </c>
      <c r="B6285" t="s">
        <v>10190</v>
      </c>
      <c r="C6285" t="s">
        <v>18</v>
      </c>
      <c r="D6285" t="s">
        <v>10194</v>
      </c>
      <c r="E6285" t="s">
        <v>10195</v>
      </c>
      <c r="F6285" t="s">
        <v>16</v>
      </c>
      <c r="G6285" t="s">
        <v>17</v>
      </c>
      <c r="J6285" t="b">
        <v>0</v>
      </c>
      <c r="K6285" t="b">
        <v>0</v>
      </c>
      <c r="L6285" t="b">
        <v>0</v>
      </c>
      <c r="M6285" t="str">
        <f>HYPERLINK("https://arizona.app.box.com/file/389133240305")</f>
        <v>https://arizona.app.box.com/file/389133240305</v>
      </c>
    </row>
    <row r="6286" spans="1:25" x14ac:dyDescent="0.2">
      <c r="A6286">
        <v>7502</v>
      </c>
      <c r="B6286" t="s">
        <v>10190</v>
      </c>
      <c r="C6286" t="s">
        <v>18</v>
      </c>
      <c r="D6286" t="s">
        <v>4197</v>
      </c>
      <c r="E6286" t="s">
        <v>1789</v>
      </c>
      <c r="F6286" t="s">
        <v>174</v>
      </c>
      <c r="G6286" t="s">
        <v>17</v>
      </c>
      <c r="J6286" t="b">
        <v>0</v>
      </c>
      <c r="K6286" t="b">
        <v>0</v>
      </c>
      <c r="L6286" t="b">
        <v>0</v>
      </c>
      <c r="M6286" t="str">
        <f>HYPERLINK("https://arizona.app.box.com/file/389170642136")</f>
        <v>https://arizona.app.box.com/file/389170642136</v>
      </c>
      <c r="N6286" t="str">
        <f>HYPERLINK("https://arizona.app.box.com/file/386239372641")</f>
        <v>https://arizona.app.box.com/file/386239372641</v>
      </c>
    </row>
    <row r="6288" spans="1:25" x14ac:dyDescent="0.2">
      <c r="A6288" s="2">
        <v>7574</v>
      </c>
      <c r="B6288" s="2" t="s">
        <v>10196</v>
      </c>
      <c r="C6288" s="2" t="s">
        <v>13</v>
      </c>
      <c r="D6288" s="2" t="s">
        <v>10197</v>
      </c>
      <c r="E6288" s="2" t="s">
        <v>10198</v>
      </c>
      <c r="F6288" s="2" t="s">
        <v>316</v>
      </c>
      <c r="G6288" s="2" t="s">
        <v>62</v>
      </c>
      <c r="H6288" s="2"/>
      <c r="I6288" s="2"/>
      <c r="J6288" s="2"/>
      <c r="K6288" s="2"/>
      <c r="L6288" s="2"/>
      <c r="M6288" s="2"/>
      <c r="N6288" s="2"/>
      <c r="O6288" s="2"/>
      <c r="P6288" s="2"/>
      <c r="Q6288" s="2"/>
      <c r="R6288" s="2"/>
      <c r="S6288" s="2"/>
      <c r="T6288" s="2"/>
      <c r="U6288" s="2"/>
      <c r="V6288" s="2"/>
      <c r="W6288" s="2"/>
      <c r="X6288" s="2"/>
      <c r="Y6288" s="2"/>
    </row>
    <row r="6289" spans="1:25" x14ac:dyDescent="0.2">
      <c r="A6289">
        <v>7575</v>
      </c>
      <c r="B6289" t="s">
        <v>10196</v>
      </c>
      <c r="C6289" t="s">
        <v>18</v>
      </c>
      <c r="D6289" t="s">
        <v>10197</v>
      </c>
      <c r="E6289" t="s">
        <v>8533</v>
      </c>
      <c r="F6289" t="s">
        <v>316</v>
      </c>
      <c r="G6289" t="s">
        <v>62</v>
      </c>
      <c r="J6289" t="b">
        <v>1</v>
      </c>
      <c r="K6289" t="b">
        <v>1</v>
      </c>
      <c r="L6289" t="b">
        <v>1</v>
      </c>
      <c r="M6289" t="str">
        <f>HYPERLINK("https://arizona.app.box.com/file/386217472569")</f>
        <v>https://arizona.app.box.com/file/386217472569</v>
      </c>
    </row>
    <row r="6290" spans="1:25" x14ac:dyDescent="0.2">
      <c r="A6290">
        <v>7576</v>
      </c>
      <c r="B6290" t="s">
        <v>10196</v>
      </c>
      <c r="C6290" t="s">
        <v>18</v>
      </c>
      <c r="D6290" t="s">
        <v>10199</v>
      </c>
      <c r="E6290" t="s">
        <v>3427</v>
      </c>
      <c r="F6290" t="s">
        <v>316</v>
      </c>
      <c r="G6290" t="s">
        <v>62</v>
      </c>
      <c r="J6290" t="b">
        <v>1</v>
      </c>
      <c r="K6290" t="b">
        <v>1</v>
      </c>
      <c r="L6290" t="b">
        <v>1</v>
      </c>
      <c r="M6290" t="str">
        <f>HYPERLINK("https://arizona.app.box.com/file/386218534574")</f>
        <v>https://arizona.app.box.com/file/386218534574</v>
      </c>
    </row>
    <row r="6291" spans="1:25" x14ac:dyDescent="0.2">
      <c r="A6291">
        <v>7577</v>
      </c>
      <c r="B6291" t="s">
        <v>10196</v>
      </c>
      <c r="C6291" t="s">
        <v>18</v>
      </c>
      <c r="D6291" t="s">
        <v>1093</v>
      </c>
      <c r="E6291" t="s">
        <v>1094</v>
      </c>
      <c r="F6291" t="s">
        <v>316</v>
      </c>
      <c r="G6291" t="s">
        <v>62</v>
      </c>
      <c r="J6291" t="b">
        <v>0</v>
      </c>
      <c r="K6291" t="b">
        <v>0</v>
      </c>
      <c r="L6291" t="b">
        <v>0</v>
      </c>
    </row>
    <row r="6292" spans="1:25" x14ac:dyDescent="0.2">
      <c r="A6292">
        <v>7578</v>
      </c>
      <c r="B6292" t="s">
        <v>10196</v>
      </c>
      <c r="C6292" t="s">
        <v>18</v>
      </c>
      <c r="D6292" t="s">
        <v>10200</v>
      </c>
      <c r="E6292" t="s">
        <v>10201</v>
      </c>
      <c r="F6292" t="s">
        <v>616</v>
      </c>
      <c r="G6292" t="s">
        <v>62</v>
      </c>
      <c r="J6292" t="b">
        <v>0</v>
      </c>
      <c r="K6292" t="b">
        <v>0</v>
      </c>
      <c r="L6292" t="b">
        <v>0</v>
      </c>
    </row>
    <row r="6293" spans="1:25" x14ac:dyDescent="0.2">
      <c r="A6293">
        <v>7579</v>
      </c>
      <c r="B6293" t="s">
        <v>10196</v>
      </c>
      <c r="C6293" t="s">
        <v>18</v>
      </c>
      <c r="D6293" t="s">
        <v>10202</v>
      </c>
      <c r="E6293" t="s">
        <v>10203</v>
      </c>
      <c r="F6293" t="s">
        <v>87</v>
      </c>
      <c r="G6293" t="s">
        <v>62</v>
      </c>
      <c r="J6293" t="b">
        <v>0</v>
      </c>
      <c r="K6293" t="b">
        <v>0</v>
      </c>
      <c r="L6293" t="b">
        <v>0</v>
      </c>
    </row>
    <row r="6295" spans="1:25" x14ac:dyDescent="0.2">
      <c r="A6295" s="2">
        <v>7609</v>
      </c>
      <c r="B6295" s="2" t="s">
        <v>10204</v>
      </c>
      <c r="C6295" s="2" t="s">
        <v>13</v>
      </c>
      <c r="D6295" s="2" t="s">
        <v>10205</v>
      </c>
      <c r="E6295" s="2" t="s">
        <v>10206</v>
      </c>
      <c r="F6295" s="2" t="s">
        <v>78</v>
      </c>
      <c r="G6295" s="2" t="s">
        <v>280</v>
      </c>
      <c r="H6295" s="2"/>
      <c r="I6295" s="2"/>
      <c r="J6295" s="2"/>
      <c r="K6295" s="2"/>
      <c r="L6295" s="2"/>
      <c r="M6295" s="2"/>
      <c r="N6295" s="2"/>
      <c r="O6295" s="2"/>
      <c r="P6295" s="2"/>
      <c r="Q6295" s="2"/>
      <c r="R6295" s="2"/>
      <c r="S6295" s="2"/>
      <c r="T6295" s="2"/>
      <c r="U6295" s="2"/>
      <c r="V6295" s="2"/>
      <c r="W6295" s="2"/>
      <c r="X6295" s="2"/>
      <c r="Y6295" s="2"/>
    </row>
    <row r="6296" spans="1:25" x14ac:dyDescent="0.2">
      <c r="A6296">
        <v>7610</v>
      </c>
      <c r="B6296" t="s">
        <v>10204</v>
      </c>
      <c r="C6296" t="s">
        <v>18</v>
      </c>
      <c r="D6296" t="s">
        <v>10205</v>
      </c>
      <c r="E6296" t="s">
        <v>582</v>
      </c>
      <c r="F6296" t="s">
        <v>78</v>
      </c>
      <c r="G6296" t="s">
        <v>280</v>
      </c>
      <c r="J6296" t="b">
        <v>1</v>
      </c>
      <c r="K6296" t="b">
        <v>1</v>
      </c>
      <c r="L6296" t="b">
        <v>1</v>
      </c>
      <c r="M6296" t="str">
        <f>HYPERLINK("https://arizona.app.box.com/file/389267361316")</f>
        <v>https://arizona.app.box.com/file/389267361316</v>
      </c>
      <c r="N6296" t="str">
        <f>HYPERLINK("https://arizona.app.box.com/file/389152821269")</f>
        <v>https://arizona.app.box.com/file/389152821269</v>
      </c>
    </row>
    <row r="6297" spans="1:25" x14ac:dyDescent="0.2">
      <c r="A6297">
        <v>7611</v>
      </c>
      <c r="B6297" t="s">
        <v>10204</v>
      </c>
      <c r="C6297" t="s">
        <v>18</v>
      </c>
      <c r="D6297" t="s">
        <v>10207</v>
      </c>
      <c r="E6297" t="s">
        <v>9036</v>
      </c>
      <c r="F6297" t="s">
        <v>78</v>
      </c>
      <c r="G6297" t="s">
        <v>280</v>
      </c>
      <c r="J6297" t="b">
        <v>1</v>
      </c>
      <c r="K6297" t="b">
        <v>1</v>
      </c>
      <c r="L6297" t="b">
        <v>1</v>
      </c>
      <c r="M6297" t="str">
        <f>HYPERLINK("https://arizona.app.box.com/file/389262828302")</f>
        <v>https://arizona.app.box.com/file/389262828302</v>
      </c>
      <c r="N6297" t="str">
        <f>HYPERLINK("https://arizona.app.box.com/file/389161921250")</f>
        <v>https://arizona.app.box.com/file/389161921250</v>
      </c>
    </row>
    <row r="6298" spans="1:25" x14ac:dyDescent="0.2">
      <c r="A6298">
        <v>7612</v>
      </c>
      <c r="B6298" t="s">
        <v>10204</v>
      </c>
      <c r="C6298" t="s">
        <v>18</v>
      </c>
      <c r="D6298" t="s">
        <v>4346</v>
      </c>
      <c r="E6298" t="s">
        <v>4347</v>
      </c>
      <c r="F6298" t="s">
        <v>248</v>
      </c>
      <c r="G6298" t="s">
        <v>280</v>
      </c>
      <c r="J6298" t="b">
        <v>0</v>
      </c>
      <c r="K6298" t="b">
        <v>0</v>
      </c>
      <c r="L6298" t="b">
        <v>0</v>
      </c>
      <c r="M6298" t="str">
        <f>HYPERLINK("https://arizona.app.box.com/file/389263060510")</f>
        <v>https://arizona.app.box.com/file/389263060510</v>
      </c>
      <c r="N6298" t="str">
        <f>HYPERLINK("https://arizona.app.box.com/file/389166889461")</f>
        <v>https://arizona.app.box.com/file/389166889461</v>
      </c>
      <c r="O6298" t="str">
        <f>HYPERLINK("https://arizona.app.box.com/file/389170144288")</f>
        <v>https://arizona.app.box.com/file/389170144288</v>
      </c>
      <c r="P6298" t="str">
        <f>HYPERLINK("https://arizona.app.box.com/file/386212028832")</f>
        <v>https://arizona.app.box.com/file/386212028832</v>
      </c>
    </row>
    <row r="6299" spans="1:25" x14ac:dyDescent="0.2">
      <c r="A6299">
        <v>7613</v>
      </c>
      <c r="B6299" t="s">
        <v>10204</v>
      </c>
      <c r="C6299" t="s">
        <v>18</v>
      </c>
      <c r="D6299" t="s">
        <v>9201</v>
      </c>
      <c r="E6299" t="s">
        <v>2325</v>
      </c>
      <c r="F6299" t="s">
        <v>1404</v>
      </c>
      <c r="G6299" t="s">
        <v>88</v>
      </c>
      <c r="J6299" t="b">
        <v>0</v>
      </c>
      <c r="K6299" t="b">
        <v>0</v>
      </c>
      <c r="L6299" t="b">
        <v>0</v>
      </c>
      <c r="M6299" t="str">
        <f>HYPERLINK("https://arizona.app.box.com/file/389175216292")</f>
        <v>https://arizona.app.box.com/file/389175216292</v>
      </c>
      <c r="N6299" t="str">
        <f>HYPERLINK("https://arizona.app.box.com/file/386239508572")</f>
        <v>https://arizona.app.box.com/file/386239508572</v>
      </c>
    </row>
    <row r="6300" spans="1:25" x14ac:dyDescent="0.2">
      <c r="A6300">
        <v>7614</v>
      </c>
      <c r="B6300" t="s">
        <v>10204</v>
      </c>
      <c r="C6300" t="s">
        <v>18</v>
      </c>
      <c r="D6300" t="s">
        <v>7775</v>
      </c>
      <c r="E6300" t="s">
        <v>7776</v>
      </c>
      <c r="F6300" t="s">
        <v>78</v>
      </c>
      <c r="G6300" t="s">
        <v>280</v>
      </c>
      <c r="J6300" t="b">
        <v>0</v>
      </c>
      <c r="K6300" t="b">
        <v>0</v>
      </c>
      <c r="L6300" t="b">
        <v>0</v>
      </c>
    </row>
    <row r="6302" spans="1:25" x14ac:dyDescent="0.2">
      <c r="A6302" s="2">
        <v>7630</v>
      </c>
      <c r="B6302" s="2" t="s">
        <v>10208</v>
      </c>
      <c r="C6302" s="2" t="s">
        <v>13</v>
      </c>
      <c r="D6302" s="2" t="s">
        <v>10209</v>
      </c>
      <c r="E6302" s="2" t="s">
        <v>10210</v>
      </c>
      <c r="F6302" s="2" t="s">
        <v>71</v>
      </c>
      <c r="G6302" s="2" t="s">
        <v>62</v>
      </c>
      <c r="H6302" s="2"/>
      <c r="I6302" s="2"/>
      <c r="J6302" s="2"/>
      <c r="K6302" s="2"/>
      <c r="L6302" s="2"/>
      <c r="M6302" s="2"/>
      <c r="N6302" s="2"/>
      <c r="O6302" s="2"/>
      <c r="P6302" s="2"/>
      <c r="Q6302" s="2"/>
      <c r="R6302" s="2"/>
      <c r="S6302" s="2"/>
      <c r="T6302" s="2"/>
      <c r="U6302" s="2"/>
      <c r="V6302" s="2"/>
      <c r="W6302" s="2"/>
      <c r="X6302" s="2"/>
      <c r="Y6302" s="2"/>
    </row>
    <row r="6303" spans="1:25" x14ac:dyDescent="0.2">
      <c r="A6303">
        <v>7631</v>
      </c>
      <c r="B6303" t="s">
        <v>10208</v>
      </c>
      <c r="C6303" t="s">
        <v>18</v>
      </c>
      <c r="D6303" t="s">
        <v>10209</v>
      </c>
      <c r="E6303" t="s">
        <v>4266</v>
      </c>
      <c r="F6303" t="s">
        <v>71</v>
      </c>
      <c r="G6303" t="s">
        <v>62</v>
      </c>
      <c r="J6303" t="b">
        <v>1</v>
      </c>
      <c r="K6303" t="b">
        <v>1</v>
      </c>
      <c r="L6303" t="b">
        <v>1</v>
      </c>
      <c r="M6303" t="str">
        <f>HYPERLINK("https://arizona.app.box.com/file/386245027007")</f>
        <v>https://arizona.app.box.com/file/386245027007</v>
      </c>
    </row>
    <row r="6304" spans="1:25" x14ac:dyDescent="0.2">
      <c r="A6304">
        <v>7632</v>
      </c>
      <c r="B6304" t="s">
        <v>10208</v>
      </c>
      <c r="C6304" t="s">
        <v>18</v>
      </c>
      <c r="D6304" t="s">
        <v>10211</v>
      </c>
      <c r="E6304" t="s">
        <v>10212</v>
      </c>
      <c r="F6304" t="s">
        <v>71</v>
      </c>
      <c r="G6304" t="s">
        <v>62</v>
      </c>
      <c r="J6304" t="b">
        <v>1</v>
      </c>
      <c r="K6304" t="b">
        <v>1</v>
      </c>
      <c r="L6304" t="b">
        <v>1</v>
      </c>
      <c r="M6304" t="str">
        <f>HYPERLINK("https://arizona.app.box.com/file/386228513447")</f>
        <v>https://arizona.app.box.com/file/386228513447</v>
      </c>
    </row>
    <row r="6305" spans="1:25" x14ac:dyDescent="0.2">
      <c r="A6305">
        <v>7633</v>
      </c>
      <c r="B6305" t="s">
        <v>10208</v>
      </c>
      <c r="C6305" t="s">
        <v>18</v>
      </c>
      <c r="D6305" t="s">
        <v>10213</v>
      </c>
      <c r="E6305" t="s">
        <v>10214</v>
      </c>
      <c r="F6305" t="s">
        <v>71</v>
      </c>
      <c r="G6305" t="s">
        <v>62</v>
      </c>
      <c r="J6305" t="b">
        <v>0</v>
      </c>
      <c r="K6305" t="b">
        <v>0</v>
      </c>
      <c r="L6305" t="b">
        <v>0</v>
      </c>
    </row>
    <row r="6306" spans="1:25" x14ac:dyDescent="0.2">
      <c r="A6306">
        <v>7634</v>
      </c>
      <c r="B6306" t="s">
        <v>10208</v>
      </c>
      <c r="C6306" t="s">
        <v>18</v>
      </c>
      <c r="D6306" t="s">
        <v>10215</v>
      </c>
      <c r="E6306" t="s">
        <v>10216</v>
      </c>
      <c r="F6306" t="s">
        <v>71</v>
      </c>
      <c r="G6306" t="s">
        <v>62</v>
      </c>
      <c r="J6306" t="b">
        <v>0</v>
      </c>
      <c r="K6306" t="b">
        <v>0</v>
      </c>
      <c r="L6306" t="b">
        <v>0</v>
      </c>
    </row>
    <row r="6307" spans="1:25" x14ac:dyDescent="0.2">
      <c r="A6307">
        <v>7635</v>
      </c>
      <c r="B6307" t="s">
        <v>10208</v>
      </c>
      <c r="C6307" t="s">
        <v>18</v>
      </c>
      <c r="D6307" t="s">
        <v>10217</v>
      </c>
      <c r="E6307" t="s">
        <v>10218</v>
      </c>
      <c r="F6307" t="s">
        <v>71</v>
      </c>
      <c r="G6307" t="s">
        <v>17</v>
      </c>
      <c r="J6307" t="b">
        <v>0</v>
      </c>
      <c r="K6307" t="b">
        <v>0</v>
      </c>
      <c r="L6307" t="b">
        <v>0</v>
      </c>
      <c r="M6307" t="str">
        <f>HYPERLINK("https://arizona.app.box.com/file/389161369715")</f>
        <v>https://arizona.app.box.com/file/389161369715</v>
      </c>
      <c r="N6307" t="str">
        <f>HYPERLINK("https://arizona.app.box.com/file/389150443578")</f>
        <v>https://arizona.app.box.com/file/389150443578</v>
      </c>
    </row>
    <row r="6309" spans="1:25" x14ac:dyDescent="0.2">
      <c r="A6309" s="2">
        <v>7658</v>
      </c>
      <c r="B6309" s="2" t="s">
        <v>10219</v>
      </c>
      <c r="C6309" s="2" t="s">
        <v>13</v>
      </c>
      <c r="D6309" s="2" t="s">
        <v>1824</v>
      </c>
      <c r="E6309" s="2" t="s">
        <v>8376</v>
      </c>
      <c r="F6309" s="2" t="s">
        <v>159</v>
      </c>
      <c r="G6309" s="2" t="s">
        <v>24</v>
      </c>
      <c r="H6309" s="2"/>
      <c r="I6309" s="2"/>
      <c r="J6309" s="2"/>
      <c r="K6309" s="2"/>
      <c r="L6309" s="2"/>
      <c r="M6309" s="2"/>
      <c r="N6309" s="2"/>
      <c r="O6309" s="2"/>
      <c r="P6309" s="2"/>
      <c r="Q6309" s="2"/>
      <c r="R6309" s="2"/>
      <c r="S6309" s="2"/>
      <c r="T6309" s="2"/>
      <c r="U6309" s="2"/>
      <c r="V6309" s="2"/>
      <c r="W6309" s="2"/>
      <c r="X6309" s="2"/>
      <c r="Y6309" s="2"/>
    </row>
    <row r="6310" spans="1:25" x14ac:dyDescent="0.2">
      <c r="A6310">
        <v>7659</v>
      </c>
      <c r="B6310" t="s">
        <v>10219</v>
      </c>
      <c r="C6310" t="s">
        <v>18</v>
      </c>
      <c r="D6310" t="s">
        <v>1824</v>
      </c>
      <c r="E6310" t="s">
        <v>381</v>
      </c>
      <c r="F6310" t="s">
        <v>159</v>
      </c>
      <c r="G6310" t="s">
        <v>24</v>
      </c>
      <c r="J6310" t="b">
        <v>1</v>
      </c>
      <c r="K6310" t="b">
        <v>1</v>
      </c>
      <c r="L6310" t="b">
        <v>1</v>
      </c>
      <c r="M6310" t="str">
        <f>HYPERLINK("https://arizona.app.box.com/file/389168655793")</f>
        <v>https://arizona.app.box.com/file/389168655793</v>
      </c>
    </row>
    <row r="6311" spans="1:25" x14ac:dyDescent="0.2">
      <c r="A6311">
        <v>7660</v>
      </c>
      <c r="B6311" t="s">
        <v>10219</v>
      </c>
      <c r="C6311" t="s">
        <v>18</v>
      </c>
      <c r="D6311" t="s">
        <v>1826</v>
      </c>
      <c r="E6311" t="s">
        <v>381</v>
      </c>
      <c r="F6311" t="s">
        <v>174</v>
      </c>
      <c r="G6311" t="s">
        <v>24</v>
      </c>
      <c r="J6311" t="b">
        <v>1</v>
      </c>
      <c r="K6311" t="b">
        <v>0</v>
      </c>
      <c r="L6311" t="b">
        <v>1</v>
      </c>
      <c r="M6311" t="str">
        <f>HYPERLINK("https://arizona.app.box.com/file/389153263907")</f>
        <v>https://arizona.app.box.com/file/389153263907</v>
      </c>
      <c r="N6311" t="str">
        <f>HYPERLINK("https://arizona.app.box.com/file/386211877715")</f>
        <v>https://arizona.app.box.com/file/386211877715</v>
      </c>
    </row>
    <row r="6312" spans="1:25" x14ac:dyDescent="0.2">
      <c r="A6312">
        <v>7661</v>
      </c>
      <c r="B6312" t="s">
        <v>10219</v>
      </c>
      <c r="C6312" t="s">
        <v>18</v>
      </c>
      <c r="D6312" t="s">
        <v>1822</v>
      </c>
      <c r="E6312" t="s">
        <v>381</v>
      </c>
      <c r="F6312" t="s">
        <v>16</v>
      </c>
      <c r="G6312" t="s">
        <v>24</v>
      </c>
      <c r="J6312" t="b">
        <v>1</v>
      </c>
      <c r="K6312" t="b">
        <v>0</v>
      </c>
      <c r="L6312" t="b">
        <v>1</v>
      </c>
    </row>
    <row r="6313" spans="1:25" x14ac:dyDescent="0.2">
      <c r="A6313">
        <v>7662</v>
      </c>
      <c r="B6313" t="s">
        <v>10219</v>
      </c>
      <c r="C6313" t="s">
        <v>18</v>
      </c>
      <c r="D6313" t="s">
        <v>1831</v>
      </c>
      <c r="E6313" t="s">
        <v>381</v>
      </c>
      <c r="F6313" t="s">
        <v>369</v>
      </c>
      <c r="G6313" t="s">
        <v>24</v>
      </c>
      <c r="J6313" t="b">
        <v>1</v>
      </c>
      <c r="K6313" t="b">
        <v>0</v>
      </c>
      <c r="L6313" t="b">
        <v>1</v>
      </c>
      <c r="M6313" t="str">
        <f>HYPERLINK("https://arizona.app.box.com/file/389173265304")</f>
        <v>https://arizona.app.box.com/file/389173265304</v>
      </c>
    </row>
    <row r="6314" spans="1:25" x14ac:dyDescent="0.2">
      <c r="A6314">
        <v>7663</v>
      </c>
      <c r="B6314" t="s">
        <v>10219</v>
      </c>
      <c r="C6314" t="s">
        <v>18</v>
      </c>
      <c r="D6314" t="s">
        <v>6265</v>
      </c>
      <c r="E6314" t="s">
        <v>6017</v>
      </c>
      <c r="F6314" t="s">
        <v>122</v>
      </c>
      <c r="G6314" t="s">
        <v>24</v>
      </c>
      <c r="J6314" t="b">
        <v>1</v>
      </c>
      <c r="K6314" t="b">
        <v>1</v>
      </c>
      <c r="L6314" t="b">
        <v>1</v>
      </c>
      <c r="M6314" t="str">
        <f>HYPERLINK("https://arizona.app.box.com/file/389162922391")</f>
        <v>https://arizona.app.box.com/file/389162922391</v>
      </c>
    </row>
    <row r="6316" spans="1:25" x14ac:dyDescent="0.2">
      <c r="A6316" s="2">
        <v>7665</v>
      </c>
      <c r="B6316" s="2" t="s">
        <v>10220</v>
      </c>
      <c r="C6316" s="2" t="s">
        <v>13</v>
      </c>
      <c r="D6316" s="2" t="s">
        <v>10221</v>
      </c>
      <c r="E6316" s="2" t="s">
        <v>10222</v>
      </c>
      <c r="F6316" s="2" t="s">
        <v>654</v>
      </c>
      <c r="G6316" s="2" t="s">
        <v>17</v>
      </c>
      <c r="H6316" s="2"/>
      <c r="I6316" s="2"/>
      <c r="J6316" s="2"/>
      <c r="K6316" s="2"/>
      <c r="L6316" s="2"/>
      <c r="M6316" s="2"/>
      <c r="N6316" s="2"/>
      <c r="O6316" s="2"/>
      <c r="P6316" s="2"/>
      <c r="Q6316" s="2"/>
      <c r="R6316" s="2"/>
      <c r="S6316" s="2"/>
      <c r="T6316" s="2"/>
      <c r="U6316" s="2"/>
      <c r="V6316" s="2"/>
      <c r="W6316" s="2"/>
      <c r="X6316" s="2"/>
      <c r="Y6316" s="2"/>
    </row>
    <row r="6317" spans="1:25" x14ac:dyDescent="0.2">
      <c r="A6317">
        <v>7666</v>
      </c>
      <c r="B6317" t="s">
        <v>10220</v>
      </c>
      <c r="C6317" t="s">
        <v>18</v>
      </c>
      <c r="D6317" t="s">
        <v>10221</v>
      </c>
      <c r="E6317" t="s">
        <v>10222</v>
      </c>
      <c r="F6317" t="s">
        <v>654</v>
      </c>
      <c r="G6317" t="s">
        <v>17</v>
      </c>
      <c r="J6317" t="b">
        <v>1</v>
      </c>
      <c r="K6317" t="b">
        <v>1</v>
      </c>
      <c r="L6317" t="b">
        <v>1</v>
      </c>
      <c r="M6317" t="str">
        <f>HYPERLINK("https://arizona.app.box.com/file/389161435835")</f>
        <v>https://arizona.app.box.com/file/389161435835</v>
      </c>
      <c r="N6317" t="str">
        <f>HYPERLINK("https://arizona.app.box.com/file/389162587503")</f>
        <v>https://arizona.app.box.com/file/389162587503</v>
      </c>
    </row>
    <row r="6318" spans="1:25" x14ac:dyDescent="0.2">
      <c r="A6318">
        <v>7667</v>
      </c>
      <c r="B6318" t="s">
        <v>10220</v>
      </c>
      <c r="C6318" t="s">
        <v>18</v>
      </c>
      <c r="D6318" t="s">
        <v>10223</v>
      </c>
      <c r="E6318" t="s">
        <v>10224</v>
      </c>
      <c r="F6318" t="s">
        <v>654</v>
      </c>
      <c r="G6318" t="s">
        <v>62</v>
      </c>
      <c r="J6318" t="b">
        <v>0</v>
      </c>
      <c r="K6318" t="b">
        <v>0</v>
      </c>
      <c r="L6318" t="b">
        <v>0</v>
      </c>
    </row>
    <row r="6319" spans="1:25" x14ac:dyDescent="0.2">
      <c r="A6319">
        <v>7668</v>
      </c>
      <c r="B6319" t="s">
        <v>10220</v>
      </c>
      <c r="C6319" t="s">
        <v>18</v>
      </c>
      <c r="D6319" t="s">
        <v>10225</v>
      </c>
      <c r="E6319" t="s">
        <v>5236</v>
      </c>
      <c r="F6319" t="s">
        <v>670</v>
      </c>
      <c r="G6319" t="s">
        <v>17</v>
      </c>
      <c r="J6319" t="b">
        <v>0</v>
      </c>
      <c r="K6319" t="b">
        <v>0</v>
      </c>
      <c r="L6319" t="b">
        <v>0</v>
      </c>
    </row>
    <row r="6320" spans="1:25" x14ac:dyDescent="0.2">
      <c r="A6320">
        <v>7669</v>
      </c>
      <c r="B6320" t="s">
        <v>10220</v>
      </c>
      <c r="C6320" t="s">
        <v>18</v>
      </c>
      <c r="D6320" t="s">
        <v>10226</v>
      </c>
      <c r="E6320" t="s">
        <v>10227</v>
      </c>
      <c r="F6320" t="s">
        <v>1077</v>
      </c>
      <c r="G6320" t="s">
        <v>17</v>
      </c>
      <c r="J6320" t="b">
        <v>0</v>
      </c>
      <c r="K6320" t="b">
        <v>0</v>
      </c>
      <c r="L6320" t="b">
        <v>0</v>
      </c>
      <c r="M6320" t="str">
        <f>HYPERLINK("https://arizona.app.box.com/file/386266638043")</f>
        <v>https://arizona.app.box.com/file/386266638043</v>
      </c>
      <c r="N6320" t="str">
        <f>HYPERLINK("https://arizona.app.box.com/file/386249695646")</f>
        <v>https://arizona.app.box.com/file/386249695646</v>
      </c>
    </row>
    <row r="6321" spans="1:25" x14ac:dyDescent="0.2">
      <c r="A6321">
        <v>7670</v>
      </c>
      <c r="B6321" t="s">
        <v>10220</v>
      </c>
      <c r="C6321" t="s">
        <v>18</v>
      </c>
      <c r="D6321" t="s">
        <v>10228</v>
      </c>
      <c r="E6321" t="s">
        <v>10229</v>
      </c>
      <c r="F6321" t="s">
        <v>78</v>
      </c>
      <c r="G6321" t="s">
        <v>17</v>
      </c>
      <c r="J6321" t="b">
        <v>0</v>
      </c>
      <c r="K6321" t="b">
        <v>0</v>
      </c>
      <c r="L6321" t="b">
        <v>0</v>
      </c>
    </row>
    <row r="6323" spans="1:25" x14ac:dyDescent="0.2">
      <c r="A6323" s="2">
        <v>7693</v>
      </c>
      <c r="B6323" s="2" t="s">
        <v>10230</v>
      </c>
      <c r="C6323" s="2" t="s">
        <v>13</v>
      </c>
      <c r="D6323" s="2" t="s">
        <v>10231</v>
      </c>
      <c r="E6323" s="2" t="s">
        <v>10232</v>
      </c>
      <c r="F6323" s="2" t="s">
        <v>78</v>
      </c>
      <c r="G6323" s="2" t="s">
        <v>417</v>
      </c>
      <c r="H6323" s="2"/>
      <c r="I6323" s="2"/>
      <c r="J6323" s="2"/>
      <c r="K6323" s="2"/>
      <c r="L6323" s="2"/>
      <c r="M6323" s="2"/>
      <c r="N6323" s="2"/>
      <c r="O6323" s="2"/>
      <c r="P6323" s="2"/>
      <c r="Q6323" s="2"/>
      <c r="R6323" s="2"/>
      <c r="S6323" s="2"/>
      <c r="T6323" s="2"/>
      <c r="U6323" s="2"/>
      <c r="V6323" s="2"/>
      <c r="W6323" s="2"/>
      <c r="X6323" s="2"/>
      <c r="Y6323" s="2"/>
    </row>
    <row r="6324" spans="1:25" x14ac:dyDescent="0.2">
      <c r="A6324">
        <v>7694</v>
      </c>
      <c r="B6324" t="s">
        <v>10230</v>
      </c>
      <c r="C6324" t="s">
        <v>18</v>
      </c>
      <c r="D6324" t="s">
        <v>10231</v>
      </c>
      <c r="E6324" t="s">
        <v>7958</v>
      </c>
      <c r="F6324" t="s">
        <v>78</v>
      </c>
      <c r="G6324" t="s">
        <v>417</v>
      </c>
      <c r="J6324" t="b">
        <v>1</v>
      </c>
      <c r="K6324" t="b">
        <v>1</v>
      </c>
      <c r="L6324" t="b">
        <v>1</v>
      </c>
      <c r="M6324" t="str">
        <f>HYPERLINK("https://arizona.app.box.com/file/389264081552")</f>
        <v>https://arizona.app.box.com/file/389264081552</v>
      </c>
    </row>
    <row r="6325" spans="1:25" x14ac:dyDescent="0.2">
      <c r="A6325">
        <v>7695</v>
      </c>
      <c r="B6325" t="s">
        <v>10230</v>
      </c>
      <c r="C6325" t="s">
        <v>18</v>
      </c>
      <c r="D6325" t="s">
        <v>9013</v>
      </c>
      <c r="E6325" t="s">
        <v>2450</v>
      </c>
      <c r="F6325" t="s">
        <v>78</v>
      </c>
      <c r="G6325" t="s">
        <v>417</v>
      </c>
      <c r="J6325" t="b">
        <v>1</v>
      </c>
      <c r="K6325" t="b">
        <v>1</v>
      </c>
      <c r="L6325" t="b">
        <v>1</v>
      </c>
      <c r="M6325" t="str">
        <f>HYPERLINK("https://arizona.app.box.com/file/386239238337")</f>
        <v>https://arizona.app.box.com/file/386239238337</v>
      </c>
    </row>
    <row r="6326" spans="1:25" x14ac:dyDescent="0.2">
      <c r="A6326">
        <v>7696</v>
      </c>
      <c r="B6326" t="s">
        <v>10230</v>
      </c>
      <c r="C6326" t="s">
        <v>18</v>
      </c>
      <c r="D6326" t="s">
        <v>10233</v>
      </c>
      <c r="E6326" t="s">
        <v>10234</v>
      </c>
      <c r="F6326" t="s">
        <v>78</v>
      </c>
      <c r="G6326" t="s">
        <v>417</v>
      </c>
      <c r="J6326" t="b">
        <v>0</v>
      </c>
      <c r="K6326" t="b">
        <v>0</v>
      </c>
      <c r="L6326" t="b">
        <v>0</v>
      </c>
      <c r="M6326" t="str">
        <f>HYPERLINK("https://arizona.app.box.com/file/389174333646")</f>
        <v>https://arizona.app.box.com/file/389174333646</v>
      </c>
      <c r="N6326" t="str">
        <f>HYPERLINK("https://arizona.app.box.com/file/386237388898")</f>
        <v>https://arizona.app.box.com/file/386237388898</v>
      </c>
      <c r="O6326" t="str">
        <f>HYPERLINK("https://arizona.app.box.com/file/389174427370")</f>
        <v>https://arizona.app.box.com/file/389174427370</v>
      </c>
    </row>
    <row r="6327" spans="1:25" x14ac:dyDescent="0.2">
      <c r="A6327">
        <v>7697</v>
      </c>
      <c r="B6327" t="s">
        <v>10230</v>
      </c>
      <c r="C6327" t="s">
        <v>18</v>
      </c>
      <c r="D6327" t="s">
        <v>10235</v>
      </c>
      <c r="E6327" t="s">
        <v>10236</v>
      </c>
      <c r="F6327" t="s">
        <v>78</v>
      </c>
      <c r="G6327" t="s">
        <v>417</v>
      </c>
      <c r="J6327" t="b">
        <v>0</v>
      </c>
      <c r="K6327" t="b">
        <v>0</v>
      </c>
      <c r="L6327" t="b">
        <v>0</v>
      </c>
      <c r="M6327" t="str">
        <f>HYPERLINK("https://arizona.app.box.com/file/386243230053")</f>
        <v>https://arizona.app.box.com/file/386243230053</v>
      </c>
      <c r="N6327" t="str">
        <f>HYPERLINK("https://arizona.app.box.com/file/386243489965")</f>
        <v>https://arizona.app.box.com/file/386243489965</v>
      </c>
    </row>
    <row r="6328" spans="1:25" x14ac:dyDescent="0.2">
      <c r="A6328">
        <v>7698</v>
      </c>
      <c r="B6328" t="s">
        <v>10230</v>
      </c>
      <c r="C6328" t="s">
        <v>18</v>
      </c>
      <c r="D6328" t="s">
        <v>9007</v>
      </c>
      <c r="E6328" t="s">
        <v>9008</v>
      </c>
      <c r="F6328" t="s">
        <v>78</v>
      </c>
      <c r="G6328" t="s">
        <v>417</v>
      </c>
      <c r="J6328" t="b">
        <v>0</v>
      </c>
      <c r="K6328" t="b">
        <v>0</v>
      </c>
      <c r="L6328" t="b">
        <v>0</v>
      </c>
      <c r="M6328" t="str">
        <f>HYPERLINK("https://arizona.app.box.com/file/386242949186")</f>
        <v>https://arizona.app.box.com/file/386242949186</v>
      </c>
    </row>
    <row r="6330" spans="1:25" x14ac:dyDescent="0.2">
      <c r="A6330" s="2">
        <v>7714</v>
      </c>
      <c r="B6330" s="2" t="s">
        <v>10237</v>
      </c>
      <c r="C6330" s="2" t="s">
        <v>13</v>
      </c>
      <c r="D6330" s="2" t="s">
        <v>1348</v>
      </c>
      <c r="E6330" s="2" t="s">
        <v>1349</v>
      </c>
      <c r="F6330" s="2" t="s">
        <v>174</v>
      </c>
      <c r="G6330" s="2" t="s">
        <v>24</v>
      </c>
      <c r="H6330" s="2"/>
      <c r="I6330" s="2"/>
      <c r="J6330" s="2"/>
      <c r="K6330" s="2"/>
      <c r="L6330" s="2"/>
      <c r="M6330" s="2"/>
      <c r="N6330" s="2"/>
      <c r="O6330" s="2"/>
      <c r="P6330" s="2"/>
      <c r="Q6330" s="2"/>
      <c r="R6330" s="2"/>
      <c r="S6330" s="2"/>
      <c r="T6330" s="2"/>
      <c r="U6330" s="2"/>
      <c r="V6330" s="2"/>
      <c r="W6330" s="2"/>
      <c r="X6330" s="2"/>
      <c r="Y6330" s="2"/>
    </row>
    <row r="6331" spans="1:25" x14ac:dyDescent="0.2">
      <c r="A6331">
        <v>7715</v>
      </c>
      <c r="B6331" t="s">
        <v>10237</v>
      </c>
      <c r="C6331" t="s">
        <v>18</v>
      </c>
      <c r="D6331" t="s">
        <v>1348</v>
      </c>
      <c r="E6331" t="s">
        <v>1349</v>
      </c>
      <c r="F6331" t="s">
        <v>174</v>
      </c>
      <c r="G6331" t="s">
        <v>24</v>
      </c>
      <c r="J6331" t="b">
        <v>1</v>
      </c>
      <c r="K6331" t="b">
        <v>1</v>
      </c>
      <c r="L6331" t="b">
        <v>1</v>
      </c>
      <c r="M6331" t="str">
        <f>HYPERLINK("https://arizona.app.box.com/file/386227161695")</f>
        <v>https://arizona.app.box.com/file/386227161695</v>
      </c>
      <c r="N6331" t="str">
        <f>HYPERLINK("https://arizona.app.box.com/file/386227112076")</f>
        <v>https://arizona.app.box.com/file/386227112076</v>
      </c>
    </row>
    <row r="6332" spans="1:25" x14ac:dyDescent="0.2">
      <c r="A6332">
        <v>7716</v>
      </c>
      <c r="B6332" t="s">
        <v>10237</v>
      </c>
      <c r="C6332" t="s">
        <v>18</v>
      </c>
      <c r="D6332" t="s">
        <v>1352</v>
      </c>
      <c r="E6332" t="s">
        <v>1353</v>
      </c>
      <c r="F6332" t="s">
        <v>82</v>
      </c>
      <c r="G6332" t="s">
        <v>24</v>
      </c>
      <c r="J6332" t="b">
        <v>0</v>
      </c>
      <c r="K6332" t="b">
        <v>0</v>
      </c>
      <c r="L6332" t="b">
        <v>0</v>
      </c>
      <c r="M6332" t="str">
        <f>HYPERLINK("https://arizona.app.box.com/file/386216897482")</f>
        <v>https://arizona.app.box.com/file/386216897482</v>
      </c>
      <c r="N6332" t="str">
        <f>HYPERLINK("https://arizona.app.box.com/file/386217123090")</f>
        <v>https://arizona.app.box.com/file/386217123090</v>
      </c>
    </row>
    <row r="6333" spans="1:25" x14ac:dyDescent="0.2">
      <c r="A6333">
        <v>7717</v>
      </c>
      <c r="B6333" t="s">
        <v>10237</v>
      </c>
      <c r="C6333" t="s">
        <v>18</v>
      </c>
      <c r="D6333" t="s">
        <v>1340</v>
      </c>
      <c r="E6333" t="s">
        <v>1342</v>
      </c>
      <c r="F6333" t="s">
        <v>159</v>
      </c>
      <c r="G6333" t="s">
        <v>24</v>
      </c>
      <c r="J6333" t="b">
        <v>0</v>
      </c>
      <c r="K6333" t="b">
        <v>0</v>
      </c>
      <c r="L6333" t="b">
        <v>0</v>
      </c>
      <c r="M6333" t="str">
        <f>HYPERLINK("https://arizona.app.box.com/file/389173261335")</f>
        <v>https://arizona.app.box.com/file/389173261335</v>
      </c>
    </row>
    <row r="6334" spans="1:25" x14ac:dyDescent="0.2">
      <c r="A6334">
        <v>7718</v>
      </c>
      <c r="B6334" t="s">
        <v>10237</v>
      </c>
      <c r="C6334" t="s">
        <v>18</v>
      </c>
      <c r="D6334" t="s">
        <v>1344</v>
      </c>
      <c r="E6334" t="s">
        <v>1345</v>
      </c>
      <c r="F6334" t="s">
        <v>159</v>
      </c>
      <c r="G6334" t="s">
        <v>24</v>
      </c>
      <c r="J6334" t="b">
        <v>0</v>
      </c>
      <c r="K6334" t="b">
        <v>0</v>
      </c>
      <c r="L6334" t="b">
        <v>0</v>
      </c>
      <c r="M6334" t="str">
        <f>HYPERLINK("https://arizona.app.box.com/file/389166523295")</f>
        <v>https://arizona.app.box.com/file/389166523295</v>
      </c>
      <c r="N6334" t="str">
        <f>HYPERLINK("https://arizona.app.box.com/file/386219278001")</f>
        <v>https://arizona.app.box.com/file/386219278001</v>
      </c>
    </row>
    <row r="6335" spans="1:25" x14ac:dyDescent="0.2">
      <c r="A6335">
        <v>7719</v>
      </c>
      <c r="B6335" t="s">
        <v>10237</v>
      </c>
      <c r="C6335" t="s">
        <v>18</v>
      </c>
      <c r="D6335" t="s">
        <v>1356</v>
      </c>
      <c r="E6335" t="s">
        <v>1357</v>
      </c>
      <c r="F6335" t="s">
        <v>82</v>
      </c>
      <c r="G6335" t="s">
        <v>24</v>
      </c>
      <c r="J6335" t="b">
        <v>0</v>
      </c>
      <c r="K6335" t="b">
        <v>0</v>
      </c>
      <c r="L6335" t="b">
        <v>0</v>
      </c>
    </row>
    <row r="6337" spans="1:25" x14ac:dyDescent="0.2">
      <c r="A6337" s="2">
        <v>7770</v>
      </c>
      <c r="B6337" s="2" t="s">
        <v>10238</v>
      </c>
      <c r="C6337" s="2" t="s">
        <v>13</v>
      </c>
      <c r="D6337" s="2" t="s">
        <v>10239</v>
      </c>
      <c r="E6337" s="2" t="s">
        <v>10240</v>
      </c>
      <c r="F6337" s="2" t="s">
        <v>205</v>
      </c>
      <c r="G6337" s="2" t="s">
        <v>32</v>
      </c>
      <c r="H6337" s="2"/>
      <c r="I6337" s="2"/>
      <c r="J6337" s="2"/>
      <c r="K6337" s="2"/>
      <c r="L6337" s="2"/>
      <c r="M6337" s="2"/>
      <c r="N6337" s="2"/>
      <c r="O6337" s="2"/>
      <c r="P6337" s="2"/>
      <c r="Q6337" s="2"/>
      <c r="R6337" s="2"/>
      <c r="S6337" s="2"/>
      <c r="T6337" s="2"/>
      <c r="U6337" s="2"/>
      <c r="V6337" s="2"/>
      <c r="W6337" s="2"/>
      <c r="X6337" s="2"/>
      <c r="Y6337" s="2"/>
    </row>
    <row r="6338" spans="1:25" x14ac:dyDescent="0.2">
      <c r="A6338">
        <v>7771</v>
      </c>
      <c r="B6338" t="s">
        <v>10238</v>
      </c>
      <c r="C6338" t="s">
        <v>18</v>
      </c>
      <c r="D6338" t="s">
        <v>10239</v>
      </c>
      <c r="E6338" t="s">
        <v>8239</v>
      </c>
      <c r="F6338" t="s">
        <v>205</v>
      </c>
      <c r="G6338" t="s">
        <v>32</v>
      </c>
      <c r="J6338" t="b">
        <v>1</v>
      </c>
      <c r="K6338" t="b">
        <v>1</v>
      </c>
      <c r="L6338" t="b">
        <v>1</v>
      </c>
      <c r="M6338" t="str">
        <f>HYPERLINK("https://arizona.app.box.com/file/389262094823")</f>
        <v>https://arizona.app.box.com/file/389262094823</v>
      </c>
    </row>
    <row r="6339" spans="1:25" x14ac:dyDescent="0.2">
      <c r="A6339">
        <v>7772</v>
      </c>
      <c r="B6339" t="s">
        <v>10238</v>
      </c>
      <c r="C6339" t="s">
        <v>18</v>
      </c>
      <c r="D6339" t="s">
        <v>10241</v>
      </c>
      <c r="E6339" t="s">
        <v>10242</v>
      </c>
      <c r="F6339" t="s">
        <v>205</v>
      </c>
      <c r="G6339" t="s">
        <v>32</v>
      </c>
      <c r="J6339" t="b">
        <v>1</v>
      </c>
      <c r="K6339" t="b">
        <v>1</v>
      </c>
      <c r="L6339" t="b">
        <v>1</v>
      </c>
      <c r="M6339" t="str">
        <f>HYPERLINK("https://arizona.app.box.com/file/389183865199")</f>
        <v>https://arizona.app.box.com/file/389183865199</v>
      </c>
    </row>
    <row r="6340" spans="1:25" x14ac:dyDescent="0.2">
      <c r="A6340">
        <v>7773</v>
      </c>
      <c r="B6340" t="s">
        <v>10238</v>
      </c>
      <c r="C6340" t="s">
        <v>18</v>
      </c>
      <c r="D6340" t="s">
        <v>10243</v>
      </c>
      <c r="E6340" t="s">
        <v>10244</v>
      </c>
      <c r="F6340" t="s">
        <v>200</v>
      </c>
      <c r="G6340" t="s">
        <v>32</v>
      </c>
      <c r="J6340" t="b">
        <v>0</v>
      </c>
      <c r="K6340" t="b">
        <v>0</v>
      </c>
      <c r="L6340" t="b">
        <v>0</v>
      </c>
      <c r="M6340" t="str">
        <f>HYPERLINK("https://arizona.app.box.com/file/389264747090")</f>
        <v>https://arizona.app.box.com/file/389264747090</v>
      </c>
      <c r="N6340" t="str">
        <f>HYPERLINK("https://arizona.app.box.com/file/389171153197")</f>
        <v>https://arizona.app.box.com/file/389171153197</v>
      </c>
      <c r="O6340" t="str">
        <f>HYPERLINK("https://arizona.app.box.com/file/389264050520")</f>
        <v>https://arizona.app.box.com/file/389264050520</v>
      </c>
      <c r="P6340" t="str">
        <f>HYPERLINK("https://arizona.app.box.com/file/389138195131")</f>
        <v>https://arizona.app.box.com/file/389138195131</v>
      </c>
    </row>
    <row r="6341" spans="1:25" x14ac:dyDescent="0.2">
      <c r="A6341">
        <v>7774</v>
      </c>
      <c r="B6341" t="s">
        <v>10238</v>
      </c>
      <c r="C6341" t="s">
        <v>18</v>
      </c>
      <c r="D6341" t="s">
        <v>6069</v>
      </c>
      <c r="E6341" t="s">
        <v>3531</v>
      </c>
      <c r="F6341" t="s">
        <v>260</v>
      </c>
      <c r="G6341" t="s">
        <v>32</v>
      </c>
      <c r="J6341" t="b">
        <v>0</v>
      </c>
      <c r="K6341" t="b">
        <v>0</v>
      </c>
      <c r="L6341" t="b">
        <v>0</v>
      </c>
    </row>
    <row r="6342" spans="1:25" x14ac:dyDescent="0.2">
      <c r="A6342">
        <v>7775</v>
      </c>
      <c r="B6342" t="s">
        <v>10238</v>
      </c>
      <c r="C6342" t="s">
        <v>18</v>
      </c>
      <c r="D6342" t="s">
        <v>8682</v>
      </c>
      <c r="E6342" t="s">
        <v>8684</v>
      </c>
      <c r="F6342" t="s">
        <v>561</v>
      </c>
      <c r="G6342" t="s">
        <v>193</v>
      </c>
      <c r="J6342" t="b">
        <v>0</v>
      </c>
      <c r="K6342" t="b">
        <v>0</v>
      </c>
      <c r="L6342" t="b">
        <v>0</v>
      </c>
      <c r="M6342" t="str">
        <f>HYPERLINK("https://arizona.app.box.com/file/389170726129")</f>
        <v>https://arizona.app.box.com/file/389170726129</v>
      </c>
      <c r="N6342" t="str">
        <f>HYPERLINK("https://arizona.app.box.com/file/386231009087")</f>
        <v>https://arizona.app.box.com/file/386231009087</v>
      </c>
      <c r="O6342" t="str">
        <f>HYPERLINK("https://arizona.app.box.com/file/389172956956")</f>
        <v>https://arizona.app.box.com/file/389172956956</v>
      </c>
      <c r="P6342" t="str">
        <f>HYPERLINK("https://arizona.app.box.com/file/386238861594")</f>
        <v>https://arizona.app.box.com/file/386238861594</v>
      </c>
    </row>
    <row r="6344" spans="1:25" x14ac:dyDescent="0.2">
      <c r="A6344" s="2">
        <v>7777</v>
      </c>
      <c r="B6344" s="2" t="s">
        <v>10245</v>
      </c>
      <c r="C6344" s="2" t="s">
        <v>13</v>
      </c>
      <c r="D6344" s="2" t="s">
        <v>10246</v>
      </c>
      <c r="E6344" s="2" t="s">
        <v>10247</v>
      </c>
      <c r="F6344" s="2" t="s">
        <v>23</v>
      </c>
      <c r="G6344" s="2" t="s">
        <v>62</v>
      </c>
      <c r="H6344" s="2"/>
      <c r="I6344" s="2"/>
      <c r="J6344" s="2"/>
      <c r="K6344" s="2"/>
      <c r="L6344" s="2"/>
      <c r="M6344" s="2"/>
      <c r="N6344" s="2"/>
      <c r="O6344" s="2"/>
      <c r="P6344" s="2"/>
      <c r="Q6344" s="2"/>
      <c r="R6344" s="2"/>
      <c r="S6344" s="2"/>
      <c r="T6344" s="2"/>
      <c r="U6344" s="2"/>
      <c r="V6344" s="2"/>
      <c r="W6344" s="2"/>
      <c r="X6344" s="2"/>
      <c r="Y6344" s="2"/>
    </row>
    <row r="6345" spans="1:25" x14ac:dyDescent="0.2">
      <c r="A6345">
        <v>7778</v>
      </c>
      <c r="B6345" t="s">
        <v>10245</v>
      </c>
      <c r="C6345" t="s">
        <v>18</v>
      </c>
      <c r="D6345" t="s">
        <v>10246</v>
      </c>
      <c r="E6345" t="s">
        <v>10247</v>
      </c>
      <c r="F6345" t="s">
        <v>23</v>
      </c>
      <c r="G6345" t="s">
        <v>62</v>
      </c>
      <c r="J6345" t="b">
        <v>1</v>
      </c>
      <c r="K6345" t="b">
        <v>1</v>
      </c>
      <c r="L6345" t="b">
        <v>1</v>
      </c>
      <c r="M6345" t="str">
        <f>HYPERLINK("https://arizona.app.box.com/file/386242853153")</f>
        <v>https://arizona.app.box.com/file/386242853153</v>
      </c>
      <c r="N6345" t="str">
        <f>HYPERLINK("https://arizona.app.box.com/file/386239860709")</f>
        <v>https://arizona.app.box.com/file/386239860709</v>
      </c>
    </row>
    <row r="6346" spans="1:25" x14ac:dyDescent="0.2">
      <c r="A6346">
        <v>7779</v>
      </c>
      <c r="B6346" t="s">
        <v>10245</v>
      </c>
      <c r="C6346" t="s">
        <v>18</v>
      </c>
      <c r="D6346" t="s">
        <v>10248</v>
      </c>
      <c r="E6346" t="s">
        <v>10249</v>
      </c>
      <c r="F6346" t="s">
        <v>23</v>
      </c>
      <c r="G6346" t="s">
        <v>62</v>
      </c>
      <c r="J6346" t="b">
        <v>0</v>
      </c>
      <c r="K6346" t="b">
        <v>0</v>
      </c>
      <c r="L6346" t="b">
        <v>0</v>
      </c>
    </row>
    <row r="6347" spans="1:25" x14ac:dyDescent="0.2">
      <c r="A6347">
        <v>7780</v>
      </c>
      <c r="B6347" t="s">
        <v>10245</v>
      </c>
      <c r="C6347" t="s">
        <v>18</v>
      </c>
      <c r="D6347" t="s">
        <v>10250</v>
      </c>
      <c r="E6347" t="s">
        <v>10251</v>
      </c>
      <c r="F6347" t="s">
        <v>78</v>
      </c>
      <c r="G6347" t="s">
        <v>62</v>
      </c>
      <c r="J6347" t="b">
        <v>0</v>
      </c>
      <c r="K6347" t="b">
        <v>0</v>
      </c>
      <c r="L6347" t="b">
        <v>0</v>
      </c>
    </row>
    <row r="6348" spans="1:25" x14ac:dyDescent="0.2">
      <c r="A6348">
        <v>7781</v>
      </c>
      <c r="B6348" t="s">
        <v>10245</v>
      </c>
      <c r="C6348" t="s">
        <v>18</v>
      </c>
      <c r="D6348" t="s">
        <v>10252</v>
      </c>
      <c r="E6348" t="s">
        <v>10253</v>
      </c>
      <c r="F6348" t="s">
        <v>144</v>
      </c>
      <c r="G6348" t="s">
        <v>502</v>
      </c>
      <c r="J6348" t="b">
        <v>0</v>
      </c>
      <c r="K6348" t="b">
        <v>0</v>
      </c>
      <c r="L6348" t="b">
        <v>0</v>
      </c>
    </row>
    <row r="6349" spans="1:25" x14ac:dyDescent="0.2">
      <c r="A6349">
        <v>7782</v>
      </c>
      <c r="B6349" t="s">
        <v>10245</v>
      </c>
      <c r="C6349" t="s">
        <v>18</v>
      </c>
      <c r="D6349" t="s">
        <v>10254</v>
      </c>
      <c r="E6349" t="s">
        <v>10255</v>
      </c>
      <c r="F6349" t="s">
        <v>196</v>
      </c>
      <c r="G6349" t="s">
        <v>62</v>
      </c>
      <c r="J6349" t="b">
        <v>0</v>
      </c>
      <c r="K6349" t="b">
        <v>0</v>
      </c>
      <c r="L6349" t="b">
        <v>0</v>
      </c>
    </row>
    <row r="6351" spans="1:25" x14ac:dyDescent="0.2">
      <c r="A6351" s="2">
        <v>7826</v>
      </c>
      <c r="B6351" s="2" t="s">
        <v>10256</v>
      </c>
      <c r="C6351" s="2" t="s">
        <v>13</v>
      </c>
      <c r="D6351" s="2" t="s">
        <v>10257</v>
      </c>
      <c r="E6351" s="2" t="s">
        <v>10258</v>
      </c>
      <c r="F6351" s="2" t="s">
        <v>23</v>
      </c>
      <c r="G6351" s="2" t="s">
        <v>345</v>
      </c>
      <c r="H6351" s="2"/>
      <c r="I6351" s="2"/>
      <c r="J6351" s="2"/>
      <c r="K6351" s="2"/>
      <c r="L6351" s="2"/>
      <c r="M6351" s="2"/>
      <c r="N6351" s="2"/>
      <c r="O6351" s="2"/>
      <c r="P6351" s="2"/>
      <c r="Q6351" s="2"/>
      <c r="R6351" s="2"/>
      <c r="S6351" s="2"/>
      <c r="T6351" s="2"/>
      <c r="U6351" s="2"/>
      <c r="V6351" s="2"/>
      <c r="W6351" s="2"/>
      <c r="X6351" s="2"/>
      <c r="Y6351" s="2"/>
    </row>
    <row r="6352" spans="1:25" x14ac:dyDescent="0.2">
      <c r="A6352">
        <v>7827</v>
      </c>
      <c r="B6352" t="s">
        <v>10256</v>
      </c>
      <c r="C6352" t="s">
        <v>18</v>
      </c>
      <c r="D6352" t="s">
        <v>10257</v>
      </c>
      <c r="E6352" t="s">
        <v>10258</v>
      </c>
      <c r="F6352" t="s">
        <v>23</v>
      </c>
      <c r="G6352" t="s">
        <v>345</v>
      </c>
      <c r="J6352" t="b">
        <v>1</v>
      </c>
      <c r="K6352" t="b">
        <v>1</v>
      </c>
      <c r="L6352" t="b">
        <v>1</v>
      </c>
      <c r="M6352" t="str">
        <f>HYPERLINK("https://arizona.app.box.com/file/386212961129")</f>
        <v>https://arizona.app.box.com/file/386212961129</v>
      </c>
      <c r="N6352" t="str">
        <f>HYPERLINK("https://arizona.app.box.com/file/386241113911")</f>
        <v>https://arizona.app.box.com/file/386241113911</v>
      </c>
    </row>
    <row r="6353" spans="1:25" x14ac:dyDescent="0.2">
      <c r="A6353">
        <v>7828</v>
      </c>
      <c r="B6353" t="s">
        <v>10256</v>
      </c>
      <c r="C6353" t="s">
        <v>18</v>
      </c>
      <c r="D6353" t="s">
        <v>10259</v>
      </c>
      <c r="E6353" t="s">
        <v>10260</v>
      </c>
      <c r="F6353" t="s">
        <v>23</v>
      </c>
      <c r="G6353" t="s">
        <v>345</v>
      </c>
      <c r="J6353" t="b">
        <v>0</v>
      </c>
      <c r="K6353" t="b">
        <v>0</v>
      </c>
      <c r="L6353" t="b">
        <v>0</v>
      </c>
      <c r="M6353" t="str">
        <f>HYPERLINK("https://arizona.app.box.com/file/386228072581")</f>
        <v>https://arizona.app.box.com/file/386228072581</v>
      </c>
    </row>
    <row r="6354" spans="1:25" x14ac:dyDescent="0.2">
      <c r="A6354">
        <v>7829</v>
      </c>
      <c r="B6354" t="s">
        <v>10256</v>
      </c>
      <c r="C6354" t="s">
        <v>18</v>
      </c>
      <c r="D6354" t="s">
        <v>10261</v>
      </c>
      <c r="E6354" t="s">
        <v>10262</v>
      </c>
      <c r="F6354" t="s">
        <v>23</v>
      </c>
      <c r="G6354" t="s">
        <v>345</v>
      </c>
      <c r="J6354" t="b">
        <v>0</v>
      </c>
      <c r="K6354" t="b">
        <v>0</v>
      </c>
      <c r="L6354" t="b">
        <v>0</v>
      </c>
      <c r="M6354" t="str">
        <f>HYPERLINK("https://arizona.app.box.com/file/386240022525")</f>
        <v>https://arizona.app.box.com/file/386240022525</v>
      </c>
    </row>
    <row r="6355" spans="1:25" x14ac:dyDescent="0.2">
      <c r="A6355">
        <v>7830</v>
      </c>
      <c r="B6355" t="s">
        <v>10256</v>
      </c>
      <c r="C6355" t="s">
        <v>18</v>
      </c>
      <c r="D6355" t="s">
        <v>10263</v>
      </c>
      <c r="E6355" t="s">
        <v>10264</v>
      </c>
      <c r="F6355" t="s">
        <v>23</v>
      </c>
      <c r="G6355" t="s">
        <v>345</v>
      </c>
      <c r="J6355" t="b">
        <v>0</v>
      </c>
      <c r="K6355" t="b">
        <v>0</v>
      </c>
      <c r="L6355" t="b">
        <v>0</v>
      </c>
    </row>
    <row r="6356" spans="1:25" x14ac:dyDescent="0.2">
      <c r="A6356">
        <v>7831</v>
      </c>
      <c r="B6356" t="s">
        <v>10256</v>
      </c>
      <c r="C6356" t="s">
        <v>18</v>
      </c>
      <c r="D6356" t="s">
        <v>1651</v>
      </c>
      <c r="E6356" t="s">
        <v>1652</v>
      </c>
      <c r="F6356" t="s">
        <v>23</v>
      </c>
      <c r="G6356" t="s">
        <v>345</v>
      </c>
      <c r="J6356" t="b">
        <v>0</v>
      </c>
      <c r="K6356" t="b">
        <v>0</v>
      </c>
      <c r="L6356" t="b">
        <v>0</v>
      </c>
    </row>
    <row r="6358" spans="1:25" x14ac:dyDescent="0.2">
      <c r="A6358" s="2">
        <v>7875</v>
      </c>
      <c r="B6358" s="2" t="s">
        <v>10265</v>
      </c>
      <c r="C6358" s="2" t="s">
        <v>13</v>
      </c>
      <c r="D6358" s="2" t="s">
        <v>1623</v>
      </c>
      <c r="E6358" s="2" t="s">
        <v>10266</v>
      </c>
      <c r="F6358" s="2" t="s">
        <v>78</v>
      </c>
      <c r="G6358" s="2" t="s">
        <v>88</v>
      </c>
      <c r="H6358" s="2"/>
      <c r="I6358" s="2"/>
      <c r="J6358" s="2"/>
      <c r="K6358" s="2"/>
      <c r="L6358" s="2"/>
      <c r="M6358" s="2"/>
      <c r="N6358" s="2"/>
      <c r="O6358" s="2"/>
      <c r="P6358" s="2"/>
      <c r="Q6358" s="2"/>
      <c r="R6358" s="2"/>
      <c r="S6358" s="2"/>
      <c r="T6358" s="2"/>
      <c r="U6358" s="2"/>
      <c r="V6358" s="2"/>
      <c r="W6358" s="2"/>
      <c r="X6358" s="2"/>
      <c r="Y6358" s="2"/>
    </row>
    <row r="6359" spans="1:25" x14ac:dyDescent="0.2">
      <c r="A6359">
        <v>7876</v>
      </c>
      <c r="B6359" t="s">
        <v>10265</v>
      </c>
      <c r="C6359" t="s">
        <v>18</v>
      </c>
      <c r="D6359" t="s">
        <v>1623</v>
      </c>
      <c r="E6359" t="s">
        <v>1624</v>
      </c>
      <c r="F6359" t="s">
        <v>78</v>
      </c>
      <c r="G6359" t="s">
        <v>88</v>
      </c>
      <c r="J6359" t="b">
        <v>1</v>
      </c>
      <c r="K6359" t="b">
        <v>1</v>
      </c>
      <c r="L6359" t="b">
        <v>1</v>
      </c>
      <c r="M6359" t="str">
        <f>HYPERLINK("https://arizona.app.box.com/file/389255419801")</f>
        <v>https://arizona.app.box.com/file/389255419801</v>
      </c>
      <c r="N6359" t="str">
        <f>HYPERLINK("https://arizona.app.box.com/file/389163324978")</f>
        <v>https://arizona.app.box.com/file/389163324978</v>
      </c>
      <c r="O6359" t="str">
        <f>HYPERLINK("https://arizona.app.box.com/file/389170626893")</f>
        <v>https://arizona.app.box.com/file/389170626893</v>
      </c>
      <c r="P6359" t="str">
        <f>HYPERLINK("https://arizona.app.box.com/file/386238294339")</f>
        <v>https://arizona.app.box.com/file/386238294339</v>
      </c>
    </row>
    <row r="6360" spans="1:25" x14ac:dyDescent="0.2">
      <c r="A6360">
        <v>7877</v>
      </c>
      <c r="B6360" t="s">
        <v>10265</v>
      </c>
      <c r="C6360" t="s">
        <v>18</v>
      </c>
      <c r="D6360" t="s">
        <v>5710</v>
      </c>
      <c r="E6360" t="s">
        <v>4015</v>
      </c>
      <c r="F6360" t="s">
        <v>78</v>
      </c>
      <c r="G6360" t="s">
        <v>88</v>
      </c>
      <c r="J6360" t="b">
        <v>0</v>
      </c>
      <c r="K6360" t="b">
        <v>0</v>
      </c>
      <c r="L6360" t="b">
        <v>0</v>
      </c>
      <c r="M6360" t="str">
        <f>HYPERLINK("https://arizona.app.box.com/file/389262387245")</f>
        <v>https://arizona.app.box.com/file/389262387245</v>
      </c>
      <c r="N6360" t="str">
        <f>HYPERLINK("https://arizona.app.box.com/file/389153332339")</f>
        <v>https://arizona.app.box.com/file/389153332339</v>
      </c>
    </row>
    <row r="6361" spans="1:25" x14ac:dyDescent="0.2">
      <c r="A6361">
        <v>7878</v>
      </c>
      <c r="B6361" t="s">
        <v>10265</v>
      </c>
      <c r="C6361" t="s">
        <v>18</v>
      </c>
      <c r="D6361" t="s">
        <v>415</v>
      </c>
      <c r="E6361" t="s">
        <v>416</v>
      </c>
      <c r="F6361" t="s">
        <v>159</v>
      </c>
      <c r="G6361" t="s">
        <v>417</v>
      </c>
      <c r="J6361" t="b">
        <v>0</v>
      </c>
      <c r="K6361" t="b">
        <v>0</v>
      </c>
      <c r="L6361" t="b">
        <v>0</v>
      </c>
      <c r="M6361" t="str">
        <f>HYPERLINK("https://arizona.app.box.com/file/389164645836")</f>
        <v>https://arizona.app.box.com/file/389164645836</v>
      </c>
      <c r="N6361" t="str">
        <f>HYPERLINK("https://arizona.app.box.com/file/386217021755")</f>
        <v>https://arizona.app.box.com/file/386217021755</v>
      </c>
    </row>
    <row r="6362" spans="1:25" x14ac:dyDescent="0.2">
      <c r="A6362">
        <v>7879</v>
      </c>
      <c r="B6362" t="s">
        <v>10265</v>
      </c>
      <c r="C6362" t="s">
        <v>18</v>
      </c>
      <c r="D6362" t="s">
        <v>5406</v>
      </c>
      <c r="E6362" t="s">
        <v>2801</v>
      </c>
      <c r="F6362" t="s">
        <v>45</v>
      </c>
      <c r="G6362" t="s">
        <v>5403</v>
      </c>
      <c r="J6362" t="b">
        <v>0</v>
      </c>
      <c r="K6362" t="b">
        <v>0</v>
      </c>
      <c r="L6362" t="b">
        <v>0</v>
      </c>
      <c r="M6362" t="str">
        <f>HYPERLINK("https://arizona.app.box.com/file/389173235757")</f>
        <v>https://arizona.app.box.com/file/389173235757</v>
      </c>
    </row>
    <row r="6363" spans="1:25" x14ac:dyDescent="0.2">
      <c r="A6363">
        <v>7880</v>
      </c>
      <c r="B6363" t="s">
        <v>10265</v>
      </c>
      <c r="C6363" t="s">
        <v>18</v>
      </c>
      <c r="D6363" t="s">
        <v>10267</v>
      </c>
      <c r="E6363" t="s">
        <v>10268</v>
      </c>
      <c r="F6363" t="s">
        <v>78</v>
      </c>
      <c r="G6363" t="s">
        <v>88</v>
      </c>
      <c r="J6363" t="b">
        <v>0</v>
      </c>
      <c r="K6363" t="b">
        <v>0</v>
      </c>
      <c r="L6363" t="b">
        <v>0</v>
      </c>
      <c r="M6363" t="str">
        <f>HYPERLINK("https://arizona.app.box.com/file/389152306072")</f>
        <v>https://arizona.app.box.com/file/389152306072</v>
      </c>
      <c r="N6363" t="str">
        <f>HYPERLINK("https://arizona.app.box.com/file/389172809074")</f>
        <v>https://arizona.app.box.com/file/389172809074</v>
      </c>
      <c r="O6363" t="str">
        <f>HYPERLINK("https://arizona.app.box.com/file/386237433970")</f>
        <v>https://arizona.app.box.com/file/386237433970</v>
      </c>
    </row>
    <row r="6365" spans="1:25" x14ac:dyDescent="0.2">
      <c r="A6365" s="2">
        <v>7896</v>
      </c>
      <c r="B6365" s="2" t="s">
        <v>10269</v>
      </c>
      <c r="C6365" s="2" t="s">
        <v>13</v>
      </c>
      <c r="D6365" s="2" t="s">
        <v>10270</v>
      </c>
      <c r="E6365" s="2" t="s">
        <v>10271</v>
      </c>
      <c r="F6365" s="2" t="s">
        <v>144</v>
      </c>
      <c r="G6365" s="2" t="s">
        <v>32</v>
      </c>
      <c r="H6365" s="2"/>
      <c r="I6365" s="2"/>
      <c r="J6365" s="2"/>
      <c r="K6365" s="2"/>
      <c r="L6365" s="2"/>
      <c r="M6365" s="2"/>
      <c r="N6365" s="2"/>
      <c r="O6365" s="2"/>
      <c r="P6365" s="2"/>
      <c r="Q6365" s="2"/>
      <c r="R6365" s="2"/>
      <c r="S6365" s="2"/>
      <c r="T6365" s="2"/>
      <c r="U6365" s="2"/>
      <c r="V6365" s="2"/>
      <c r="W6365" s="2"/>
      <c r="X6365" s="2"/>
      <c r="Y6365" s="2"/>
    </row>
    <row r="6366" spans="1:25" x14ac:dyDescent="0.2">
      <c r="A6366">
        <v>7897</v>
      </c>
      <c r="B6366" t="s">
        <v>10269</v>
      </c>
      <c r="C6366" t="s">
        <v>18</v>
      </c>
      <c r="D6366" t="s">
        <v>10270</v>
      </c>
      <c r="E6366" t="s">
        <v>10272</v>
      </c>
      <c r="F6366" t="s">
        <v>144</v>
      </c>
      <c r="G6366" t="s">
        <v>32</v>
      </c>
      <c r="J6366" t="b">
        <v>1</v>
      </c>
      <c r="K6366" t="b">
        <v>1</v>
      </c>
      <c r="L6366" t="b">
        <v>1</v>
      </c>
      <c r="M6366" t="str">
        <f>HYPERLINK("https://arizona.app.box.com/file/386213023569")</f>
        <v>https://arizona.app.box.com/file/386213023569</v>
      </c>
      <c r="N6366" t="str">
        <f>HYPERLINK("https://arizona.app.box.com/file/386241295653")</f>
        <v>https://arizona.app.box.com/file/386241295653</v>
      </c>
    </row>
    <row r="6367" spans="1:25" x14ac:dyDescent="0.2">
      <c r="A6367">
        <v>7898</v>
      </c>
      <c r="B6367" t="s">
        <v>10269</v>
      </c>
      <c r="C6367" t="s">
        <v>18</v>
      </c>
      <c r="D6367" t="s">
        <v>10273</v>
      </c>
      <c r="E6367" t="s">
        <v>10274</v>
      </c>
      <c r="F6367" t="s">
        <v>144</v>
      </c>
      <c r="G6367" t="s">
        <v>32</v>
      </c>
      <c r="J6367" t="b">
        <v>0</v>
      </c>
      <c r="K6367" t="b">
        <v>0</v>
      </c>
      <c r="L6367" t="b">
        <v>0</v>
      </c>
    </row>
    <row r="6368" spans="1:25" x14ac:dyDescent="0.2">
      <c r="A6368">
        <v>7899</v>
      </c>
      <c r="B6368" t="s">
        <v>10269</v>
      </c>
      <c r="C6368" t="s">
        <v>18</v>
      </c>
      <c r="D6368" t="s">
        <v>10275</v>
      </c>
      <c r="E6368" t="s">
        <v>10276</v>
      </c>
      <c r="F6368" t="s">
        <v>144</v>
      </c>
      <c r="G6368" t="s">
        <v>32</v>
      </c>
      <c r="J6368" t="b">
        <v>0</v>
      </c>
      <c r="K6368" t="b">
        <v>0</v>
      </c>
      <c r="L6368" t="b">
        <v>0</v>
      </c>
      <c r="M6368" t="str">
        <f>HYPERLINK("https://arizona.app.box.com/file/386242032785")</f>
        <v>https://arizona.app.box.com/file/386242032785</v>
      </c>
      <c r="N6368" t="str">
        <f>HYPERLINK("https://arizona.app.box.com/file/386241113911")</f>
        <v>https://arizona.app.box.com/file/386241113911</v>
      </c>
    </row>
    <row r="6369" spans="1:25" x14ac:dyDescent="0.2">
      <c r="A6369">
        <v>7900</v>
      </c>
      <c r="B6369" t="s">
        <v>10269</v>
      </c>
      <c r="C6369" t="s">
        <v>18</v>
      </c>
      <c r="D6369" t="s">
        <v>10277</v>
      </c>
      <c r="E6369" t="s">
        <v>10278</v>
      </c>
      <c r="F6369" t="s">
        <v>144</v>
      </c>
      <c r="G6369" t="s">
        <v>417</v>
      </c>
      <c r="J6369" t="b">
        <v>0</v>
      </c>
      <c r="K6369" t="b">
        <v>0</v>
      </c>
      <c r="L6369" t="b">
        <v>0</v>
      </c>
    </row>
    <row r="6370" spans="1:25" x14ac:dyDescent="0.2">
      <c r="A6370">
        <v>7901</v>
      </c>
      <c r="B6370" t="s">
        <v>10269</v>
      </c>
      <c r="C6370" t="s">
        <v>18</v>
      </c>
      <c r="D6370" t="s">
        <v>10279</v>
      </c>
      <c r="E6370" t="s">
        <v>7647</v>
      </c>
      <c r="F6370" t="s">
        <v>82</v>
      </c>
      <c r="G6370" t="s">
        <v>1406</v>
      </c>
      <c r="J6370" t="b">
        <v>0</v>
      </c>
      <c r="K6370" t="b">
        <v>0</v>
      </c>
      <c r="L6370" t="b">
        <v>0</v>
      </c>
    </row>
    <row r="6372" spans="1:25" x14ac:dyDescent="0.2">
      <c r="A6372" s="2">
        <v>791</v>
      </c>
      <c r="B6372" s="2" t="s">
        <v>10280</v>
      </c>
      <c r="C6372" s="2" t="s">
        <v>13</v>
      </c>
      <c r="D6372" s="2" t="s">
        <v>10281</v>
      </c>
      <c r="E6372" s="2" t="s">
        <v>10282</v>
      </c>
      <c r="F6372" s="2" t="s">
        <v>27</v>
      </c>
      <c r="G6372" s="2" t="s">
        <v>417</v>
      </c>
      <c r="H6372" s="2"/>
      <c r="I6372" s="2"/>
      <c r="J6372" s="2"/>
      <c r="K6372" s="2"/>
      <c r="L6372" s="2"/>
      <c r="M6372" s="2"/>
      <c r="N6372" s="2"/>
      <c r="O6372" s="2"/>
      <c r="P6372" s="2"/>
      <c r="Q6372" s="2"/>
      <c r="R6372" s="2"/>
      <c r="S6372" s="2"/>
      <c r="T6372" s="2"/>
      <c r="U6372" s="2"/>
      <c r="V6372" s="2"/>
      <c r="W6372" s="2"/>
      <c r="X6372" s="2"/>
      <c r="Y6372" s="2"/>
    </row>
    <row r="6373" spans="1:25" x14ac:dyDescent="0.2">
      <c r="A6373">
        <v>792</v>
      </c>
      <c r="B6373" t="s">
        <v>10280</v>
      </c>
      <c r="C6373" t="s">
        <v>18</v>
      </c>
      <c r="D6373" t="s">
        <v>5689</v>
      </c>
      <c r="E6373" t="s">
        <v>5690</v>
      </c>
      <c r="F6373" t="s">
        <v>78</v>
      </c>
      <c r="G6373" t="s">
        <v>417</v>
      </c>
      <c r="J6373" t="b">
        <v>0</v>
      </c>
      <c r="K6373" t="b">
        <v>0</v>
      </c>
      <c r="L6373" t="b">
        <v>0</v>
      </c>
      <c r="M6373" t="str">
        <f>HYPERLINK("https://arizona.app.box.com/file/386219572415")</f>
        <v>https://arizona.app.box.com/file/386219572415</v>
      </c>
      <c r="N6373" t="str">
        <f>HYPERLINK("https://arizona.app.box.com/file/386245912728")</f>
        <v>https://arizona.app.box.com/file/386245912728</v>
      </c>
    </row>
    <row r="6374" spans="1:25" x14ac:dyDescent="0.2">
      <c r="A6374">
        <v>793</v>
      </c>
      <c r="B6374" t="s">
        <v>10280</v>
      </c>
      <c r="C6374" t="s">
        <v>18</v>
      </c>
      <c r="D6374" t="s">
        <v>3262</v>
      </c>
      <c r="E6374" t="s">
        <v>3263</v>
      </c>
      <c r="F6374" t="s">
        <v>27</v>
      </c>
      <c r="G6374" t="s">
        <v>417</v>
      </c>
      <c r="J6374" t="b">
        <v>1</v>
      </c>
      <c r="K6374" t="b">
        <v>0</v>
      </c>
      <c r="L6374" t="b">
        <v>1</v>
      </c>
      <c r="M6374" t="str">
        <f>HYPERLINK("https://arizona.app.box.com/file/389268170683")</f>
        <v>https://arizona.app.box.com/file/389268170683</v>
      </c>
      <c r="N6374" t="str">
        <f>HYPERLINK("https://arizona.app.box.com/file/389165962156")</f>
        <v>https://arizona.app.box.com/file/389165962156</v>
      </c>
    </row>
    <row r="6375" spans="1:25" x14ac:dyDescent="0.2">
      <c r="A6375">
        <v>794</v>
      </c>
      <c r="B6375" t="s">
        <v>10280</v>
      </c>
      <c r="C6375" t="s">
        <v>18</v>
      </c>
      <c r="D6375" t="s">
        <v>430</v>
      </c>
      <c r="E6375" t="s">
        <v>431</v>
      </c>
      <c r="F6375" t="s">
        <v>316</v>
      </c>
      <c r="G6375" t="s">
        <v>417</v>
      </c>
      <c r="J6375" t="b">
        <v>0</v>
      </c>
      <c r="K6375" t="b">
        <v>0</v>
      </c>
      <c r="L6375" t="b">
        <v>0</v>
      </c>
      <c r="M6375" t="str">
        <f>HYPERLINK("https://arizona.app.box.com/file/389263789899")</f>
        <v>https://arizona.app.box.com/file/389263789899</v>
      </c>
      <c r="N6375" t="str">
        <f>HYPERLINK("https://arizona.app.box.com/file/386218508025")</f>
        <v>https://arizona.app.box.com/file/386218508025</v>
      </c>
    </row>
    <row r="6376" spans="1:25" x14ac:dyDescent="0.2">
      <c r="A6376">
        <v>795</v>
      </c>
      <c r="B6376" t="s">
        <v>10280</v>
      </c>
      <c r="C6376" t="s">
        <v>18</v>
      </c>
      <c r="D6376" t="s">
        <v>2984</v>
      </c>
      <c r="E6376" t="s">
        <v>2985</v>
      </c>
      <c r="F6376" t="s">
        <v>78</v>
      </c>
      <c r="G6376" t="s">
        <v>417</v>
      </c>
      <c r="J6376" t="b">
        <v>0</v>
      </c>
      <c r="K6376" t="b">
        <v>0</v>
      </c>
      <c r="L6376" t="b">
        <v>0</v>
      </c>
      <c r="M6376" t="str">
        <f>HYPERLINK("https://arizona.app.box.com/file/386241479944")</f>
        <v>https://arizona.app.box.com/file/386241479944</v>
      </c>
      <c r="N6376" t="str">
        <f>HYPERLINK("https://arizona.app.box.com/file/386246129908")</f>
        <v>https://arizona.app.box.com/file/386246129908</v>
      </c>
    </row>
    <row r="6377" spans="1:25" x14ac:dyDescent="0.2">
      <c r="A6377">
        <v>796</v>
      </c>
      <c r="B6377" t="s">
        <v>10280</v>
      </c>
      <c r="C6377" t="s">
        <v>18</v>
      </c>
      <c r="D6377" t="s">
        <v>5678</v>
      </c>
      <c r="E6377" t="s">
        <v>5679</v>
      </c>
      <c r="F6377" t="s">
        <v>654</v>
      </c>
      <c r="G6377" t="s">
        <v>417</v>
      </c>
      <c r="J6377" t="b">
        <v>0</v>
      </c>
      <c r="K6377" t="b">
        <v>0</v>
      </c>
      <c r="L6377" t="b">
        <v>0</v>
      </c>
      <c r="M6377" t="str">
        <f>HYPERLINK("https://arizona.app.box.com/file/386243699620")</f>
        <v>https://arizona.app.box.com/file/386243699620</v>
      </c>
      <c r="N6377" t="str">
        <f>HYPERLINK("https://arizona.app.box.com/file/386230185779")</f>
        <v>https://arizona.app.box.com/file/386230185779</v>
      </c>
    </row>
    <row r="6379" spans="1:25" x14ac:dyDescent="0.2">
      <c r="A6379" s="2">
        <v>7924</v>
      </c>
      <c r="B6379" s="2" t="s">
        <v>10283</v>
      </c>
      <c r="C6379" s="2" t="s">
        <v>13</v>
      </c>
      <c r="D6379" s="2" t="s">
        <v>10284</v>
      </c>
      <c r="E6379" s="2" t="s">
        <v>10285</v>
      </c>
      <c r="F6379" s="2" t="s">
        <v>159</v>
      </c>
      <c r="G6379" s="2" t="s">
        <v>134</v>
      </c>
      <c r="H6379" s="2"/>
      <c r="I6379" s="2"/>
      <c r="J6379" s="2"/>
      <c r="K6379" s="2"/>
      <c r="L6379" s="2"/>
      <c r="M6379" s="2"/>
      <c r="N6379" s="2"/>
      <c r="O6379" s="2"/>
      <c r="P6379" s="2"/>
      <c r="Q6379" s="2"/>
      <c r="R6379" s="2"/>
      <c r="S6379" s="2"/>
      <c r="T6379" s="2"/>
      <c r="U6379" s="2"/>
      <c r="V6379" s="2"/>
      <c r="W6379" s="2"/>
      <c r="X6379" s="2"/>
      <c r="Y6379" s="2"/>
    </row>
    <row r="6380" spans="1:25" x14ac:dyDescent="0.2">
      <c r="A6380">
        <v>7925</v>
      </c>
      <c r="B6380" t="s">
        <v>10283</v>
      </c>
      <c r="C6380" t="s">
        <v>18</v>
      </c>
      <c r="D6380" t="s">
        <v>10286</v>
      </c>
      <c r="E6380" t="s">
        <v>10285</v>
      </c>
      <c r="F6380" t="s">
        <v>1837</v>
      </c>
      <c r="G6380" t="s">
        <v>134</v>
      </c>
      <c r="J6380" t="b">
        <v>1</v>
      </c>
      <c r="K6380" t="b">
        <v>1</v>
      </c>
      <c r="L6380" t="b">
        <v>1</v>
      </c>
      <c r="M6380" t="str">
        <f>HYPERLINK("https://arizona.app.box.com/file/389165771260")</f>
        <v>https://arizona.app.box.com/file/389165771260</v>
      </c>
      <c r="N6380" t="str">
        <f>HYPERLINK("https://arizona.app.box.com/file/386241113911")</f>
        <v>https://arizona.app.box.com/file/386241113911</v>
      </c>
    </row>
    <row r="6381" spans="1:25" x14ac:dyDescent="0.2">
      <c r="A6381">
        <v>7926</v>
      </c>
      <c r="B6381" t="s">
        <v>10283</v>
      </c>
      <c r="C6381" t="s">
        <v>18</v>
      </c>
      <c r="D6381" t="s">
        <v>2492</v>
      </c>
      <c r="E6381" t="s">
        <v>2493</v>
      </c>
      <c r="F6381" t="s">
        <v>78</v>
      </c>
      <c r="G6381" t="s">
        <v>134</v>
      </c>
      <c r="J6381" t="b">
        <v>0</v>
      </c>
      <c r="K6381" t="b">
        <v>0</v>
      </c>
      <c r="L6381" t="b">
        <v>0</v>
      </c>
    </row>
    <row r="6382" spans="1:25" x14ac:dyDescent="0.2">
      <c r="A6382">
        <v>7927</v>
      </c>
      <c r="B6382" t="s">
        <v>10283</v>
      </c>
      <c r="C6382" t="s">
        <v>18</v>
      </c>
      <c r="D6382" t="s">
        <v>10287</v>
      </c>
      <c r="E6382" t="s">
        <v>3085</v>
      </c>
      <c r="F6382" t="s">
        <v>31</v>
      </c>
      <c r="G6382" t="s">
        <v>134</v>
      </c>
      <c r="J6382" t="b">
        <v>0</v>
      </c>
      <c r="K6382" t="b">
        <v>0</v>
      </c>
      <c r="L6382" t="b">
        <v>0</v>
      </c>
      <c r="M6382" t="str">
        <f>HYPERLINK("https://arizona.app.box.com/file/389166241243")</f>
        <v>https://arizona.app.box.com/file/389166241243</v>
      </c>
    </row>
    <row r="6383" spans="1:25" x14ac:dyDescent="0.2">
      <c r="A6383">
        <v>7928</v>
      </c>
      <c r="B6383" t="s">
        <v>10283</v>
      </c>
      <c r="C6383" t="s">
        <v>18</v>
      </c>
      <c r="D6383" t="s">
        <v>2486</v>
      </c>
      <c r="E6383" t="s">
        <v>2487</v>
      </c>
      <c r="F6383" t="s">
        <v>205</v>
      </c>
      <c r="G6383" t="s">
        <v>134</v>
      </c>
      <c r="J6383" t="b">
        <v>0</v>
      </c>
      <c r="K6383" t="b">
        <v>0</v>
      </c>
      <c r="L6383" t="b">
        <v>0</v>
      </c>
      <c r="M6383" t="str">
        <f>HYPERLINK("https://arizona.app.box.com/file/389163865673")</f>
        <v>https://arizona.app.box.com/file/389163865673</v>
      </c>
      <c r="N6383" t="str">
        <f>HYPERLINK("https://arizona.app.box.com/file/386241113911")</f>
        <v>https://arizona.app.box.com/file/386241113911</v>
      </c>
    </row>
    <row r="6384" spans="1:25" x14ac:dyDescent="0.2">
      <c r="A6384">
        <v>7929</v>
      </c>
      <c r="B6384" t="s">
        <v>10283</v>
      </c>
      <c r="C6384" t="s">
        <v>18</v>
      </c>
      <c r="D6384" t="s">
        <v>8641</v>
      </c>
      <c r="E6384" t="s">
        <v>3656</v>
      </c>
      <c r="F6384" t="s">
        <v>260</v>
      </c>
      <c r="G6384" t="s">
        <v>134</v>
      </c>
      <c r="J6384" t="b">
        <v>0</v>
      </c>
      <c r="K6384" t="b">
        <v>0</v>
      </c>
      <c r="L6384" t="b">
        <v>0</v>
      </c>
      <c r="M6384" t="str">
        <f>HYPERLINK("https://arizona.app.box.com/file/389263415047")</f>
        <v>https://arizona.app.box.com/file/389263415047</v>
      </c>
    </row>
    <row r="6386" spans="1:25" x14ac:dyDescent="0.2">
      <c r="A6386" s="2">
        <v>7931</v>
      </c>
      <c r="B6386" s="2" t="s">
        <v>10288</v>
      </c>
      <c r="C6386" s="2" t="s">
        <v>13</v>
      </c>
      <c r="D6386" s="2" t="s">
        <v>10289</v>
      </c>
      <c r="E6386" s="2" t="s">
        <v>10290</v>
      </c>
      <c r="F6386" s="2" t="s">
        <v>78</v>
      </c>
      <c r="G6386" s="2" t="s">
        <v>17</v>
      </c>
      <c r="H6386" s="2"/>
      <c r="I6386" s="2"/>
      <c r="J6386" s="2"/>
      <c r="K6386" s="2"/>
      <c r="L6386" s="2"/>
      <c r="M6386" s="2"/>
      <c r="N6386" s="2"/>
      <c r="O6386" s="2"/>
      <c r="P6386" s="2"/>
      <c r="Q6386" s="2"/>
      <c r="R6386" s="2"/>
      <c r="S6386" s="2"/>
      <c r="T6386" s="2"/>
      <c r="U6386" s="2"/>
      <c r="V6386" s="2"/>
      <c r="W6386" s="2"/>
      <c r="X6386" s="2"/>
      <c r="Y6386" s="2"/>
    </row>
    <row r="6387" spans="1:25" x14ac:dyDescent="0.2">
      <c r="A6387">
        <v>7932</v>
      </c>
      <c r="B6387" t="s">
        <v>10288</v>
      </c>
      <c r="C6387" t="s">
        <v>18</v>
      </c>
      <c r="D6387" t="s">
        <v>7324</v>
      </c>
      <c r="E6387" t="s">
        <v>7325</v>
      </c>
      <c r="F6387" t="s">
        <v>78</v>
      </c>
      <c r="G6387" t="s">
        <v>17</v>
      </c>
      <c r="J6387" t="b">
        <v>0</v>
      </c>
      <c r="K6387" t="b">
        <v>0</v>
      </c>
      <c r="L6387" t="b">
        <v>0</v>
      </c>
      <c r="M6387" t="str">
        <f>HYPERLINK("https://arizona.app.box.com/file/389256508641")</f>
        <v>https://arizona.app.box.com/file/389256508641</v>
      </c>
      <c r="N6387" t="str">
        <f>HYPERLINK("https://arizona.app.box.com/file/389170914910")</f>
        <v>https://arizona.app.box.com/file/389170914910</v>
      </c>
      <c r="O6387" t="str">
        <f>HYPERLINK("https://arizona.app.box.com/file/389260423861")</f>
        <v>https://arizona.app.box.com/file/389260423861</v>
      </c>
    </row>
    <row r="6388" spans="1:25" x14ac:dyDescent="0.2">
      <c r="A6388">
        <v>7933</v>
      </c>
      <c r="B6388" t="s">
        <v>10288</v>
      </c>
      <c r="C6388" t="s">
        <v>18</v>
      </c>
      <c r="D6388" t="s">
        <v>3445</v>
      </c>
      <c r="E6388" t="s">
        <v>3446</v>
      </c>
      <c r="F6388" t="s">
        <v>151</v>
      </c>
      <c r="G6388" t="s">
        <v>17</v>
      </c>
      <c r="J6388" t="b">
        <v>0</v>
      </c>
      <c r="K6388" t="b">
        <v>0</v>
      </c>
      <c r="L6388" t="b">
        <v>0</v>
      </c>
      <c r="M6388" t="str">
        <f>HYPERLINK("https://arizona.app.box.com/file/389264181331")</f>
        <v>https://arizona.app.box.com/file/389264181331</v>
      </c>
      <c r="N6388" t="str">
        <f>HYPERLINK("https://arizona.app.box.com/file/389152865608")</f>
        <v>https://arizona.app.box.com/file/389152865608</v>
      </c>
    </row>
    <row r="6389" spans="1:25" x14ac:dyDescent="0.2">
      <c r="A6389">
        <v>7934</v>
      </c>
      <c r="B6389" t="s">
        <v>10288</v>
      </c>
      <c r="C6389" t="s">
        <v>18</v>
      </c>
      <c r="D6389" t="s">
        <v>7333</v>
      </c>
      <c r="E6389" t="s">
        <v>7334</v>
      </c>
      <c r="F6389" t="s">
        <v>78</v>
      </c>
      <c r="G6389" t="s">
        <v>17</v>
      </c>
      <c r="J6389" t="b">
        <v>0</v>
      </c>
      <c r="K6389" t="b">
        <v>0</v>
      </c>
      <c r="L6389" t="b">
        <v>0</v>
      </c>
    </row>
    <row r="6390" spans="1:25" x14ac:dyDescent="0.2">
      <c r="A6390">
        <v>7935</v>
      </c>
      <c r="B6390" t="s">
        <v>10288</v>
      </c>
      <c r="C6390" t="s">
        <v>18</v>
      </c>
      <c r="D6390" t="s">
        <v>7335</v>
      </c>
      <c r="E6390" t="s">
        <v>7336</v>
      </c>
      <c r="F6390" t="s">
        <v>174</v>
      </c>
      <c r="G6390" t="s">
        <v>17</v>
      </c>
      <c r="J6390" t="b">
        <v>0</v>
      </c>
      <c r="K6390" t="b">
        <v>0</v>
      </c>
      <c r="L6390" t="b">
        <v>0</v>
      </c>
      <c r="M6390" t="str">
        <f>HYPERLINK("https://arizona.app.box.com/file/386246683350")</f>
        <v>https://arizona.app.box.com/file/386246683350</v>
      </c>
      <c r="N6390" t="str">
        <f>HYPERLINK("https://arizona.app.box.com/file/386241113911")</f>
        <v>https://arizona.app.box.com/file/386241113911</v>
      </c>
      <c r="O6390" t="str">
        <f>HYPERLINK("https://arizona.app.box.com/file/386241113911")</f>
        <v>https://arizona.app.box.com/file/386241113911</v>
      </c>
      <c r="P6390" t="str">
        <f>HYPERLINK("https://arizona.app.box.com/file/386241113911")</f>
        <v>https://arizona.app.box.com/file/386241113911</v>
      </c>
    </row>
    <row r="6391" spans="1:25" x14ac:dyDescent="0.2">
      <c r="A6391">
        <v>7936</v>
      </c>
      <c r="B6391" t="s">
        <v>10288</v>
      </c>
      <c r="C6391" t="s">
        <v>18</v>
      </c>
      <c r="D6391" t="s">
        <v>7165</v>
      </c>
      <c r="E6391" t="s">
        <v>7166</v>
      </c>
      <c r="F6391" t="s">
        <v>78</v>
      </c>
      <c r="G6391" t="s">
        <v>417</v>
      </c>
      <c r="J6391" t="b">
        <v>0</v>
      </c>
      <c r="K6391" t="b">
        <v>0</v>
      </c>
      <c r="L6391" t="b">
        <v>0</v>
      </c>
    </row>
    <row r="6393" spans="1:25" x14ac:dyDescent="0.2">
      <c r="A6393" s="2">
        <v>7945</v>
      </c>
      <c r="B6393" s="2" t="s">
        <v>10291</v>
      </c>
      <c r="C6393" s="2" t="s">
        <v>13</v>
      </c>
      <c r="D6393" s="2" t="s">
        <v>10292</v>
      </c>
      <c r="E6393" s="2" t="s">
        <v>2985</v>
      </c>
      <c r="F6393" s="2" t="s">
        <v>78</v>
      </c>
      <c r="G6393" s="2" t="s">
        <v>417</v>
      </c>
      <c r="H6393" s="2"/>
      <c r="I6393" s="2"/>
      <c r="J6393" s="2"/>
      <c r="K6393" s="2"/>
      <c r="L6393" s="2"/>
      <c r="M6393" s="2"/>
      <c r="N6393" s="2"/>
      <c r="O6393" s="2"/>
      <c r="P6393" s="2"/>
      <c r="Q6393" s="2"/>
      <c r="R6393" s="2"/>
      <c r="S6393" s="2"/>
      <c r="T6393" s="2"/>
      <c r="U6393" s="2"/>
      <c r="V6393" s="2"/>
      <c r="W6393" s="2"/>
      <c r="X6393" s="2"/>
      <c r="Y6393" s="2"/>
    </row>
    <row r="6394" spans="1:25" x14ac:dyDescent="0.2">
      <c r="A6394">
        <v>7946</v>
      </c>
      <c r="B6394" t="s">
        <v>10291</v>
      </c>
      <c r="C6394" t="s">
        <v>18</v>
      </c>
      <c r="D6394" t="s">
        <v>2984</v>
      </c>
      <c r="E6394" t="s">
        <v>2985</v>
      </c>
      <c r="F6394" t="s">
        <v>78</v>
      </c>
      <c r="G6394" t="s">
        <v>417</v>
      </c>
      <c r="J6394" t="b">
        <v>1</v>
      </c>
      <c r="K6394" t="b">
        <v>1</v>
      </c>
      <c r="L6394" t="b">
        <v>1</v>
      </c>
      <c r="M6394" t="str">
        <f>HYPERLINK("https://arizona.app.box.com/file/386241479944")</f>
        <v>https://arizona.app.box.com/file/386241479944</v>
      </c>
      <c r="N6394" t="str">
        <f>HYPERLINK("https://arizona.app.box.com/file/386246129908")</f>
        <v>https://arizona.app.box.com/file/386246129908</v>
      </c>
    </row>
    <row r="6395" spans="1:25" x14ac:dyDescent="0.2">
      <c r="A6395">
        <v>7947</v>
      </c>
      <c r="B6395" t="s">
        <v>10291</v>
      </c>
      <c r="C6395" t="s">
        <v>18</v>
      </c>
      <c r="D6395" t="s">
        <v>7165</v>
      </c>
      <c r="E6395" t="s">
        <v>7166</v>
      </c>
      <c r="F6395" t="s">
        <v>78</v>
      </c>
      <c r="G6395" t="s">
        <v>417</v>
      </c>
      <c r="J6395" t="b">
        <v>0</v>
      </c>
      <c r="K6395" t="b">
        <v>0</v>
      </c>
      <c r="L6395" t="b">
        <v>0</v>
      </c>
    </row>
    <row r="6396" spans="1:25" x14ac:dyDescent="0.2">
      <c r="A6396">
        <v>7948</v>
      </c>
      <c r="B6396" t="s">
        <v>10291</v>
      </c>
      <c r="C6396" t="s">
        <v>18</v>
      </c>
      <c r="D6396" t="s">
        <v>5689</v>
      </c>
      <c r="E6396" t="s">
        <v>5690</v>
      </c>
      <c r="F6396" t="s">
        <v>78</v>
      </c>
      <c r="G6396" t="s">
        <v>417</v>
      </c>
      <c r="J6396" t="b">
        <v>0</v>
      </c>
      <c r="K6396" t="b">
        <v>0</v>
      </c>
      <c r="L6396" t="b">
        <v>0</v>
      </c>
      <c r="M6396" t="str">
        <f>HYPERLINK("https://arizona.app.box.com/file/386219572415")</f>
        <v>https://arizona.app.box.com/file/386219572415</v>
      </c>
      <c r="N6396" t="str">
        <f>HYPERLINK("https://arizona.app.box.com/file/386245912728")</f>
        <v>https://arizona.app.box.com/file/386245912728</v>
      </c>
    </row>
    <row r="6397" spans="1:25" x14ac:dyDescent="0.2">
      <c r="A6397">
        <v>7949</v>
      </c>
      <c r="B6397" t="s">
        <v>10291</v>
      </c>
      <c r="C6397" t="s">
        <v>18</v>
      </c>
      <c r="D6397" t="s">
        <v>2977</v>
      </c>
      <c r="E6397" t="s">
        <v>2978</v>
      </c>
      <c r="F6397" t="s">
        <v>78</v>
      </c>
      <c r="G6397" t="s">
        <v>417</v>
      </c>
      <c r="J6397" t="b">
        <v>0</v>
      </c>
      <c r="K6397" t="b">
        <v>0</v>
      </c>
      <c r="L6397" t="b">
        <v>0</v>
      </c>
      <c r="M6397" t="str">
        <f>HYPERLINK("https://arizona.app.box.com/file/386248687303")</f>
        <v>https://arizona.app.box.com/file/386248687303</v>
      </c>
      <c r="N6397" t="str">
        <f>HYPERLINK("https://arizona.app.box.com/file/386213945129")</f>
        <v>https://arizona.app.box.com/file/386213945129</v>
      </c>
    </row>
    <row r="6398" spans="1:25" x14ac:dyDescent="0.2">
      <c r="A6398">
        <v>7950</v>
      </c>
      <c r="B6398" t="s">
        <v>10291</v>
      </c>
      <c r="C6398" t="s">
        <v>18</v>
      </c>
      <c r="D6398" t="s">
        <v>10293</v>
      </c>
      <c r="E6398" t="s">
        <v>10294</v>
      </c>
      <c r="F6398" t="s">
        <v>78</v>
      </c>
      <c r="G6398" t="s">
        <v>1290</v>
      </c>
      <c r="J6398" t="b">
        <v>0</v>
      </c>
      <c r="K6398" t="b">
        <v>0</v>
      </c>
      <c r="L6398" t="b">
        <v>0</v>
      </c>
    </row>
    <row r="6400" spans="1:25" x14ac:dyDescent="0.2">
      <c r="A6400" s="2">
        <v>7952</v>
      </c>
      <c r="B6400" s="2" t="s">
        <v>10295</v>
      </c>
      <c r="C6400" s="2" t="s">
        <v>13</v>
      </c>
      <c r="D6400" s="2" t="s">
        <v>8642</v>
      </c>
      <c r="E6400" s="2" t="s">
        <v>8643</v>
      </c>
      <c r="F6400" s="2" t="s">
        <v>78</v>
      </c>
      <c r="G6400" s="2" t="s">
        <v>17</v>
      </c>
      <c r="H6400" s="2"/>
      <c r="I6400" s="2"/>
      <c r="J6400" s="2"/>
      <c r="K6400" s="2"/>
      <c r="L6400" s="2"/>
      <c r="M6400" s="2"/>
      <c r="N6400" s="2"/>
      <c r="O6400" s="2"/>
      <c r="P6400" s="2"/>
      <c r="Q6400" s="2"/>
      <c r="R6400" s="2"/>
      <c r="S6400" s="2"/>
      <c r="T6400" s="2"/>
      <c r="U6400" s="2"/>
      <c r="V6400" s="2"/>
      <c r="W6400" s="2"/>
      <c r="X6400" s="2"/>
      <c r="Y6400" s="2"/>
    </row>
    <row r="6401" spans="1:25" x14ac:dyDescent="0.2">
      <c r="A6401">
        <v>7953</v>
      </c>
      <c r="B6401" t="s">
        <v>10295</v>
      </c>
      <c r="C6401" t="s">
        <v>18</v>
      </c>
      <c r="D6401" t="s">
        <v>8642</v>
      </c>
      <c r="E6401" t="s">
        <v>8643</v>
      </c>
      <c r="F6401" t="s">
        <v>78</v>
      </c>
      <c r="G6401" t="s">
        <v>17</v>
      </c>
      <c r="J6401" t="b">
        <v>1</v>
      </c>
      <c r="K6401" t="b">
        <v>1</v>
      </c>
      <c r="L6401" t="b">
        <v>1</v>
      </c>
      <c r="M6401" t="str">
        <f>HYPERLINK("https://arizona.app.box.com/file/389263174183")</f>
        <v>https://arizona.app.box.com/file/389263174183</v>
      </c>
      <c r="N6401" t="str">
        <f>HYPERLINK("https://arizona.app.box.com/file/389168616045")</f>
        <v>https://arizona.app.box.com/file/389168616045</v>
      </c>
      <c r="O6401" t="str">
        <f>HYPERLINK("https://arizona.app.box.com/file/389266892046")</f>
        <v>https://arizona.app.box.com/file/389266892046</v>
      </c>
    </row>
    <row r="6402" spans="1:25" x14ac:dyDescent="0.2">
      <c r="A6402">
        <v>7954</v>
      </c>
      <c r="B6402" t="s">
        <v>10295</v>
      </c>
      <c r="C6402" t="s">
        <v>18</v>
      </c>
      <c r="D6402" t="s">
        <v>10296</v>
      </c>
      <c r="E6402" t="s">
        <v>8070</v>
      </c>
      <c r="F6402" t="s">
        <v>78</v>
      </c>
      <c r="G6402" t="s">
        <v>17</v>
      </c>
      <c r="J6402" t="b">
        <v>0</v>
      </c>
      <c r="K6402" t="b">
        <v>0</v>
      </c>
      <c r="L6402" t="b">
        <v>0</v>
      </c>
      <c r="M6402" t="str">
        <f>HYPERLINK("https://arizona.app.box.com/file/389263451035")</f>
        <v>https://arizona.app.box.com/file/389263451035</v>
      </c>
    </row>
    <row r="6403" spans="1:25" x14ac:dyDescent="0.2">
      <c r="A6403">
        <v>7955</v>
      </c>
      <c r="B6403" t="s">
        <v>10295</v>
      </c>
      <c r="C6403" t="s">
        <v>18</v>
      </c>
      <c r="D6403" t="s">
        <v>5248</v>
      </c>
      <c r="E6403" t="s">
        <v>5249</v>
      </c>
      <c r="F6403" t="s">
        <v>717</v>
      </c>
      <c r="G6403" t="s">
        <v>17</v>
      </c>
      <c r="J6403" t="b">
        <v>0</v>
      </c>
      <c r="K6403" t="b">
        <v>0</v>
      </c>
      <c r="L6403" t="b">
        <v>0</v>
      </c>
      <c r="M6403" t="str">
        <f>HYPERLINK("https://arizona.app.box.com/file/389166052236")</f>
        <v>https://arizona.app.box.com/file/389166052236</v>
      </c>
      <c r="N6403" t="str">
        <f>HYPERLINK("https://arizona.app.box.com/file/386241612238")</f>
        <v>https://arizona.app.box.com/file/386241612238</v>
      </c>
    </row>
    <row r="6404" spans="1:25" x14ac:dyDescent="0.2">
      <c r="A6404">
        <v>7956</v>
      </c>
      <c r="B6404" t="s">
        <v>10295</v>
      </c>
      <c r="C6404" t="s">
        <v>18</v>
      </c>
      <c r="D6404" t="s">
        <v>7141</v>
      </c>
      <c r="E6404" t="s">
        <v>3565</v>
      </c>
      <c r="F6404" t="s">
        <v>174</v>
      </c>
      <c r="G6404" t="s">
        <v>4192</v>
      </c>
      <c r="J6404" t="b">
        <v>0</v>
      </c>
      <c r="K6404" t="b">
        <v>0</v>
      </c>
      <c r="L6404" t="b">
        <v>0</v>
      </c>
      <c r="M6404" t="str">
        <f>HYPERLINK("https://arizona.app.box.com/file/386240163636")</f>
        <v>https://arizona.app.box.com/file/386240163636</v>
      </c>
    </row>
    <row r="6405" spans="1:25" x14ac:dyDescent="0.2">
      <c r="A6405">
        <v>7957</v>
      </c>
      <c r="B6405" t="s">
        <v>10295</v>
      </c>
      <c r="C6405" t="s">
        <v>18</v>
      </c>
      <c r="D6405" t="s">
        <v>7143</v>
      </c>
      <c r="E6405" t="s">
        <v>3314</v>
      </c>
      <c r="F6405" t="s">
        <v>174</v>
      </c>
      <c r="G6405" t="s">
        <v>4192</v>
      </c>
      <c r="J6405" t="b">
        <v>0</v>
      </c>
      <c r="K6405" t="b">
        <v>0</v>
      </c>
      <c r="L6405" t="b">
        <v>0</v>
      </c>
    </row>
    <row r="6407" spans="1:25" x14ac:dyDescent="0.2">
      <c r="A6407" s="2">
        <v>7973</v>
      </c>
      <c r="B6407" s="2" t="s">
        <v>10297</v>
      </c>
      <c r="C6407" s="2" t="s">
        <v>13</v>
      </c>
      <c r="D6407" s="2" t="s">
        <v>10298</v>
      </c>
      <c r="E6407" s="2" t="s">
        <v>10299</v>
      </c>
      <c r="F6407" s="2" t="s">
        <v>369</v>
      </c>
      <c r="G6407" s="2" t="s">
        <v>17</v>
      </c>
      <c r="H6407" s="2"/>
      <c r="I6407" s="2"/>
      <c r="J6407" s="2"/>
      <c r="K6407" s="2"/>
      <c r="L6407" s="2"/>
      <c r="M6407" s="2"/>
      <c r="N6407" s="2"/>
      <c r="O6407" s="2"/>
      <c r="P6407" s="2"/>
      <c r="Q6407" s="2"/>
      <c r="R6407" s="2"/>
      <c r="S6407" s="2"/>
      <c r="T6407" s="2"/>
      <c r="U6407" s="2"/>
      <c r="V6407" s="2"/>
      <c r="W6407" s="2"/>
      <c r="X6407" s="2"/>
      <c r="Y6407" s="2"/>
    </row>
    <row r="6408" spans="1:25" x14ac:dyDescent="0.2">
      <c r="A6408">
        <v>7974</v>
      </c>
      <c r="B6408" t="s">
        <v>10297</v>
      </c>
      <c r="C6408" t="s">
        <v>18</v>
      </c>
      <c r="D6408" t="s">
        <v>10298</v>
      </c>
      <c r="E6408" t="s">
        <v>10300</v>
      </c>
      <c r="F6408" t="s">
        <v>369</v>
      </c>
      <c r="G6408" t="s">
        <v>17</v>
      </c>
      <c r="J6408" t="b">
        <v>1</v>
      </c>
      <c r="K6408" t="b">
        <v>1</v>
      </c>
      <c r="L6408" t="b">
        <v>1</v>
      </c>
      <c r="M6408" t="str">
        <f>HYPERLINK("https://arizona.app.box.com/file/389137564620")</f>
        <v>https://arizona.app.box.com/file/389137564620</v>
      </c>
      <c r="N6408" t="str">
        <f>HYPERLINK("https://arizona.app.box.com/file/386241113911")</f>
        <v>https://arizona.app.box.com/file/386241113911</v>
      </c>
    </row>
    <row r="6409" spans="1:25" x14ac:dyDescent="0.2">
      <c r="A6409">
        <v>7975</v>
      </c>
      <c r="B6409" t="s">
        <v>10297</v>
      </c>
      <c r="C6409" t="s">
        <v>18</v>
      </c>
      <c r="D6409" t="s">
        <v>10301</v>
      </c>
      <c r="E6409" t="s">
        <v>10302</v>
      </c>
      <c r="F6409" t="s">
        <v>369</v>
      </c>
      <c r="G6409" t="s">
        <v>17</v>
      </c>
      <c r="J6409" t="b">
        <v>1</v>
      </c>
      <c r="K6409" t="b">
        <v>1</v>
      </c>
      <c r="L6409" t="b">
        <v>1</v>
      </c>
      <c r="M6409" t="str">
        <f>HYPERLINK("https://arizona.app.box.com/file/389137551399")</f>
        <v>https://arizona.app.box.com/file/389137551399</v>
      </c>
    </row>
    <row r="6410" spans="1:25" x14ac:dyDescent="0.2">
      <c r="A6410">
        <v>7976</v>
      </c>
      <c r="B6410" t="s">
        <v>10297</v>
      </c>
      <c r="C6410" t="s">
        <v>18</v>
      </c>
      <c r="D6410" t="s">
        <v>10303</v>
      </c>
      <c r="E6410" t="s">
        <v>8267</v>
      </c>
      <c r="F6410" t="s">
        <v>369</v>
      </c>
      <c r="G6410" t="s">
        <v>17</v>
      </c>
      <c r="J6410" t="b">
        <v>0</v>
      </c>
      <c r="K6410" t="b">
        <v>0</v>
      </c>
      <c r="L6410" t="b">
        <v>0</v>
      </c>
      <c r="M6410" t="str">
        <f>HYPERLINK("https://arizona.app.box.com/file/389151749940")</f>
        <v>https://arizona.app.box.com/file/389151749940</v>
      </c>
    </row>
    <row r="6411" spans="1:25" x14ac:dyDescent="0.2">
      <c r="A6411">
        <v>7977</v>
      </c>
      <c r="B6411" t="s">
        <v>10297</v>
      </c>
      <c r="C6411" t="s">
        <v>18</v>
      </c>
      <c r="D6411" t="s">
        <v>10304</v>
      </c>
      <c r="E6411" t="s">
        <v>1220</v>
      </c>
      <c r="F6411" t="s">
        <v>369</v>
      </c>
      <c r="G6411" t="s">
        <v>17</v>
      </c>
      <c r="J6411" t="b">
        <v>0</v>
      </c>
      <c r="K6411" t="b">
        <v>0</v>
      </c>
      <c r="L6411" t="b">
        <v>0</v>
      </c>
      <c r="M6411" t="str">
        <f>HYPERLINK("https://arizona.app.box.com/file/386248192436")</f>
        <v>https://arizona.app.box.com/file/386248192436</v>
      </c>
    </row>
    <row r="6412" spans="1:25" x14ac:dyDescent="0.2">
      <c r="A6412">
        <v>7978</v>
      </c>
      <c r="B6412" t="s">
        <v>10297</v>
      </c>
      <c r="C6412" t="s">
        <v>18</v>
      </c>
      <c r="D6412" t="s">
        <v>5391</v>
      </c>
      <c r="E6412" t="s">
        <v>5392</v>
      </c>
      <c r="F6412" t="s">
        <v>369</v>
      </c>
      <c r="G6412" t="s">
        <v>17</v>
      </c>
      <c r="J6412" t="b">
        <v>0</v>
      </c>
      <c r="K6412" t="b">
        <v>0</v>
      </c>
      <c r="L6412" t="b">
        <v>0</v>
      </c>
      <c r="M6412" t="str">
        <f>HYPERLINK("https://arizona.app.box.com/file/386266484443")</f>
        <v>https://arizona.app.box.com/file/386266484443</v>
      </c>
      <c r="N6412" t="str">
        <f>HYPERLINK("https://arizona.app.box.com/file/386241113911")</f>
        <v>https://arizona.app.box.com/file/386241113911</v>
      </c>
    </row>
    <row r="6414" spans="1:25" x14ac:dyDescent="0.2">
      <c r="A6414" s="2">
        <v>8036</v>
      </c>
      <c r="B6414" s="2" t="s">
        <v>10305</v>
      </c>
      <c r="C6414" s="2" t="s">
        <v>13</v>
      </c>
      <c r="D6414" s="2" t="s">
        <v>9170</v>
      </c>
      <c r="E6414" s="2" t="s">
        <v>10306</v>
      </c>
      <c r="F6414" s="2" t="s">
        <v>151</v>
      </c>
      <c r="G6414" s="2" t="s">
        <v>24</v>
      </c>
      <c r="H6414" s="2"/>
      <c r="I6414" s="2"/>
      <c r="J6414" s="2"/>
      <c r="K6414" s="2"/>
      <c r="L6414" s="2"/>
      <c r="M6414" s="2"/>
      <c r="N6414" s="2"/>
      <c r="O6414" s="2"/>
      <c r="P6414" s="2"/>
      <c r="Q6414" s="2"/>
      <c r="R6414" s="2"/>
      <c r="S6414" s="2"/>
      <c r="T6414" s="2"/>
      <c r="U6414" s="2"/>
      <c r="V6414" s="2"/>
      <c r="W6414" s="2"/>
      <c r="X6414" s="2"/>
      <c r="Y6414" s="2"/>
    </row>
    <row r="6415" spans="1:25" x14ac:dyDescent="0.2">
      <c r="A6415">
        <v>8037</v>
      </c>
      <c r="B6415" t="s">
        <v>10305</v>
      </c>
      <c r="C6415" t="s">
        <v>18</v>
      </c>
      <c r="D6415" t="s">
        <v>9170</v>
      </c>
      <c r="E6415" t="s">
        <v>2705</v>
      </c>
      <c r="F6415" t="s">
        <v>151</v>
      </c>
      <c r="G6415" t="s">
        <v>24</v>
      </c>
      <c r="J6415" t="b">
        <v>1</v>
      </c>
      <c r="K6415" t="b">
        <v>1</v>
      </c>
      <c r="L6415" t="b">
        <v>1</v>
      </c>
      <c r="M6415" t="str">
        <f>HYPERLINK("https://arizona.app.box.com/file/389268065499")</f>
        <v>https://arizona.app.box.com/file/389268065499</v>
      </c>
    </row>
    <row r="6416" spans="1:25" x14ac:dyDescent="0.2">
      <c r="A6416">
        <v>8038</v>
      </c>
      <c r="B6416" t="s">
        <v>10305</v>
      </c>
      <c r="C6416" t="s">
        <v>18</v>
      </c>
      <c r="D6416" t="s">
        <v>230</v>
      </c>
      <c r="E6416" t="s">
        <v>231</v>
      </c>
      <c r="F6416" t="s">
        <v>151</v>
      </c>
      <c r="G6416" t="s">
        <v>24</v>
      </c>
      <c r="J6416" t="b">
        <v>1</v>
      </c>
      <c r="K6416" t="b">
        <v>1</v>
      </c>
      <c r="L6416" t="b">
        <v>1</v>
      </c>
      <c r="M6416" t="str">
        <f>HYPERLINK("https://arizona.app.box.com/file/386217049584")</f>
        <v>https://arizona.app.box.com/file/386217049584</v>
      </c>
    </row>
    <row r="6417" spans="1:25" x14ac:dyDescent="0.2">
      <c r="A6417">
        <v>8039</v>
      </c>
      <c r="B6417" t="s">
        <v>10305</v>
      </c>
      <c r="C6417" t="s">
        <v>18</v>
      </c>
      <c r="D6417" t="s">
        <v>6768</v>
      </c>
      <c r="E6417" t="s">
        <v>381</v>
      </c>
      <c r="F6417" t="s">
        <v>16</v>
      </c>
      <c r="G6417" t="s">
        <v>24</v>
      </c>
      <c r="J6417" t="b">
        <v>0</v>
      </c>
      <c r="K6417" t="b">
        <v>0</v>
      </c>
      <c r="L6417" t="b">
        <v>0</v>
      </c>
      <c r="M6417" t="str">
        <f>HYPERLINK("https://arizona.app.box.com/file/389167024775")</f>
        <v>https://arizona.app.box.com/file/389167024775</v>
      </c>
      <c r="N6417" t="str">
        <f>HYPERLINK("https://arizona.app.box.com/file/386240684710")</f>
        <v>https://arizona.app.box.com/file/386240684710</v>
      </c>
    </row>
    <row r="6418" spans="1:25" x14ac:dyDescent="0.2">
      <c r="A6418">
        <v>8040</v>
      </c>
      <c r="B6418" t="s">
        <v>10305</v>
      </c>
      <c r="C6418" t="s">
        <v>18</v>
      </c>
      <c r="D6418" t="s">
        <v>6774</v>
      </c>
      <c r="E6418" t="s">
        <v>1299</v>
      </c>
      <c r="F6418" t="s">
        <v>168</v>
      </c>
      <c r="G6418" t="s">
        <v>24</v>
      </c>
      <c r="J6418" t="b">
        <v>0</v>
      </c>
      <c r="K6418" t="b">
        <v>0</v>
      </c>
      <c r="L6418" t="b">
        <v>0</v>
      </c>
      <c r="M6418" t="str">
        <f>HYPERLINK("https://arizona.app.box.com/file/389167316675")</f>
        <v>https://arizona.app.box.com/file/389167316675</v>
      </c>
    </row>
    <row r="6419" spans="1:25" x14ac:dyDescent="0.2">
      <c r="A6419">
        <v>8041</v>
      </c>
      <c r="B6419" t="s">
        <v>10305</v>
      </c>
      <c r="C6419" t="s">
        <v>18</v>
      </c>
      <c r="D6419" t="s">
        <v>2668</v>
      </c>
      <c r="E6419" t="s">
        <v>2669</v>
      </c>
      <c r="F6419" t="s">
        <v>369</v>
      </c>
      <c r="G6419" t="s">
        <v>24</v>
      </c>
      <c r="J6419" t="b">
        <v>0</v>
      </c>
      <c r="K6419" t="b">
        <v>0</v>
      </c>
      <c r="L6419" t="b">
        <v>0</v>
      </c>
      <c r="M6419" t="str">
        <f>HYPERLINK("https://arizona.app.box.com/file/389262390256")</f>
        <v>https://arizona.app.box.com/file/389262390256</v>
      </c>
      <c r="N6419" t="str">
        <f>HYPERLINK("https://arizona.app.box.com/file/389162597418")</f>
        <v>https://arizona.app.box.com/file/389162597418</v>
      </c>
    </row>
    <row r="6421" spans="1:25" x14ac:dyDescent="0.2">
      <c r="A6421" s="2">
        <v>805</v>
      </c>
      <c r="B6421" s="2" t="s">
        <v>10307</v>
      </c>
      <c r="C6421" s="2" t="s">
        <v>13</v>
      </c>
      <c r="D6421" s="2" t="s">
        <v>5464</v>
      </c>
      <c r="E6421" s="2" t="s">
        <v>5465</v>
      </c>
      <c r="F6421" s="2" t="s">
        <v>31</v>
      </c>
      <c r="G6421" s="2" t="s">
        <v>17</v>
      </c>
      <c r="H6421" s="2"/>
      <c r="I6421" s="2"/>
      <c r="J6421" s="2"/>
      <c r="K6421" s="2"/>
      <c r="L6421" s="2"/>
      <c r="M6421" s="2"/>
      <c r="N6421" s="2"/>
      <c r="O6421" s="2"/>
      <c r="P6421" s="2"/>
      <c r="Q6421" s="2"/>
      <c r="R6421" s="2"/>
      <c r="S6421" s="2"/>
      <c r="T6421" s="2"/>
      <c r="U6421" s="2"/>
      <c r="V6421" s="2"/>
      <c r="W6421" s="2"/>
      <c r="X6421" s="2"/>
      <c r="Y6421" s="2"/>
    </row>
    <row r="6422" spans="1:25" x14ac:dyDescent="0.2">
      <c r="A6422">
        <v>806</v>
      </c>
      <c r="B6422" t="s">
        <v>10307</v>
      </c>
      <c r="C6422" t="s">
        <v>18</v>
      </c>
      <c r="D6422" t="s">
        <v>5464</v>
      </c>
      <c r="E6422" t="s">
        <v>5465</v>
      </c>
      <c r="F6422" t="s">
        <v>31</v>
      </c>
      <c r="G6422" t="s">
        <v>17</v>
      </c>
      <c r="J6422" t="b">
        <v>1</v>
      </c>
      <c r="K6422" t="b">
        <v>1</v>
      </c>
      <c r="L6422" t="b">
        <v>1</v>
      </c>
      <c r="M6422" t="str">
        <f>HYPERLINK("https://arizona.app.box.com/file/389161309038")</f>
        <v>https://arizona.app.box.com/file/389161309038</v>
      </c>
      <c r="N6422" t="str">
        <f>HYPERLINK("https://arizona.app.box.com/file/389135161100")</f>
        <v>https://arizona.app.box.com/file/389135161100</v>
      </c>
    </row>
    <row r="6423" spans="1:25" x14ac:dyDescent="0.2">
      <c r="A6423">
        <v>807</v>
      </c>
      <c r="B6423" t="s">
        <v>10307</v>
      </c>
      <c r="C6423" t="s">
        <v>18</v>
      </c>
      <c r="D6423" t="s">
        <v>10308</v>
      </c>
      <c r="E6423" t="s">
        <v>10309</v>
      </c>
      <c r="F6423" t="s">
        <v>31</v>
      </c>
      <c r="G6423" t="s">
        <v>17</v>
      </c>
      <c r="J6423" t="b">
        <v>1</v>
      </c>
      <c r="K6423" t="b">
        <v>1</v>
      </c>
      <c r="L6423" t="b">
        <v>1</v>
      </c>
      <c r="M6423" t="str">
        <f>HYPERLINK("https://arizona.app.box.com/file/389160988202")</f>
        <v>https://arizona.app.box.com/file/389160988202</v>
      </c>
    </row>
    <row r="6424" spans="1:25" x14ac:dyDescent="0.2">
      <c r="A6424">
        <v>808</v>
      </c>
      <c r="B6424" t="s">
        <v>10307</v>
      </c>
      <c r="C6424" t="s">
        <v>18</v>
      </c>
      <c r="D6424" t="s">
        <v>10310</v>
      </c>
      <c r="E6424" t="s">
        <v>10311</v>
      </c>
      <c r="F6424" t="s">
        <v>31</v>
      </c>
      <c r="G6424" t="s">
        <v>17</v>
      </c>
      <c r="J6424" t="b">
        <v>1</v>
      </c>
      <c r="K6424" t="b">
        <v>1</v>
      </c>
      <c r="L6424" t="b">
        <v>1</v>
      </c>
      <c r="M6424" t="str">
        <f>HYPERLINK("https://arizona.app.box.com/file/389151389128")</f>
        <v>https://arizona.app.box.com/file/389151389128</v>
      </c>
    </row>
    <row r="6425" spans="1:25" x14ac:dyDescent="0.2">
      <c r="A6425">
        <v>809</v>
      </c>
      <c r="B6425" t="s">
        <v>10307</v>
      </c>
      <c r="C6425" t="s">
        <v>18</v>
      </c>
      <c r="D6425" t="s">
        <v>10312</v>
      </c>
      <c r="E6425" t="s">
        <v>10313</v>
      </c>
      <c r="F6425" t="s">
        <v>31</v>
      </c>
      <c r="G6425" t="s">
        <v>17</v>
      </c>
      <c r="J6425" t="b">
        <v>1</v>
      </c>
      <c r="K6425" t="b">
        <v>1</v>
      </c>
      <c r="L6425" t="b">
        <v>1</v>
      </c>
      <c r="M6425" t="str">
        <f>HYPERLINK("https://arizona.app.box.com/file/389161916329")</f>
        <v>https://arizona.app.box.com/file/389161916329</v>
      </c>
    </row>
    <row r="6426" spans="1:25" x14ac:dyDescent="0.2">
      <c r="A6426">
        <v>810</v>
      </c>
      <c r="B6426" t="s">
        <v>10307</v>
      </c>
      <c r="C6426" t="s">
        <v>18</v>
      </c>
      <c r="D6426" t="s">
        <v>10314</v>
      </c>
      <c r="E6426" t="s">
        <v>10315</v>
      </c>
      <c r="F6426" t="s">
        <v>31</v>
      </c>
      <c r="G6426" t="s">
        <v>17</v>
      </c>
      <c r="J6426" t="b">
        <v>0</v>
      </c>
      <c r="K6426" t="b">
        <v>0</v>
      </c>
      <c r="L6426" t="b">
        <v>0</v>
      </c>
    </row>
    <row r="6428" spans="1:25" x14ac:dyDescent="0.2">
      <c r="A6428" s="2">
        <v>8057</v>
      </c>
      <c r="B6428" s="2" t="s">
        <v>10316</v>
      </c>
      <c r="C6428" s="2" t="s">
        <v>13</v>
      </c>
      <c r="D6428" s="2" t="s">
        <v>10317</v>
      </c>
      <c r="E6428" s="2" t="s">
        <v>10318</v>
      </c>
      <c r="F6428" s="2" t="s">
        <v>71</v>
      </c>
      <c r="G6428" s="2" t="s">
        <v>417</v>
      </c>
      <c r="H6428" s="2"/>
      <c r="I6428" s="2"/>
      <c r="J6428" s="2"/>
      <c r="K6428" s="2"/>
      <c r="L6428" s="2"/>
      <c r="M6428" s="2"/>
      <c r="N6428" s="2"/>
      <c r="O6428" s="2"/>
      <c r="P6428" s="2"/>
      <c r="Q6428" s="2"/>
      <c r="R6428" s="2"/>
      <c r="S6428" s="2"/>
      <c r="T6428" s="2"/>
      <c r="U6428" s="2"/>
      <c r="V6428" s="2"/>
      <c r="W6428" s="2"/>
      <c r="X6428" s="2"/>
      <c r="Y6428" s="2"/>
    </row>
    <row r="6429" spans="1:25" x14ac:dyDescent="0.2">
      <c r="A6429">
        <v>8058</v>
      </c>
      <c r="B6429" t="s">
        <v>10316</v>
      </c>
      <c r="C6429" t="s">
        <v>18</v>
      </c>
      <c r="D6429" t="s">
        <v>10317</v>
      </c>
      <c r="E6429" t="s">
        <v>10319</v>
      </c>
      <c r="F6429" t="s">
        <v>71</v>
      </c>
      <c r="G6429" t="s">
        <v>417</v>
      </c>
      <c r="J6429" t="b">
        <v>1</v>
      </c>
      <c r="K6429" t="b">
        <v>1</v>
      </c>
      <c r="L6429" t="b">
        <v>1</v>
      </c>
      <c r="M6429" t="str">
        <f>HYPERLINK("https://arizona.app.box.com/file/386236382496")</f>
        <v>https://arizona.app.box.com/file/386236382496</v>
      </c>
    </row>
    <row r="6430" spans="1:25" x14ac:dyDescent="0.2">
      <c r="A6430">
        <v>8059</v>
      </c>
      <c r="B6430" t="s">
        <v>10316</v>
      </c>
      <c r="C6430" t="s">
        <v>18</v>
      </c>
      <c r="D6430" t="s">
        <v>10320</v>
      </c>
      <c r="E6430" t="s">
        <v>119</v>
      </c>
      <c r="F6430" t="s">
        <v>71</v>
      </c>
      <c r="G6430" t="s">
        <v>417</v>
      </c>
      <c r="J6430" t="b">
        <v>1</v>
      </c>
      <c r="K6430" t="b">
        <v>1</v>
      </c>
      <c r="L6430" t="b">
        <v>1</v>
      </c>
      <c r="M6430" t="str">
        <f>HYPERLINK("https://arizona.app.box.com/file/386247681261")</f>
        <v>https://arizona.app.box.com/file/386247681261</v>
      </c>
    </row>
    <row r="6431" spans="1:25" x14ac:dyDescent="0.2">
      <c r="A6431">
        <v>8060</v>
      </c>
      <c r="B6431" t="s">
        <v>10316</v>
      </c>
      <c r="C6431" t="s">
        <v>18</v>
      </c>
      <c r="D6431" t="s">
        <v>10321</v>
      </c>
      <c r="E6431" t="s">
        <v>10322</v>
      </c>
      <c r="F6431" t="s">
        <v>71</v>
      </c>
      <c r="G6431" t="s">
        <v>502</v>
      </c>
      <c r="J6431" t="b">
        <v>0</v>
      </c>
      <c r="K6431" t="b">
        <v>0</v>
      </c>
      <c r="L6431" t="b">
        <v>0</v>
      </c>
    </row>
    <row r="6432" spans="1:25" x14ac:dyDescent="0.2">
      <c r="A6432">
        <v>8061</v>
      </c>
      <c r="B6432" t="s">
        <v>10316</v>
      </c>
      <c r="C6432" t="s">
        <v>18</v>
      </c>
      <c r="D6432" t="s">
        <v>10323</v>
      </c>
      <c r="E6432" t="s">
        <v>10324</v>
      </c>
      <c r="F6432" t="s">
        <v>71</v>
      </c>
      <c r="G6432" t="s">
        <v>62</v>
      </c>
      <c r="J6432" t="b">
        <v>0</v>
      </c>
      <c r="K6432" t="b">
        <v>0</v>
      </c>
      <c r="L6432" t="b">
        <v>0</v>
      </c>
      <c r="M6432" t="str">
        <f>HYPERLINK("https://arizona.app.box.com/file/386244273362")</f>
        <v>https://arizona.app.box.com/file/386244273362</v>
      </c>
    </row>
    <row r="6433" spans="1:25" x14ac:dyDescent="0.2">
      <c r="A6433">
        <v>8062</v>
      </c>
      <c r="B6433" t="s">
        <v>10316</v>
      </c>
      <c r="C6433" t="s">
        <v>18</v>
      </c>
      <c r="D6433" t="s">
        <v>10325</v>
      </c>
      <c r="E6433" t="s">
        <v>10326</v>
      </c>
      <c r="F6433" t="s">
        <v>71</v>
      </c>
      <c r="G6433" t="s">
        <v>62</v>
      </c>
      <c r="J6433" t="b">
        <v>0</v>
      </c>
      <c r="K6433" t="b">
        <v>0</v>
      </c>
      <c r="L6433" t="b">
        <v>0</v>
      </c>
      <c r="M6433" t="str">
        <f>HYPERLINK("https://arizona.app.box.com/file/386244364305")</f>
        <v>https://arizona.app.box.com/file/386244364305</v>
      </c>
    </row>
    <row r="6435" spans="1:25" x14ac:dyDescent="0.2">
      <c r="A6435" s="2">
        <v>8085</v>
      </c>
      <c r="B6435" s="2" t="s">
        <v>10327</v>
      </c>
      <c r="C6435" s="2" t="s">
        <v>13</v>
      </c>
      <c r="D6435" s="2" t="s">
        <v>10328</v>
      </c>
      <c r="E6435" s="2" t="s">
        <v>10329</v>
      </c>
      <c r="F6435" s="2" t="s">
        <v>574</v>
      </c>
      <c r="G6435" s="2" t="s">
        <v>7782</v>
      </c>
      <c r="H6435" s="2"/>
      <c r="I6435" s="2"/>
      <c r="J6435" s="2"/>
      <c r="K6435" s="2"/>
      <c r="L6435" s="2"/>
      <c r="M6435" s="2"/>
      <c r="N6435" s="2"/>
      <c r="O6435" s="2"/>
      <c r="P6435" s="2"/>
      <c r="Q6435" s="2"/>
      <c r="R6435" s="2"/>
      <c r="S6435" s="2"/>
      <c r="T6435" s="2"/>
      <c r="U6435" s="2"/>
      <c r="V6435" s="2"/>
      <c r="W6435" s="2"/>
      <c r="X6435" s="2"/>
      <c r="Y6435" s="2"/>
    </row>
    <row r="6436" spans="1:25" x14ac:dyDescent="0.2">
      <c r="A6436">
        <v>8086</v>
      </c>
      <c r="B6436" t="s">
        <v>10327</v>
      </c>
      <c r="C6436" t="s">
        <v>18</v>
      </c>
      <c r="D6436" t="s">
        <v>10328</v>
      </c>
      <c r="E6436" t="s">
        <v>10329</v>
      </c>
      <c r="F6436" t="s">
        <v>574</v>
      </c>
      <c r="G6436" t="s">
        <v>7783</v>
      </c>
      <c r="J6436" t="b">
        <v>1</v>
      </c>
      <c r="K6436" t="b">
        <v>1</v>
      </c>
      <c r="L6436" t="b">
        <v>1</v>
      </c>
      <c r="M6436" t="str">
        <f>HYPERLINK("https://arizona.app.box.com/file/386218303547")</f>
        <v>https://arizona.app.box.com/file/386218303547</v>
      </c>
      <c r="N6436" t="str">
        <f>HYPERLINK("https://arizona.app.box.com/file/386234709340")</f>
        <v>https://arizona.app.box.com/file/386234709340</v>
      </c>
    </row>
    <row r="6437" spans="1:25" x14ac:dyDescent="0.2">
      <c r="A6437">
        <v>8087</v>
      </c>
      <c r="B6437" t="s">
        <v>10327</v>
      </c>
      <c r="C6437" t="s">
        <v>18</v>
      </c>
      <c r="D6437" t="s">
        <v>10330</v>
      </c>
      <c r="E6437" t="s">
        <v>10331</v>
      </c>
      <c r="F6437" t="s">
        <v>574</v>
      </c>
      <c r="G6437" t="s">
        <v>32</v>
      </c>
      <c r="J6437" t="b">
        <v>0</v>
      </c>
      <c r="K6437" t="b">
        <v>0</v>
      </c>
      <c r="L6437" t="b">
        <v>0</v>
      </c>
      <c r="M6437" t="str">
        <f>HYPERLINK("https://arizona.app.box.com/file/386217262815")</f>
        <v>https://arizona.app.box.com/file/386217262815</v>
      </c>
    </row>
    <row r="6438" spans="1:25" x14ac:dyDescent="0.2">
      <c r="A6438">
        <v>8088</v>
      </c>
      <c r="B6438" t="s">
        <v>10327</v>
      </c>
      <c r="C6438" t="s">
        <v>18</v>
      </c>
      <c r="D6438" t="s">
        <v>10332</v>
      </c>
      <c r="E6438" t="s">
        <v>10333</v>
      </c>
      <c r="F6438" t="s">
        <v>574</v>
      </c>
      <c r="G6438" t="s">
        <v>32</v>
      </c>
      <c r="J6438" t="b">
        <v>0</v>
      </c>
      <c r="K6438" t="b">
        <v>0</v>
      </c>
      <c r="L6438" t="b">
        <v>0</v>
      </c>
      <c r="M6438" t="str">
        <f>HYPERLINK("https://arizona.app.box.com/file/386241911484")</f>
        <v>https://arizona.app.box.com/file/386241911484</v>
      </c>
    </row>
    <row r="6439" spans="1:25" x14ac:dyDescent="0.2">
      <c r="A6439">
        <v>8089</v>
      </c>
      <c r="B6439" t="s">
        <v>10327</v>
      </c>
      <c r="C6439" t="s">
        <v>18</v>
      </c>
      <c r="D6439" t="s">
        <v>10334</v>
      </c>
      <c r="E6439" t="s">
        <v>10335</v>
      </c>
      <c r="F6439" t="s">
        <v>82</v>
      </c>
      <c r="G6439" t="s">
        <v>32</v>
      </c>
      <c r="J6439" t="b">
        <v>0</v>
      </c>
      <c r="K6439" t="b">
        <v>0</v>
      </c>
      <c r="L6439" t="b">
        <v>0</v>
      </c>
    </row>
    <row r="6440" spans="1:25" x14ac:dyDescent="0.2">
      <c r="A6440">
        <v>8090</v>
      </c>
      <c r="B6440" t="s">
        <v>10327</v>
      </c>
      <c r="C6440" t="s">
        <v>18</v>
      </c>
      <c r="D6440" t="s">
        <v>10336</v>
      </c>
      <c r="E6440" t="s">
        <v>10337</v>
      </c>
      <c r="F6440" t="s">
        <v>1837</v>
      </c>
      <c r="G6440" t="s">
        <v>7783</v>
      </c>
      <c r="J6440" t="b">
        <v>0</v>
      </c>
      <c r="K6440" t="b">
        <v>0</v>
      </c>
      <c r="L6440" t="b">
        <v>0</v>
      </c>
      <c r="M6440" t="str">
        <f>HYPERLINK("https://arizona.app.box.com/file/386229808209")</f>
        <v>https://arizona.app.box.com/file/386229808209</v>
      </c>
      <c r="N6440" t="str">
        <f>HYPERLINK("https://arizona.app.box.com/file/386241113911")</f>
        <v>https://arizona.app.box.com/file/386241113911</v>
      </c>
    </row>
    <row r="6442" spans="1:25" x14ac:dyDescent="0.2">
      <c r="A6442" s="2">
        <v>8106</v>
      </c>
      <c r="B6442" s="2" t="s">
        <v>10338</v>
      </c>
      <c r="C6442" s="2" t="s">
        <v>13</v>
      </c>
      <c r="D6442" s="2" t="s">
        <v>10339</v>
      </c>
      <c r="E6442" s="2" t="s">
        <v>10340</v>
      </c>
      <c r="F6442" s="2" t="s">
        <v>78</v>
      </c>
      <c r="G6442" s="2" t="s">
        <v>252</v>
      </c>
      <c r="H6442" s="2"/>
      <c r="I6442" s="2"/>
      <c r="J6442" s="2"/>
      <c r="K6442" s="2"/>
      <c r="L6442" s="2"/>
      <c r="M6442" s="2"/>
      <c r="N6442" s="2"/>
      <c r="O6442" s="2"/>
      <c r="P6442" s="2"/>
      <c r="Q6442" s="2"/>
      <c r="R6442" s="2"/>
      <c r="S6442" s="2"/>
      <c r="T6442" s="2"/>
      <c r="U6442" s="2"/>
      <c r="V6442" s="2"/>
      <c r="W6442" s="2"/>
      <c r="X6442" s="2"/>
      <c r="Y6442" s="2"/>
    </row>
    <row r="6443" spans="1:25" x14ac:dyDescent="0.2">
      <c r="A6443">
        <v>8107</v>
      </c>
      <c r="B6443" t="s">
        <v>10338</v>
      </c>
      <c r="C6443" t="s">
        <v>18</v>
      </c>
      <c r="D6443" t="s">
        <v>10339</v>
      </c>
      <c r="E6443" t="s">
        <v>10340</v>
      </c>
      <c r="F6443" t="s">
        <v>78</v>
      </c>
      <c r="G6443" t="s">
        <v>252</v>
      </c>
      <c r="J6443" t="b">
        <v>1</v>
      </c>
      <c r="K6443" t="b">
        <v>1</v>
      </c>
      <c r="L6443" t="b">
        <v>1</v>
      </c>
      <c r="M6443" t="str">
        <f>HYPERLINK("https://arizona.app.box.com/file/386240244968")</f>
        <v>https://arizona.app.box.com/file/386240244968</v>
      </c>
      <c r="N6443" t="str">
        <f>HYPERLINK("https://arizona.app.box.com/file/386241113911")</f>
        <v>https://arizona.app.box.com/file/386241113911</v>
      </c>
    </row>
    <row r="6444" spans="1:25" x14ac:dyDescent="0.2">
      <c r="A6444">
        <v>8108</v>
      </c>
      <c r="B6444" t="s">
        <v>10338</v>
      </c>
      <c r="C6444" t="s">
        <v>18</v>
      </c>
      <c r="D6444" t="s">
        <v>395</v>
      </c>
      <c r="E6444" t="s">
        <v>396</v>
      </c>
      <c r="F6444" t="s">
        <v>78</v>
      </c>
      <c r="G6444" t="s">
        <v>252</v>
      </c>
      <c r="J6444" t="b">
        <v>0</v>
      </c>
      <c r="K6444" t="b">
        <v>0</v>
      </c>
      <c r="L6444" t="b">
        <v>0</v>
      </c>
    </row>
    <row r="6445" spans="1:25" x14ac:dyDescent="0.2">
      <c r="A6445">
        <v>8109</v>
      </c>
      <c r="B6445" t="s">
        <v>10338</v>
      </c>
      <c r="C6445" t="s">
        <v>18</v>
      </c>
      <c r="D6445" t="s">
        <v>10341</v>
      </c>
      <c r="E6445" t="s">
        <v>10342</v>
      </c>
      <c r="F6445" t="s">
        <v>78</v>
      </c>
      <c r="G6445" t="s">
        <v>252</v>
      </c>
      <c r="J6445" t="b">
        <v>0</v>
      </c>
      <c r="K6445" t="b">
        <v>0</v>
      </c>
      <c r="L6445" t="b">
        <v>0</v>
      </c>
      <c r="M6445" t="str">
        <f>HYPERLINK("https://arizona.app.box.com/file/386230389814")</f>
        <v>https://arizona.app.box.com/file/386230389814</v>
      </c>
    </row>
    <row r="6446" spans="1:25" x14ac:dyDescent="0.2">
      <c r="A6446">
        <v>8110</v>
      </c>
      <c r="B6446" t="s">
        <v>10338</v>
      </c>
      <c r="C6446" t="s">
        <v>18</v>
      </c>
      <c r="D6446" t="s">
        <v>10343</v>
      </c>
      <c r="E6446" t="s">
        <v>10344</v>
      </c>
      <c r="F6446" t="s">
        <v>78</v>
      </c>
      <c r="G6446" t="s">
        <v>252</v>
      </c>
      <c r="J6446" t="b">
        <v>0</v>
      </c>
      <c r="K6446" t="b">
        <v>0</v>
      </c>
      <c r="L6446" t="b">
        <v>0</v>
      </c>
    </row>
    <row r="6447" spans="1:25" x14ac:dyDescent="0.2">
      <c r="A6447">
        <v>8111</v>
      </c>
      <c r="B6447" t="s">
        <v>10338</v>
      </c>
      <c r="C6447" t="s">
        <v>18</v>
      </c>
      <c r="D6447" t="s">
        <v>10345</v>
      </c>
      <c r="E6447" t="s">
        <v>10346</v>
      </c>
      <c r="F6447" t="s">
        <v>78</v>
      </c>
      <c r="G6447" t="s">
        <v>252</v>
      </c>
      <c r="J6447" t="b">
        <v>0</v>
      </c>
      <c r="K6447" t="b">
        <v>0</v>
      </c>
      <c r="L6447" t="b">
        <v>0</v>
      </c>
      <c r="M6447" t="str">
        <f>HYPERLINK("https://arizona.app.box.com/file/386230611572")</f>
        <v>https://arizona.app.box.com/file/386230611572</v>
      </c>
    </row>
    <row r="6449" spans="1:25" x14ac:dyDescent="0.2">
      <c r="A6449" s="2">
        <v>8120</v>
      </c>
      <c r="B6449" s="2" t="s">
        <v>10347</v>
      </c>
      <c r="C6449" s="2" t="s">
        <v>13</v>
      </c>
      <c r="D6449" s="2" t="s">
        <v>10348</v>
      </c>
      <c r="E6449" s="2" t="s">
        <v>10349</v>
      </c>
      <c r="F6449" s="2" t="s">
        <v>264</v>
      </c>
      <c r="G6449" s="2" t="s">
        <v>62</v>
      </c>
      <c r="H6449" s="2"/>
      <c r="I6449" s="2"/>
      <c r="J6449" s="2"/>
      <c r="K6449" s="2"/>
      <c r="L6449" s="2"/>
      <c r="M6449" s="2"/>
      <c r="N6449" s="2"/>
      <c r="O6449" s="2"/>
      <c r="P6449" s="2"/>
      <c r="Q6449" s="2"/>
      <c r="R6449" s="2"/>
      <c r="S6449" s="2"/>
      <c r="T6449" s="2"/>
      <c r="U6449" s="2"/>
      <c r="V6449" s="2"/>
      <c r="W6449" s="2"/>
      <c r="X6449" s="2"/>
      <c r="Y6449" s="2"/>
    </row>
    <row r="6450" spans="1:25" x14ac:dyDescent="0.2">
      <c r="A6450">
        <v>8121</v>
      </c>
      <c r="B6450" t="s">
        <v>10347</v>
      </c>
      <c r="C6450" t="s">
        <v>18</v>
      </c>
      <c r="D6450" t="s">
        <v>9569</v>
      </c>
      <c r="E6450" t="s">
        <v>9570</v>
      </c>
      <c r="F6450" t="s">
        <v>264</v>
      </c>
      <c r="G6450" t="s">
        <v>62</v>
      </c>
      <c r="J6450" t="b">
        <v>1</v>
      </c>
      <c r="K6450" t="b">
        <v>1</v>
      </c>
      <c r="L6450" t="b">
        <v>1</v>
      </c>
      <c r="M6450" t="str">
        <f>HYPERLINK("https://arizona.app.box.com/file/386242799587")</f>
        <v>https://arizona.app.box.com/file/386242799587</v>
      </c>
    </row>
    <row r="6451" spans="1:25" x14ac:dyDescent="0.2">
      <c r="A6451">
        <v>8122</v>
      </c>
      <c r="B6451" t="s">
        <v>10347</v>
      </c>
      <c r="C6451" t="s">
        <v>18</v>
      </c>
      <c r="D6451" t="s">
        <v>9571</v>
      </c>
      <c r="E6451" t="s">
        <v>9572</v>
      </c>
      <c r="F6451" t="s">
        <v>264</v>
      </c>
      <c r="G6451" t="s">
        <v>62</v>
      </c>
      <c r="J6451" t="b">
        <v>1</v>
      </c>
      <c r="K6451" t="b">
        <v>1</v>
      </c>
      <c r="L6451" t="b">
        <v>1</v>
      </c>
      <c r="M6451" t="str">
        <f>HYPERLINK("https://arizona.app.box.com/file/386214561612")</f>
        <v>https://arizona.app.box.com/file/386214561612</v>
      </c>
    </row>
    <row r="6452" spans="1:25" x14ac:dyDescent="0.2">
      <c r="A6452">
        <v>8123</v>
      </c>
      <c r="B6452" t="s">
        <v>10347</v>
      </c>
      <c r="C6452" t="s">
        <v>18</v>
      </c>
      <c r="D6452" t="s">
        <v>9573</v>
      </c>
      <c r="E6452" t="s">
        <v>7046</v>
      </c>
      <c r="F6452" t="s">
        <v>264</v>
      </c>
      <c r="G6452" t="s">
        <v>62</v>
      </c>
      <c r="J6452" t="b">
        <v>1</v>
      </c>
      <c r="K6452" t="b">
        <v>1</v>
      </c>
      <c r="L6452" t="b">
        <v>1</v>
      </c>
      <c r="M6452" t="str">
        <f>HYPERLINK("https://arizona.app.box.com/file/386240814049")</f>
        <v>https://arizona.app.box.com/file/386240814049</v>
      </c>
    </row>
    <row r="6453" spans="1:25" x14ac:dyDescent="0.2">
      <c r="A6453">
        <v>8124</v>
      </c>
      <c r="B6453" t="s">
        <v>10347</v>
      </c>
      <c r="C6453" t="s">
        <v>18</v>
      </c>
      <c r="D6453" t="s">
        <v>10350</v>
      </c>
      <c r="E6453" t="s">
        <v>10351</v>
      </c>
      <c r="F6453" t="s">
        <v>264</v>
      </c>
      <c r="G6453" t="s">
        <v>62</v>
      </c>
      <c r="J6453" t="b">
        <v>0</v>
      </c>
      <c r="K6453" t="b">
        <v>0</v>
      </c>
      <c r="L6453" t="b">
        <v>0</v>
      </c>
      <c r="M6453" t="str">
        <f>HYPERLINK("https://arizona.app.box.com/file/386241113714")</f>
        <v>https://arizona.app.box.com/file/386241113714</v>
      </c>
      <c r="N6453" t="str">
        <f>HYPERLINK("https://arizona.app.box.com/file/386252892895")</f>
        <v>https://arizona.app.box.com/file/386252892895</v>
      </c>
    </row>
    <row r="6454" spans="1:25" x14ac:dyDescent="0.2">
      <c r="A6454">
        <v>8125</v>
      </c>
      <c r="B6454" t="s">
        <v>10347</v>
      </c>
      <c r="C6454" t="s">
        <v>18</v>
      </c>
      <c r="D6454" t="s">
        <v>10254</v>
      </c>
      <c r="E6454" t="s">
        <v>10255</v>
      </c>
      <c r="F6454" t="s">
        <v>196</v>
      </c>
      <c r="G6454" t="s">
        <v>62</v>
      </c>
      <c r="J6454" t="b">
        <v>0</v>
      </c>
      <c r="K6454" t="b">
        <v>0</v>
      </c>
      <c r="L6454" t="b">
        <v>0</v>
      </c>
    </row>
    <row r="6456" spans="1:25" x14ac:dyDescent="0.2">
      <c r="A6456" s="2">
        <v>861</v>
      </c>
      <c r="B6456" s="2" t="s">
        <v>10352</v>
      </c>
      <c r="C6456" s="2" t="s">
        <v>13</v>
      </c>
      <c r="D6456" s="2" t="s">
        <v>10353</v>
      </c>
      <c r="E6456" s="2" t="s">
        <v>10354</v>
      </c>
      <c r="F6456" s="2" t="s">
        <v>31</v>
      </c>
      <c r="G6456" s="2" t="s">
        <v>17</v>
      </c>
      <c r="H6456" s="2"/>
      <c r="I6456" s="2"/>
      <c r="J6456" s="2"/>
      <c r="K6456" s="2"/>
      <c r="L6456" s="2"/>
      <c r="M6456" s="2"/>
      <c r="N6456" s="2"/>
      <c r="O6456" s="2"/>
      <c r="P6456" s="2"/>
      <c r="Q6456" s="2"/>
      <c r="R6456" s="2"/>
      <c r="S6456" s="2"/>
      <c r="T6456" s="2"/>
      <c r="U6456" s="2"/>
      <c r="V6456" s="2"/>
      <c r="W6456" s="2"/>
      <c r="X6456" s="2"/>
      <c r="Y6456" s="2"/>
    </row>
    <row r="6457" spans="1:25" x14ac:dyDescent="0.2">
      <c r="A6457">
        <v>862</v>
      </c>
      <c r="B6457" t="s">
        <v>10352</v>
      </c>
      <c r="C6457" t="s">
        <v>18</v>
      </c>
      <c r="D6457" t="s">
        <v>10353</v>
      </c>
      <c r="E6457" t="s">
        <v>10354</v>
      </c>
      <c r="F6457" t="s">
        <v>31</v>
      </c>
      <c r="G6457" t="s">
        <v>17</v>
      </c>
      <c r="J6457" t="b">
        <v>1</v>
      </c>
      <c r="K6457" t="b">
        <v>1</v>
      </c>
      <c r="L6457" t="b">
        <v>1</v>
      </c>
      <c r="M6457" t="str">
        <f>HYPERLINK("https://arizona.app.box.com/file/389264532105")</f>
        <v>https://arizona.app.box.com/file/389264532105</v>
      </c>
      <c r="N6457" t="str">
        <f>HYPERLINK("https://arizona.app.box.com/file/389166628868")</f>
        <v>https://arizona.app.box.com/file/389166628868</v>
      </c>
      <c r="O6457" t="str">
        <f>HYPERLINK("https://arizona.app.box.com/file/389263689703")</f>
        <v>https://arizona.app.box.com/file/389263689703</v>
      </c>
      <c r="P6457" t="str">
        <f>HYPERLINK("https://arizona.app.box.com/file/389165439739")</f>
        <v>https://arizona.app.box.com/file/389165439739</v>
      </c>
    </row>
    <row r="6458" spans="1:25" x14ac:dyDescent="0.2">
      <c r="A6458">
        <v>863</v>
      </c>
      <c r="B6458" t="s">
        <v>10352</v>
      </c>
      <c r="C6458" t="s">
        <v>18</v>
      </c>
      <c r="D6458" t="s">
        <v>10355</v>
      </c>
      <c r="E6458" t="s">
        <v>10356</v>
      </c>
      <c r="F6458" t="s">
        <v>23</v>
      </c>
      <c r="G6458" t="s">
        <v>17</v>
      </c>
      <c r="J6458" t="b">
        <v>0</v>
      </c>
      <c r="K6458" t="b">
        <v>0</v>
      </c>
      <c r="L6458" t="b">
        <v>0</v>
      </c>
      <c r="M6458" t="str">
        <f>HYPERLINK("https://arizona.app.box.com/file/389137519288")</f>
        <v>https://arizona.app.box.com/file/389137519288</v>
      </c>
      <c r="N6458" t="str">
        <f>HYPERLINK("https://arizona.app.box.com/file/389164926778")</f>
        <v>https://arizona.app.box.com/file/389164926778</v>
      </c>
    </row>
    <row r="6459" spans="1:25" x14ac:dyDescent="0.2">
      <c r="A6459">
        <v>864</v>
      </c>
      <c r="B6459" t="s">
        <v>10352</v>
      </c>
      <c r="C6459" t="s">
        <v>18</v>
      </c>
      <c r="D6459" t="s">
        <v>10357</v>
      </c>
      <c r="E6459" t="s">
        <v>10358</v>
      </c>
      <c r="F6459" t="s">
        <v>654</v>
      </c>
      <c r="G6459" t="s">
        <v>88</v>
      </c>
      <c r="J6459" t="b">
        <v>0</v>
      </c>
      <c r="K6459" t="b">
        <v>0</v>
      </c>
      <c r="L6459" t="b">
        <v>0</v>
      </c>
    </row>
    <row r="6460" spans="1:25" x14ac:dyDescent="0.2">
      <c r="A6460">
        <v>865</v>
      </c>
      <c r="B6460" t="s">
        <v>10352</v>
      </c>
      <c r="C6460" t="s">
        <v>18</v>
      </c>
      <c r="D6460" t="s">
        <v>1618</v>
      </c>
      <c r="E6460" t="s">
        <v>1619</v>
      </c>
      <c r="F6460" t="s">
        <v>31</v>
      </c>
      <c r="G6460" t="s">
        <v>17</v>
      </c>
      <c r="J6460" t="b">
        <v>0</v>
      </c>
      <c r="K6460" t="b">
        <v>0</v>
      </c>
      <c r="L6460" t="b">
        <v>0</v>
      </c>
      <c r="M6460" t="str">
        <f>HYPERLINK("https://arizona.app.box.com/file/389260456445")</f>
        <v>https://arizona.app.box.com/file/389260456445</v>
      </c>
      <c r="N6460" t="str">
        <f>HYPERLINK("https://arizona.app.box.com/file/389169107956")</f>
        <v>https://arizona.app.box.com/file/389169107956</v>
      </c>
      <c r="O6460" t="str">
        <f>HYPERLINK("https://arizona.app.box.com/file/389255876241")</f>
        <v>https://arizona.app.box.com/file/389255876241</v>
      </c>
    </row>
    <row r="6461" spans="1:25" x14ac:dyDescent="0.2">
      <c r="A6461">
        <v>866</v>
      </c>
      <c r="B6461" t="s">
        <v>10352</v>
      </c>
      <c r="C6461" t="s">
        <v>18</v>
      </c>
      <c r="D6461" t="s">
        <v>1623</v>
      </c>
      <c r="E6461" t="s">
        <v>1624</v>
      </c>
      <c r="F6461" t="s">
        <v>78</v>
      </c>
      <c r="G6461" t="s">
        <v>88</v>
      </c>
      <c r="J6461" t="b">
        <v>0</v>
      </c>
      <c r="K6461" t="b">
        <v>0</v>
      </c>
      <c r="L6461" t="b">
        <v>0</v>
      </c>
      <c r="M6461" t="str">
        <f>HYPERLINK("https://arizona.app.box.com/file/389255419801")</f>
        <v>https://arizona.app.box.com/file/389255419801</v>
      </c>
      <c r="N6461" t="str">
        <f>HYPERLINK("https://arizona.app.box.com/file/389163324978")</f>
        <v>https://arizona.app.box.com/file/389163324978</v>
      </c>
      <c r="O6461" t="str">
        <f>HYPERLINK("https://arizona.app.box.com/file/389170626893")</f>
        <v>https://arizona.app.box.com/file/389170626893</v>
      </c>
      <c r="P6461" t="str">
        <f>HYPERLINK("https://arizona.app.box.com/file/386238294339")</f>
        <v>https://arizona.app.box.com/file/386238294339</v>
      </c>
    </row>
    <row r="6463" spans="1:25" x14ac:dyDescent="0.2">
      <c r="A6463" s="2">
        <v>882</v>
      </c>
      <c r="B6463" s="2" t="s">
        <v>10359</v>
      </c>
      <c r="C6463" s="2" t="s">
        <v>13</v>
      </c>
      <c r="D6463" s="2" t="s">
        <v>10360</v>
      </c>
      <c r="E6463" s="2" t="s">
        <v>10361</v>
      </c>
      <c r="F6463" s="2" t="s">
        <v>369</v>
      </c>
      <c r="G6463" s="2" t="s">
        <v>24</v>
      </c>
      <c r="H6463" s="2"/>
      <c r="I6463" s="2"/>
      <c r="J6463" s="2"/>
      <c r="K6463" s="2"/>
      <c r="L6463" s="2"/>
      <c r="M6463" s="2"/>
      <c r="N6463" s="2"/>
      <c r="O6463" s="2"/>
      <c r="P6463" s="2"/>
      <c r="Q6463" s="2"/>
      <c r="R6463" s="2"/>
      <c r="S6463" s="2"/>
      <c r="T6463" s="2"/>
      <c r="U6463" s="2"/>
      <c r="V6463" s="2"/>
      <c r="W6463" s="2"/>
      <c r="X6463" s="2"/>
      <c r="Y6463" s="2"/>
    </row>
    <row r="6464" spans="1:25" x14ac:dyDescent="0.2">
      <c r="A6464">
        <v>883</v>
      </c>
      <c r="B6464" t="s">
        <v>10359</v>
      </c>
      <c r="C6464" t="s">
        <v>18</v>
      </c>
      <c r="D6464" t="s">
        <v>10360</v>
      </c>
      <c r="E6464" t="s">
        <v>2408</v>
      </c>
      <c r="F6464" t="s">
        <v>369</v>
      </c>
      <c r="G6464" t="s">
        <v>24</v>
      </c>
      <c r="J6464" t="b">
        <v>1</v>
      </c>
      <c r="K6464" t="b">
        <v>1</v>
      </c>
      <c r="L6464" t="b">
        <v>1</v>
      </c>
      <c r="M6464" t="str">
        <f>HYPERLINK("https://arizona.app.box.com/file/389268982675")</f>
        <v>https://arizona.app.box.com/file/389268982675</v>
      </c>
      <c r="N6464" t="str">
        <f>HYPERLINK("https://arizona.app.box.com/file/389163265802")</f>
        <v>https://arizona.app.box.com/file/389163265802</v>
      </c>
    </row>
    <row r="6465" spans="1:25" x14ac:dyDescent="0.2">
      <c r="A6465">
        <v>884</v>
      </c>
      <c r="B6465" t="s">
        <v>10359</v>
      </c>
      <c r="C6465" t="s">
        <v>18</v>
      </c>
      <c r="D6465" t="s">
        <v>10362</v>
      </c>
      <c r="E6465" t="s">
        <v>10363</v>
      </c>
      <c r="F6465" t="s">
        <v>122</v>
      </c>
      <c r="G6465" t="s">
        <v>17</v>
      </c>
      <c r="J6465" t="b">
        <v>0</v>
      </c>
      <c r="K6465" t="b">
        <v>0</v>
      </c>
      <c r="L6465" t="b">
        <v>0</v>
      </c>
      <c r="M6465" t="str">
        <f>HYPERLINK("https://arizona.app.box.com/file/389152006040")</f>
        <v>https://arizona.app.box.com/file/389152006040</v>
      </c>
      <c r="N6465" t="str">
        <f>HYPERLINK("https://arizona.app.box.com/file/389263949195")</f>
        <v>https://arizona.app.box.com/file/389263949195</v>
      </c>
      <c r="O6465" t="str">
        <f>HYPERLINK("https://arizona.app.box.com/file/389150692951")</f>
        <v>https://arizona.app.box.com/file/389150692951</v>
      </c>
    </row>
    <row r="6466" spans="1:25" x14ac:dyDescent="0.2">
      <c r="A6466">
        <v>885</v>
      </c>
      <c r="B6466" t="s">
        <v>10359</v>
      </c>
      <c r="C6466" t="s">
        <v>18</v>
      </c>
      <c r="D6466" t="s">
        <v>8688</v>
      </c>
      <c r="E6466" t="s">
        <v>8689</v>
      </c>
      <c r="F6466" t="s">
        <v>574</v>
      </c>
      <c r="G6466" t="s">
        <v>193</v>
      </c>
      <c r="J6466" t="b">
        <v>0</v>
      </c>
      <c r="K6466" t="b">
        <v>0</v>
      </c>
      <c r="L6466" t="b">
        <v>0</v>
      </c>
      <c r="M6466" t="str">
        <f>HYPERLINK("https://arizona.app.box.com/file/389170047213")</f>
        <v>https://arizona.app.box.com/file/389170047213</v>
      </c>
      <c r="N6466" t="str">
        <f>HYPERLINK("https://arizona.app.box.com/file/386213342269")</f>
        <v>https://arizona.app.box.com/file/386213342269</v>
      </c>
      <c r="O6466" t="str">
        <f>HYPERLINK("https://arizona.app.box.com/file/389172255887")</f>
        <v>https://arizona.app.box.com/file/389172255887</v>
      </c>
      <c r="P6466" t="str">
        <f>HYPERLINK("https://arizona.app.box.com/file/386243005832")</f>
        <v>https://arizona.app.box.com/file/386243005832</v>
      </c>
    </row>
    <row r="6467" spans="1:25" x14ac:dyDescent="0.2">
      <c r="A6467">
        <v>886</v>
      </c>
      <c r="B6467" t="s">
        <v>10359</v>
      </c>
      <c r="C6467" t="s">
        <v>18</v>
      </c>
      <c r="D6467" t="s">
        <v>10364</v>
      </c>
      <c r="E6467" t="s">
        <v>10365</v>
      </c>
      <c r="F6467" t="s">
        <v>369</v>
      </c>
      <c r="G6467" t="s">
        <v>17</v>
      </c>
      <c r="J6467" t="b">
        <v>0</v>
      </c>
      <c r="K6467" t="b">
        <v>0</v>
      </c>
      <c r="L6467" t="b">
        <v>0</v>
      </c>
      <c r="M6467" t="str">
        <f>HYPERLINK("https://arizona.app.box.com/file/389165836327")</f>
        <v>https://arizona.app.box.com/file/389165836327</v>
      </c>
      <c r="N6467" t="str">
        <f>HYPERLINK("https://arizona.app.box.com/file/389152508385")</f>
        <v>https://arizona.app.box.com/file/389152508385</v>
      </c>
    </row>
    <row r="6468" spans="1:25" x14ac:dyDescent="0.2">
      <c r="A6468">
        <v>887</v>
      </c>
      <c r="B6468" t="s">
        <v>10359</v>
      </c>
      <c r="C6468" t="s">
        <v>18</v>
      </c>
      <c r="D6468" t="s">
        <v>10366</v>
      </c>
      <c r="E6468" t="s">
        <v>10367</v>
      </c>
      <c r="F6468" t="s">
        <v>23</v>
      </c>
      <c r="G6468" t="s">
        <v>17</v>
      </c>
      <c r="J6468" t="b">
        <v>0</v>
      </c>
      <c r="K6468" t="b">
        <v>0</v>
      </c>
      <c r="L6468" t="b">
        <v>0</v>
      </c>
      <c r="M6468" t="str">
        <f>HYPERLINK("https://arizona.app.box.com/file/389151767622")</f>
        <v>https://arizona.app.box.com/file/389151767622</v>
      </c>
      <c r="N6468" t="str">
        <f>HYPERLINK("https://arizona.app.box.com/file/389135420460")</f>
        <v>https://arizona.app.box.com/file/389135420460</v>
      </c>
    </row>
    <row r="6470" spans="1:25" x14ac:dyDescent="0.2">
      <c r="A6470" s="2">
        <v>889</v>
      </c>
      <c r="B6470" s="2" t="s">
        <v>10368</v>
      </c>
      <c r="C6470" s="2" t="s">
        <v>13</v>
      </c>
      <c r="D6470" s="2" t="s">
        <v>8688</v>
      </c>
      <c r="E6470" s="2" t="s">
        <v>10369</v>
      </c>
      <c r="F6470" s="2" t="s">
        <v>574</v>
      </c>
      <c r="G6470" s="2" t="s">
        <v>193</v>
      </c>
      <c r="H6470" s="2"/>
      <c r="I6470" s="2"/>
      <c r="J6470" s="2"/>
      <c r="K6470" s="2"/>
      <c r="L6470" s="2"/>
      <c r="M6470" s="2"/>
      <c r="N6470" s="2"/>
      <c r="O6470" s="2"/>
      <c r="P6470" s="2"/>
      <c r="Q6470" s="2"/>
      <c r="R6470" s="2"/>
      <c r="S6470" s="2"/>
      <c r="T6470" s="2"/>
      <c r="U6470" s="2"/>
      <c r="V6470" s="2"/>
      <c r="W6470" s="2"/>
      <c r="X6470" s="2"/>
      <c r="Y6470" s="2"/>
    </row>
    <row r="6471" spans="1:25" x14ac:dyDescent="0.2">
      <c r="A6471">
        <v>890</v>
      </c>
      <c r="B6471" t="s">
        <v>10368</v>
      </c>
      <c r="C6471" t="s">
        <v>18</v>
      </c>
      <c r="D6471" t="s">
        <v>8688</v>
      </c>
      <c r="E6471" t="s">
        <v>8689</v>
      </c>
      <c r="F6471" t="s">
        <v>574</v>
      </c>
      <c r="G6471" t="s">
        <v>193</v>
      </c>
      <c r="J6471" t="b">
        <v>1</v>
      </c>
      <c r="K6471" t="b">
        <v>1</v>
      </c>
      <c r="L6471" t="b">
        <v>1</v>
      </c>
      <c r="M6471" t="str">
        <f>HYPERLINK("https://arizona.app.box.com/file/389170047213")</f>
        <v>https://arizona.app.box.com/file/389170047213</v>
      </c>
      <c r="N6471" t="str">
        <f>HYPERLINK("https://arizona.app.box.com/file/386213342269")</f>
        <v>https://arizona.app.box.com/file/386213342269</v>
      </c>
      <c r="O6471" t="str">
        <f>HYPERLINK("https://arizona.app.box.com/file/389172255887")</f>
        <v>https://arizona.app.box.com/file/389172255887</v>
      </c>
      <c r="P6471" t="str">
        <f>HYPERLINK("https://arizona.app.box.com/file/386243005832")</f>
        <v>https://arizona.app.box.com/file/386243005832</v>
      </c>
    </row>
    <row r="6472" spans="1:25" x14ac:dyDescent="0.2">
      <c r="A6472">
        <v>891</v>
      </c>
      <c r="B6472" t="s">
        <v>10368</v>
      </c>
      <c r="C6472" t="s">
        <v>18</v>
      </c>
      <c r="D6472" t="s">
        <v>6383</v>
      </c>
      <c r="E6472" t="s">
        <v>6384</v>
      </c>
      <c r="F6472" t="s">
        <v>174</v>
      </c>
      <c r="G6472" t="s">
        <v>17</v>
      </c>
      <c r="J6472" t="b">
        <v>0</v>
      </c>
      <c r="K6472" t="b">
        <v>0</v>
      </c>
      <c r="L6472" t="b">
        <v>0</v>
      </c>
    </row>
    <row r="6473" spans="1:25" x14ac:dyDescent="0.2">
      <c r="A6473">
        <v>892</v>
      </c>
      <c r="B6473" t="s">
        <v>10368</v>
      </c>
      <c r="C6473" t="s">
        <v>18</v>
      </c>
      <c r="D6473" t="s">
        <v>8682</v>
      </c>
      <c r="E6473" t="s">
        <v>8684</v>
      </c>
      <c r="F6473" t="s">
        <v>561</v>
      </c>
      <c r="G6473" t="s">
        <v>193</v>
      </c>
      <c r="J6473" t="b">
        <v>0</v>
      </c>
      <c r="K6473" t="b">
        <v>0</v>
      </c>
      <c r="L6473" t="b">
        <v>0</v>
      </c>
      <c r="M6473" t="str">
        <f>HYPERLINK("https://arizona.app.box.com/file/389170726129")</f>
        <v>https://arizona.app.box.com/file/389170726129</v>
      </c>
      <c r="N6473" t="str">
        <f>HYPERLINK("https://arizona.app.box.com/file/386231009087")</f>
        <v>https://arizona.app.box.com/file/386231009087</v>
      </c>
      <c r="O6473" t="str">
        <f>HYPERLINK("https://arizona.app.box.com/file/389172956956")</f>
        <v>https://arizona.app.box.com/file/389172956956</v>
      </c>
      <c r="P6473" t="str">
        <f>HYPERLINK("https://arizona.app.box.com/file/386238861594")</f>
        <v>https://arizona.app.box.com/file/386238861594</v>
      </c>
    </row>
    <row r="6474" spans="1:25" x14ac:dyDescent="0.2">
      <c r="A6474">
        <v>893</v>
      </c>
      <c r="B6474" t="s">
        <v>10368</v>
      </c>
      <c r="C6474" t="s">
        <v>18</v>
      </c>
      <c r="D6474" t="s">
        <v>8686</v>
      </c>
      <c r="E6474" t="s">
        <v>8687</v>
      </c>
      <c r="F6474" t="s">
        <v>574</v>
      </c>
      <c r="G6474" t="s">
        <v>193</v>
      </c>
      <c r="J6474" t="b">
        <v>0</v>
      </c>
      <c r="K6474" t="b">
        <v>0</v>
      </c>
      <c r="L6474" t="b">
        <v>0</v>
      </c>
      <c r="M6474" t="str">
        <f>HYPERLINK("https://arizona.app.box.com/file/389165417841")</f>
        <v>https://arizona.app.box.com/file/389165417841</v>
      </c>
      <c r="N6474" t="str">
        <f>HYPERLINK("https://arizona.app.box.com/file/386235683768")</f>
        <v>https://arizona.app.box.com/file/386235683768</v>
      </c>
    </row>
    <row r="6475" spans="1:25" x14ac:dyDescent="0.2">
      <c r="A6475">
        <v>894</v>
      </c>
      <c r="B6475" t="s">
        <v>10368</v>
      </c>
      <c r="C6475" t="s">
        <v>18</v>
      </c>
      <c r="D6475" t="s">
        <v>8685</v>
      </c>
      <c r="E6475" t="s">
        <v>7941</v>
      </c>
      <c r="F6475" t="s">
        <v>574</v>
      </c>
      <c r="G6475" t="s">
        <v>193</v>
      </c>
      <c r="J6475" t="b">
        <v>0</v>
      </c>
      <c r="K6475" t="b">
        <v>0</v>
      </c>
      <c r="L6475" t="b">
        <v>0</v>
      </c>
      <c r="M6475" t="str">
        <f>HYPERLINK("https://arizona.app.box.com/file/389171754357")</f>
        <v>https://arizona.app.box.com/file/389171754357</v>
      </c>
      <c r="N6475" t="str">
        <f>HYPERLINK("https://arizona.app.box.com/file/386234628208")</f>
        <v>https://arizona.app.box.com/file/386234628208</v>
      </c>
    </row>
    <row r="6477" spans="1:25" x14ac:dyDescent="0.2">
      <c r="A6477" s="2">
        <v>896</v>
      </c>
      <c r="B6477" s="2" t="s">
        <v>10370</v>
      </c>
      <c r="C6477" s="2" t="s">
        <v>13</v>
      </c>
      <c r="D6477" s="2" t="s">
        <v>10371</v>
      </c>
      <c r="E6477" s="2" t="s">
        <v>10372</v>
      </c>
      <c r="F6477" s="2" t="s">
        <v>78</v>
      </c>
      <c r="G6477" s="2" t="s">
        <v>130</v>
      </c>
      <c r="H6477" s="2"/>
      <c r="I6477" s="2"/>
      <c r="J6477" s="2"/>
      <c r="K6477" s="2"/>
      <c r="L6477" s="2"/>
      <c r="M6477" s="2"/>
      <c r="N6477" s="2"/>
      <c r="O6477" s="2"/>
      <c r="P6477" s="2"/>
      <c r="Q6477" s="2"/>
      <c r="R6477" s="2"/>
      <c r="S6477" s="2"/>
      <c r="T6477" s="2"/>
      <c r="U6477" s="2"/>
      <c r="V6477" s="2"/>
      <c r="W6477" s="2"/>
      <c r="X6477" s="2"/>
      <c r="Y6477" s="2"/>
    </row>
    <row r="6478" spans="1:25" x14ac:dyDescent="0.2">
      <c r="A6478">
        <v>897</v>
      </c>
      <c r="B6478" t="s">
        <v>10370</v>
      </c>
      <c r="C6478" t="s">
        <v>18</v>
      </c>
      <c r="D6478" t="s">
        <v>10371</v>
      </c>
      <c r="E6478" t="s">
        <v>1698</v>
      </c>
      <c r="F6478" t="s">
        <v>78</v>
      </c>
      <c r="G6478" t="s">
        <v>130</v>
      </c>
      <c r="J6478" t="b">
        <v>1</v>
      </c>
      <c r="K6478" t="b">
        <v>1</v>
      </c>
      <c r="L6478" t="b">
        <v>1</v>
      </c>
      <c r="M6478" t="str">
        <f>HYPERLINK("https://arizona.app.box.com/file/389262786269")</f>
        <v>https://arizona.app.box.com/file/389262786269</v>
      </c>
      <c r="N6478" t="str">
        <f>HYPERLINK("https://arizona.app.box.com/file/389163701093")</f>
        <v>https://arizona.app.box.com/file/389163701093</v>
      </c>
    </row>
    <row r="6479" spans="1:25" x14ac:dyDescent="0.2">
      <c r="A6479">
        <v>898</v>
      </c>
      <c r="B6479" t="s">
        <v>10370</v>
      </c>
      <c r="C6479" t="s">
        <v>18</v>
      </c>
      <c r="D6479" t="s">
        <v>10373</v>
      </c>
      <c r="E6479" t="s">
        <v>119</v>
      </c>
      <c r="F6479" t="s">
        <v>78</v>
      </c>
      <c r="G6479" t="s">
        <v>130</v>
      </c>
      <c r="J6479" t="b">
        <v>1</v>
      </c>
      <c r="K6479" t="b">
        <v>1</v>
      </c>
      <c r="L6479" t="b">
        <v>1</v>
      </c>
      <c r="M6479" t="str">
        <f>HYPERLINK("https://arizona.app.box.com/file/386240174958")</f>
        <v>https://arizona.app.box.com/file/386240174958</v>
      </c>
    </row>
    <row r="6480" spans="1:25" x14ac:dyDescent="0.2">
      <c r="A6480">
        <v>899</v>
      </c>
      <c r="B6480" t="s">
        <v>10370</v>
      </c>
      <c r="C6480" t="s">
        <v>18</v>
      </c>
      <c r="D6480" t="s">
        <v>10374</v>
      </c>
      <c r="E6480" t="s">
        <v>7964</v>
      </c>
      <c r="F6480" t="s">
        <v>78</v>
      </c>
      <c r="G6480" t="s">
        <v>62</v>
      </c>
      <c r="J6480" t="b">
        <v>0</v>
      </c>
      <c r="K6480" t="b">
        <v>0</v>
      </c>
      <c r="L6480" t="b">
        <v>0</v>
      </c>
      <c r="M6480" t="str">
        <f>HYPERLINK("https://arizona.app.box.com/file/386240357331")</f>
        <v>https://arizona.app.box.com/file/386240357331</v>
      </c>
    </row>
    <row r="6481" spans="1:25" x14ac:dyDescent="0.2">
      <c r="A6481">
        <v>900</v>
      </c>
      <c r="B6481" t="s">
        <v>10370</v>
      </c>
      <c r="C6481" t="s">
        <v>18</v>
      </c>
      <c r="D6481" t="s">
        <v>6359</v>
      </c>
      <c r="E6481" t="s">
        <v>392</v>
      </c>
      <c r="F6481" t="s">
        <v>23</v>
      </c>
      <c r="G6481" t="s">
        <v>130</v>
      </c>
      <c r="J6481" t="b">
        <v>0</v>
      </c>
      <c r="K6481" t="b">
        <v>0</v>
      </c>
      <c r="L6481" t="b">
        <v>0</v>
      </c>
      <c r="M6481" t="str">
        <f>HYPERLINK("https://arizona.app.box.com/file/386239283243")</f>
        <v>https://arizona.app.box.com/file/386239283243</v>
      </c>
    </row>
    <row r="6482" spans="1:25" x14ac:dyDescent="0.2">
      <c r="A6482">
        <v>901</v>
      </c>
      <c r="B6482" t="s">
        <v>10370</v>
      </c>
      <c r="C6482" t="s">
        <v>18</v>
      </c>
      <c r="D6482" t="s">
        <v>10375</v>
      </c>
      <c r="E6482" t="s">
        <v>10376</v>
      </c>
      <c r="F6482" t="s">
        <v>174</v>
      </c>
      <c r="G6482" t="s">
        <v>130</v>
      </c>
      <c r="J6482" t="b">
        <v>0</v>
      </c>
      <c r="K6482" t="b">
        <v>0</v>
      </c>
      <c r="L6482" t="b">
        <v>0</v>
      </c>
    </row>
    <row r="6484" spans="1:25" x14ac:dyDescent="0.2">
      <c r="A6484" s="2">
        <v>973</v>
      </c>
      <c r="B6484" s="2" t="s">
        <v>10377</v>
      </c>
      <c r="C6484" s="2" t="s">
        <v>13</v>
      </c>
      <c r="D6484" s="2" t="s">
        <v>6092</v>
      </c>
      <c r="E6484" s="2" t="s">
        <v>10378</v>
      </c>
      <c r="F6484" s="2" t="s">
        <v>20</v>
      </c>
      <c r="G6484" s="2" t="s">
        <v>17</v>
      </c>
      <c r="H6484" s="2"/>
      <c r="I6484" s="2"/>
      <c r="J6484" s="2"/>
      <c r="K6484" s="2"/>
      <c r="L6484" s="2"/>
      <c r="M6484" s="2"/>
      <c r="N6484" s="2"/>
      <c r="O6484" s="2"/>
      <c r="P6484" s="2"/>
      <c r="Q6484" s="2"/>
      <c r="R6484" s="2"/>
      <c r="S6484" s="2"/>
      <c r="T6484" s="2"/>
      <c r="U6484" s="2"/>
      <c r="V6484" s="2"/>
      <c r="W6484" s="2"/>
      <c r="X6484" s="2"/>
      <c r="Y6484" s="2"/>
    </row>
    <row r="6485" spans="1:25" x14ac:dyDescent="0.2">
      <c r="A6485">
        <v>974</v>
      </c>
      <c r="B6485" t="s">
        <v>10377</v>
      </c>
      <c r="C6485" t="s">
        <v>18</v>
      </c>
      <c r="D6485" t="s">
        <v>6092</v>
      </c>
      <c r="E6485" t="s">
        <v>392</v>
      </c>
      <c r="F6485" t="s">
        <v>20</v>
      </c>
      <c r="G6485" t="s">
        <v>17</v>
      </c>
      <c r="J6485" t="b">
        <v>1</v>
      </c>
      <c r="K6485" t="b">
        <v>1</v>
      </c>
      <c r="L6485" t="b">
        <v>1</v>
      </c>
    </row>
    <row r="6486" spans="1:25" x14ac:dyDescent="0.2">
      <c r="A6486">
        <v>975</v>
      </c>
      <c r="B6486" t="s">
        <v>10377</v>
      </c>
      <c r="C6486" t="s">
        <v>18</v>
      </c>
      <c r="D6486" t="s">
        <v>6093</v>
      </c>
      <c r="E6486" t="s">
        <v>6094</v>
      </c>
      <c r="F6486" t="s">
        <v>20</v>
      </c>
      <c r="G6486" t="s">
        <v>17</v>
      </c>
      <c r="J6486" t="b">
        <v>0</v>
      </c>
      <c r="K6486" t="b">
        <v>0</v>
      </c>
      <c r="L6486" t="b">
        <v>0</v>
      </c>
      <c r="M6486" t="str">
        <f>HYPERLINK("https://arizona.app.box.com/file/389165474545")</f>
        <v>https://arizona.app.box.com/file/389165474545</v>
      </c>
      <c r="N6486" t="str">
        <f>HYPERLINK("https://arizona.app.box.com/file/389140628277")</f>
        <v>https://arizona.app.box.com/file/389140628277</v>
      </c>
    </row>
    <row r="6487" spans="1:25" x14ac:dyDescent="0.2">
      <c r="A6487">
        <v>976</v>
      </c>
      <c r="B6487" t="s">
        <v>10377</v>
      </c>
      <c r="C6487" t="s">
        <v>18</v>
      </c>
      <c r="D6487" t="s">
        <v>10379</v>
      </c>
      <c r="E6487" t="s">
        <v>1319</v>
      </c>
      <c r="F6487" t="s">
        <v>20</v>
      </c>
      <c r="G6487" t="s">
        <v>17</v>
      </c>
      <c r="J6487" t="b">
        <v>1</v>
      </c>
      <c r="K6487" t="b">
        <v>1</v>
      </c>
      <c r="L6487" t="b">
        <v>1</v>
      </c>
      <c r="M6487" t="str">
        <f>HYPERLINK("https://arizona.app.box.com/file/389139808631")</f>
        <v>https://arizona.app.box.com/file/389139808631</v>
      </c>
    </row>
    <row r="6488" spans="1:25" x14ac:dyDescent="0.2">
      <c r="A6488">
        <v>977</v>
      </c>
      <c r="B6488" t="s">
        <v>10377</v>
      </c>
      <c r="C6488" t="s">
        <v>18</v>
      </c>
      <c r="D6488" t="s">
        <v>6526</v>
      </c>
      <c r="E6488" t="s">
        <v>6527</v>
      </c>
      <c r="F6488" t="s">
        <v>20</v>
      </c>
      <c r="G6488" t="s">
        <v>17</v>
      </c>
      <c r="J6488" t="b">
        <v>0</v>
      </c>
      <c r="K6488" t="b">
        <v>0</v>
      </c>
      <c r="L6488" t="b">
        <v>0</v>
      </c>
      <c r="M6488" t="str">
        <f>HYPERLINK("https://arizona.app.box.com/file/389161789350")</f>
        <v>https://arizona.app.box.com/file/389161789350</v>
      </c>
    </row>
    <row r="6489" spans="1:25" x14ac:dyDescent="0.2">
      <c r="A6489">
        <v>978</v>
      </c>
      <c r="B6489" t="s">
        <v>10377</v>
      </c>
      <c r="C6489" t="s">
        <v>18</v>
      </c>
      <c r="D6489" t="s">
        <v>7632</v>
      </c>
      <c r="E6489" t="s">
        <v>7633</v>
      </c>
      <c r="F6489" t="s">
        <v>7634</v>
      </c>
      <c r="G6489" t="s">
        <v>17</v>
      </c>
      <c r="J6489" t="b">
        <v>0</v>
      </c>
      <c r="K6489" t="b">
        <v>0</v>
      </c>
      <c r="L6489" t="b">
        <v>0</v>
      </c>
      <c r="M6489" t="str">
        <f>HYPERLINK("https://arizona.app.box.com/file/389137734696")</f>
        <v>https://arizona.app.box.com/file/389137734696</v>
      </c>
      <c r="N6489" t="str">
        <f>HYPERLINK("https://arizona.app.box.com/file/389137030111")</f>
        <v>https://arizona.app.box.com/file/389137030111</v>
      </c>
    </row>
    <row r="6491" spans="1:25" x14ac:dyDescent="0.2">
      <c r="A6491" s="2">
        <v>994</v>
      </c>
      <c r="B6491" s="2" t="s">
        <v>10380</v>
      </c>
      <c r="C6491" s="2" t="s">
        <v>13</v>
      </c>
      <c r="D6491" s="2" t="s">
        <v>7894</v>
      </c>
      <c r="E6491" s="2" t="s">
        <v>10381</v>
      </c>
      <c r="F6491" s="2" t="s">
        <v>420</v>
      </c>
      <c r="G6491" s="2" t="s">
        <v>252</v>
      </c>
      <c r="H6491" s="2"/>
      <c r="I6491" s="2"/>
      <c r="J6491" s="2"/>
      <c r="K6491" s="2"/>
      <c r="L6491" s="2"/>
      <c r="M6491" s="2"/>
      <c r="N6491" s="2"/>
      <c r="O6491" s="2"/>
      <c r="P6491" s="2"/>
      <c r="Q6491" s="2"/>
      <c r="R6491" s="2"/>
      <c r="S6491" s="2"/>
      <c r="T6491" s="2"/>
      <c r="U6491" s="2"/>
      <c r="V6491" s="2"/>
      <c r="W6491" s="2"/>
      <c r="X6491" s="2"/>
      <c r="Y6491" s="2"/>
    </row>
    <row r="6492" spans="1:25" x14ac:dyDescent="0.2">
      <c r="A6492">
        <v>995</v>
      </c>
      <c r="B6492" t="s">
        <v>10380</v>
      </c>
      <c r="C6492" t="s">
        <v>18</v>
      </c>
      <c r="D6492" t="s">
        <v>7894</v>
      </c>
      <c r="E6492" t="s">
        <v>1316</v>
      </c>
      <c r="F6492" t="s">
        <v>420</v>
      </c>
      <c r="G6492" t="s">
        <v>252</v>
      </c>
      <c r="J6492" t="b">
        <v>1</v>
      </c>
      <c r="K6492" t="b">
        <v>1</v>
      </c>
      <c r="L6492" t="b">
        <v>1</v>
      </c>
      <c r="M6492" t="str">
        <f>HYPERLINK("https://arizona.app.box.com/file/389261666484")</f>
        <v>https://arizona.app.box.com/file/389261666484</v>
      </c>
      <c r="N6492" t="str">
        <f>HYPERLINK("https://arizona.app.box.com/file/389151965495")</f>
        <v>https://arizona.app.box.com/file/389151965495</v>
      </c>
    </row>
    <row r="6493" spans="1:25" x14ac:dyDescent="0.2">
      <c r="A6493">
        <v>996</v>
      </c>
      <c r="B6493" t="s">
        <v>10380</v>
      </c>
      <c r="C6493" t="s">
        <v>18</v>
      </c>
      <c r="D6493" t="s">
        <v>10382</v>
      </c>
      <c r="E6493" t="s">
        <v>3035</v>
      </c>
      <c r="F6493" t="s">
        <v>420</v>
      </c>
      <c r="G6493" t="s">
        <v>252</v>
      </c>
      <c r="J6493" t="b">
        <v>1</v>
      </c>
      <c r="K6493" t="b">
        <v>1</v>
      </c>
      <c r="L6493" t="b">
        <v>1</v>
      </c>
      <c r="M6493" t="str">
        <f>HYPERLINK("https://arizona.app.box.com/file/386231223263")</f>
        <v>https://arizona.app.box.com/file/386231223263</v>
      </c>
    </row>
    <row r="6494" spans="1:25" x14ac:dyDescent="0.2">
      <c r="A6494">
        <v>997</v>
      </c>
      <c r="B6494" t="s">
        <v>10380</v>
      </c>
      <c r="C6494" t="s">
        <v>18</v>
      </c>
      <c r="D6494" t="s">
        <v>3645</v>
      </c>
      <c r="E6494" t="s">
        <v>3646</v>
      </c>
      <c r="F6494" t="s">
        <v>144</v>
      </c>
      <c r="G6494" t="s">
        <v>252</v>
      </c>
      <c r="J6494" t="b">
        <v>0</v>
      </c>
      <c r="K6494" t="b">
        <v>0</v>
      </c>
      <c r="L6494" t="b">
        <v>0</v>
      </c>
      <c r="M6494" t="str">
        <f>HYPERLINK("https://arizona.app.box.com/file/389169635047")</f>
        <v>https://arizona.app.box.com/file/389169635047</v>
      </c>
      <c r="N6494" t="str">
        <f>HYPERLINK("https://arizona.app.box.com/file/386236897236")</f>
        <v>https://arizona.app.box.com/file/386236897236</v>
      </c>
      <c r="O6494" t="str">
        <f>HYPERLINK("https://arizona.app.box.com/file/389164532975")</f>
        <v>https://arizona.app.box.com/file/389164532975</v>
      </c>
      <c r="P6494" t="str">
        <f>HYPERLINK("https://arizona.app.box.com/file/386241544711")</f>
        <v>https://arizona.app.box.com/file/386241544711</v>
      </c>
    </row>
    <row r="6495" spans="1:25" x14ac:dyDescent="0.2">
      <c r="A6495">
        <v>998</v>
      </c>
      <c r="B6495" t="s">
        <v>10380</v>
      </c>
      <c r="C6495" t="s">
        <v>18</v>
      </c>
      <c r="D6495" t="s">
        <v>9353</v>
      </c>
      <c r="E6495" t="s">
        <v>9354</v>
      </c>
      <c r="F6495" t="s">
        <v>420</v>
      </c>
      <c r="G6495" t="s">
        <v>252</v>
      </c>
      <c r="J6495" t="b">
        <v>0</v>
      </c>
      <c r="K6495" t="b">
        <v>0</v>
      </c>
      <c r="L6495" t="b">
        <v>0</v>
      </c>
      <c r="M6495" t="str">
        <f>HYPERLINK("https://arizona.app.box.com/file/389262186583")</f>
        <v>https://arizona.app.box.com/file/389262186583</v>
      </c>
      <c r="N6495" t="str">
        <f>HYPERLINK("https://arizona.app.box.com/file/389152363890")</f>
        <v>https://arizona.app.box.com/file/389152363890</v>
      </c>
    </row>
    <row r="6496" spans="1:25" x14ac:dyDescent="0.2">
      <c r="A6496">
        <v>999</v>
      </c>
      <c r="B6496" t="s">
        <v>10380</v>
      </c>
      <c r="C6496" t="s">
        <v>18</v>
      </c>
      <c r="D6496" t="s">
        <v>9221</v>
      </c>
      <c r="E6496" t="s">
        <v>7695</v>
      </c>
      <c r="F6496" t="s">
        <v>159</v>
      </c>
      <c r="G6496" t="s">
        <v>252</v>
      </c>
      <c r="J6496" t="b">
        <v>0</v>
      </c>
      <c r="K6496" t="b">
        <v>0</v>
      </c>
      <c r="L6496" t="b">
        <v>0</v>
      </c>
      <c r="M6496" t="str">
        <f>HYPERLINK("https://arizona.app.box.com/file/389165243325")</f>
        <v>https://arizona.app.box.com/file/389165243325</v>
      </c>
      <c r="N6496" t="str">
        <f>HYPERLINK("https://arizona.app.box.com/file/386237636209")</f>
        <v>https://arizona.app.box.com/file/386237636209</v>
      </c>
    </row>
    <row r="6498" spans="1:25" x14ac:dyDescent="0.2">
      <c r="A6498" s="2">
        <v>1036</v>
      </c>
      <c r="B6498" s="2" t="s">
        <v>10383</v>
      </c>
      <c r="C6498" s="2" t="s">
        <v>13</v>
      </c>
      <c r="D6498" s="2" t="s">
        <v>10384</v>
      </c>
      <c r="E6498" s="2" t="s">
        <v>10385</v>
      </c>
      <c r="F6498" s="2" t="s">
        <v>78</v>
      </c>
      <c r="G6498" s="2" t="s">
        <v>24</v>
      </c>
      <c r="H6498" s="2"/>
      <c r="I6498" s="2"/>
      <c r="J6498" s="2"/>
      <c r="K6498" s="2"/>
      <c r="L6498" s="2"/>
      <c r="M6498" s="2"/>
      <c r="N6498" s="2"/>
      <c r="O6498" s="2"/>
      <c r="P6498" s="2"/>
      <c r="Q6498" s="2"/>
      <c r="R6498" s="2"/>
      <c r="S6498" s="2"/>
      <c r="T6498" s="2"/>
      <c r="U6498" s="2"/>
      <c r="V6498" s="2"/>
      <c r="W6498" s="2"/>
      <c r="X6498" s="2"/>
      <c r="Y6498" s="2"/>
    </row>
    <row r="6499" spans="1:25" x14ac:dyDescent="0.2">
      <c r="A6499">
        <v>1037</v>
      </c>
      <c r="B6499" t="s">
        <v>10383</v>
      </c>
      <c r="C6499" t="s">
        <v>18</v>
      </c>
      <c r="D6499" t="s">
        <v>10384</v>
      </c>
      <c r="E6499" t="s">
        <v>3695</v>
      </c>
      <c r="F6499" t="s">
        <v>78</v>
      </c>
      <c r="G6499" t="s">
        <v>24</v>
      </c>
      <c r="J6499" t="b">
        <v>1</v>
      </c>
      <c r="K6499" t="b">
        <v>1</v>
      </c>
      <c r="L6499" t="b">
        <v>1</v>
      </c>
      <c r="M6499" t="str">
        <f>HYPERLINK("https://arizona.app.box.com/file/389256405817")</f>
        <v>https://arizona.app.box.com/file/389256405817</v>
      </c>
      <c r="N6499" t="str">
        <f>HYPERLINK("https://arizona.app.box.com/file/389171946086")</f>
        <v>https://arizona.app.box.com/file/389171946086</v>
      </c>
    </row>
    <row r="6500" spans="1:25" x14ac:dyDescent="0.2">
      <c r="A6500">
        <v>1038</v>
      </c>
      <c r="B6500" t="s">
        <v>10383</v>
      </c>
      <c r="C6500" t="s">
        <v>18</v>
      </c>
      <c r="D6500" t="s">
        <v>10386</v>
      </c>
      <c r="E6500" t="s">
        <v>10387</v>
      </c>
      <c r="F6500" t="s">
        <v>78</v>
      </c>
      <c r="G6500" t="s">
        <v>24</v>
      </c>
      <c r="J6500" t="b">
        <v>1</v>
      </c>
      <c r="K6500" t="b">
        <v>1</v>
      </c>
      <c r="L6500" t="b">
        <v>1</v>
      </c>
      <c r="M6500" t="str">
        <f>HYPERLINK("https://arizona.app.box.com/file/389184446551")</f>
        <v>https://arizona.app.box.com/file/389184446551</v>
      </c>
      <c r="N6500" t="str">
        <f>HYPERLINK("https://arizona.app.box.com/file/386252098020")</f>
        <v>https://arizona.app.box.com/file/386252098020</v>
      </c>
    </row>
    <row r="6501" spans="1:25" x14ac:dyDescent="0.2">
      <c r="A6501">
        <v>1039</v>
      </c>
      <c r="B6501" t="s">
        <v>10383</v>
      </c>
      <c r="C6501" t="s">
        <v>18</v>
      </c>
      <c r="D6501" t="s">
        <v>10388</v>
      </c>
      <c r="E6501" t="s">
        <v>5969</v>
      </c>
      <c r="F6501" t="s">
        <v>78</v>
      </c>
      <c r="G6501" t="s">
        <v>24</v>
      </c>
      <c r="J6501" t="b">
        <v>0</v>
      </c>
      <c r="K6501" t="b">
        <v>0</v>
      </c>
      <c r="L6501" t="b">
        <v>0</v>
      </c>
      <c r="M6501" t="str">
        <f>HYPERLINK("https://arizona.app.box.com/file/386242949908")</f>
        <v>https://arizona.app.box.com/file/386242949908</v>
      </c>
      <c r="N6501" t="str">
        <f>HYPERLINK("https://arizona.app.box.com/file/386240617603")</f>
        <v>https://arizona.app.box.com/file/386240617603</v>
      </c>
    </row>
    <row r="6502" spans="1:25" x14ac:dyDescent="0.2">
      <c r="A6502">
        <v>1040</v>
      </c>
      <c r="B6502" t="s">
        <v>10383</v>
      </c>
      <c r="C6502" t="s">
        <v>18</v>
      </c>
      <c r="D6502" t="s">
        <v>1059</v>
      </c>
      <c r="E6502" t="s">
        <v>1049</v>
      </c>
      <c r="F6502" t="s">
        <v>196</v>
      </c>
      <c r="G6502" t="s">
        <v>1047</v>
      </c>
      <c r="J6502" t="b">
        <v>0</v>
      </c>
      <c r="K6502" t="b">
        <v>0</v>
      </c>
      <c r="L6502" t="b">
        <v>0</v>
      </c>
      <c r="M6502" t="str">
        <f>HYPERLINK("https://arizona.app.box.com/file/389261970564")</f>
        <v>https://arizona.app.box.com/file/389261970564</v>
      </c>
      <c r="N6502" t="str">
        <f>HYPERLINK("https://arizona.app.box.com/file/389170376460")</f>
        <v>https://arizona.app.box.com/file/389170376460</v>
      </c>
    </row>
    <row r="6503" spans="1:25" x14ac:dyDescent="0.2">
      <c r="A6503">
        <v>1041</v>
      </c>
      <c r="B6503" t="s">
        <v>10383</v>
      </c>
      <c r="C6503" t="s">
        <v>18</v>
      </c>
      <c r="D6503" t="s">
        <v>6939</v>
      </c>
      <c r="E6503" t="s">
        <v>6940</v>
      </c>
      <c r="F6503" t="s">
        <v>82</v>
      </c>
      <c r="G6503" t="s">
        <v>24</v>
      </c>
      <c r="J6503" t="b">
        <v>0</v>
      </c>
      <c r="K6503" t="b">
        <v>0</v>
      </c>
      <c r="L6503" t="b">
        <v>0</v>
      </c>
      <c r="M6503" t="str">
        <f>HYPERLINK("https://arizona.app.box.com/file/386242553038")</f>
        <v>https://arizona.app.box.com/file/386242553038</v>
      </c>
      <c r="N6503" t="str">
        <f>HYPERLINK("https://arizona.app.box.com/file/386242405216")</f>
        <v>https://arizona.app.box.com/file/386242405216</v>
      </c>
    </row>
    <row r="6505" spans="1:25" x14ac:dyDescent="0.2">
      <c r="A6505" s="2">
        <v>105</v>
      </c>
      <c r="B6505" s="2" t="s">
        <v>10389</v>
      </c>
      <c r="C6505" s="2" t="s">
        <v>13</v>
      </c>
      <c r="D6505" s="2" t="s">
        <v>10390</v>
      </c>
      <c r="E6505" s="2" t="s">
        <v>10391</v>
      </c>
      <c r="F6505" s="2" t="s">
        <v>78</v>
      </c>
      <c r="G6505" s="2" t="s">
        <v>17</v>
      </c>
      <c r="H6505" s="2"/>
      <c r="I6505" s="2"/>
      <c r="J6505" s="2"/>
      <c r="K6505" s="2"/>
      <c r="L6505" s="2"/>
      <c r="M6505" s="2"/>
      <c r="N6505" s="2"/>
      <c r="O6505" s="2"/>
      <c r="P6505" s="2"/>
      <c r="Q6505" s="2"/>
      <c r="R6505" s="2"/>
      <c r="S6505" s="2"/>
      <c r="T6505" s="2"/>
      <c r="U6505" s="2"/>
      <c r="V6505" s="2"/>
      <c r="W6505" s="2"/>
      <c r="X6505" s="2"/>
      <c r="Y6505" s="2"/>
    </row>
    <row r="6506" spans="1:25" x14ac:dyDescent="0.2">
      <c r="A6506">
        <v>106</v>
      </c>
      <c r="B6506" t="s">
        <v>10389</v>
      </c>
      <c r="C6506" t="s">
        <v>18</v>
      </c>
      <c r="D6506" t="s">
        <v>10390</v>
      </c>
      <c r="E6506" t="s">
        <v>5346</v>
      </c>
      <c r="F6506" t="s">
        <v>78</v>
      </c>
      <c r="G6506" t="s">
        <v>17</v>
      </c>
      <c r="J6506" t="b">
        <v>1</v>
      </c>
      <c r="K6506" t="b">
        <v>1</v>
      </c>
      <c r="L6506" t="b">
        <v>1</v>
      </c>
    </row>
    <row r="6507" spans="1:25" x14ac:dyDescent="0.2">
      <c r="A6507">
        <v>107</v>
      </c>
      <c r="B6507" t="s">
        <v>10389</v>
      </c>
      <c r="C6507" t="s">
        <v>18</v>
      </c>
      <c r="D6507" t="s">
        <v>10392</v>
      </c>
      <c r="E6507" t="s">
        <v>10393</v>
      </c>
      <c r="F6507" t="s">
        <v>78</v>
      </c>
      <c r="G6507" t="s">
        <v>17</v>
      </c>
      <c r="J6507" t="b">
        <v>1</v>
      </c>
      <c r="K6507" t="b">
        <v>1</v>
      </c>
      <c r="L6507" t="b">
        <v>1</v>
      </c>
      <c r="M6507" t="str">
        <f>HYPERLINK("https://arizona.app.box.com/file/389150920419")</f>
        <v>https://arizona.app.box.com/file/389150920419</v>
      </c>
    </row>
    <row r="6508" spans="1:25" x14ac:dyDescent="0.2">
      <c r="A6508">
        <v>108</v>
      </c>
      <c r="B6508" t="s">
        <v>10389</v>
      </c>
      <c r="C6508" t="s">
        <v>18</v>
      </c>
      <c r="D6508" t="s">
        <v>8548</v>
      </c>
      <c r="E6508" t="s">
        <v>8549</v>
      </c>
      <c r="F6508" t="s">
        <v>78</v>
      </c>
      <c r="G6508" t="s">
        <v>17</v>
      </c>
      <c r="J6508" t="b">
        <v>0</v>
      </c>
      <c r="K6508" t="b">
        <v>0</v>
      </c>
      <c r="L6508" t="b">
        <v>0</v>
      </c>
      <c r="M6508" t="str">
        <f>HYPERLINK("https://arizona.app.box.com/file/389165706278")</f>
        <v>https://arizona.app.box.com/file/389165706278</v>
      </c>
    </row>
    <row r="6509" spans="1:25" x14ac:dyDescent="0.2">
      <c r="A6509">
        <v>109</v>
      </c>
      <c r="B6509" t="s">
        <v>10389</v>
      </c>
      <c r="C6509" t="s">
        <v>18</v>
      </c>
      <c r="D6509" t="s">
        <v>243</v>
      </c>
      <c r="E6509" t="s">
        <v>244</v>
      </c>
      <c r="F6509" t="s">
        <v>78</v>
      </c>
      <c r="G6509" t="s">
        <v>17</v>
      </c>
      <c r="J6509" t="b">
        <v>0</v>
      </c>
      <c r="K6509" t="b">
        <v>0</v>
      </c>
      <c r="L6509" t="b">
        <v>0</v>
      </c>
      <c r="M6509" t="str">
        <f>HYPERLINK("https://arizona.app.box.com/file/389164502204")</f>
        <v>https://arizona.app.box.com/file/389164502204</v>
      </c>
    </row>
    <row r="6510" spans="1:25" x14ac:dyDescent="0.2">
      <c r="A6510">
        <v>110</v>
      </c>
      <c r="B6510" t="s">
        <v>10389</v>
      </c>
      <c r="C6510" t="s">
        <v>18</v>
      </c>
      <c r="D6510" t="s">
        <v>6564</v>
      </c>
      <c r="E6510" t="s">
        <v>6565</v>
      </c>
      <c r="F6510" t="s">
        <v>78</v>
      </c>
      <c r="G6510" t="s">
        <v>17</v>
      </c>
      <c r="J6510" t="b">
        <v>0</v>
      </c>
      <c r="K6510" t="b">
        <v>0</v>
      </c>
      <c r="L6510" t="b">
        <v>0</v>
      </c>
      <c r="M6510" t="str">
        <f>HYPERLINK("https://arizona.app.box.com/file/389161123559")</f>
        <v>https://arizona.app.box.com/file/389161123559</v>
      </c>
    </row>
    <row r="6512" spans="1:25" x14ac:dyDescent="0.2">
      <c r="A6512" s="2">
        <v>1071</v>
      </c>
      <c r="B6512" s="2" t="s">
        <v>10394</v>
      </c>
      <c r="C6512" s="2" t="s">
        <v>13</v>
      </c>
      <c r="D6512" s="2" t="s">
        <v>10395</v>
      </c>
      <c r="E6512" s="2" t="s">
        <v>10396</v>
      </c>
      <c r="F6512" s="2" t="s">
        <v>451</v>
      </c>
      <c r="G6512" s="2" t="s">
        <v>10397</v>
      </c>
      <c r="H6512" s="2"/>
      <c r="I6512" s="2"/>
      <c r="J6512" s="2"/>
      <c r="K6512" s="2"/>
      <c r="L6512" s="2"/>
      <c r="M6512" s="2"/>
      <c r="N6512" s="2"/>
      <c r="O6512" s="2"/>
      <c r="P6512" s="2"/>
      <c r="Q6512" s="2"/>
      <c r="R6512" s="2"/>
      <c r="S6512" s="2"/>
      <c r="T6512" s="2"/>
      <c r="U6512" s="2"/>
      <c r="V6512" s="2"/>
      <c r="W6512" s="2"/>
      <c r="X6512" s="2"/>
      <c r="Y6512" s="2"/>
    </row>
    <row r="6513" spans="1:25" x14ac:dyDescent="0.2">
      <c r="A6513">
        <v>1072</v>
      </c>
      <c r="B6513" t="s">
        <v>10394</v>
      </c>
      <c r="C6513" t="s">
        <v>18</v>
      </c>
      <c r="D6513" t="s">
        <v>10398</v>
      </c>
      <c r="E6513" t="s">
        <v>10399</v>
      </c>
      <c r="F6513" t="s">
        <v>451</v>
      </c>
      <c r="G6513" t="s">
        <v>9055</v>
      </c>
      <c r="J6513" t="b">
        <v>1</v>
      </c>
      <c r="K6513" t="b">
        <v>1</v>
      </c>
      <c r="L6513" t="b">
        <v>1</v>
      </c>
      <c r="M6513" t="str">
        <f>HYPERLINK("https://arizona.app.box.com/file/389260068043")</f>
        <v>https://arizona.app.box.com/file/389260068043</v>
      </c>
      <c r="N6513" t="str">
        <f>HYPERLINK("https://arizona.app.box.com/file/389162137835")</f>
        <v>https://arizona.app.box.com/file/389162137835</v>
      </c>
    </row>
    <row r="6514" spans="1:25" x14ac:dyDescent="0.2">
      <c r="A6514">
        <v>1073</v>
      </c>
      <c r="B6514" t="s">
        <v>10394</v>
      </c>
      <c r="C6514" t="s">
        <v>18</v>
      </c>
      <c r="D6514" t="s">
        <v>10400</v>
      </c>
      <c r="E6514" t="s">
        <v>10401</v>
      </c>
      <c r="F6514" t="s">
        <v>451</v>
      </c>
      <c r="G6514" t="s">
        <v>74</v>
      </c>
      <c r="J6514" t="b">
        <v>0</v>
      </c>
      <c r="K6514" t="b">
        <v>0</v>
      </c>
      <c r="L6514" t="b">
        <v>0</v>
      </c>
    </row>
    <row r="6515" spans="1:25" x14ac:dyDescent="0.2">
      <c r="A6515">
        <v>1074</v>
      </c>
      <c r="B6515" t="s">
        <v>10394</v>
      </c>
      <c r="C6515" t="s">
        <v>18</v>
      </c>
      <c r="D6515" t="s">
        <v>10402</v>
      </c>
      <c r="E6515" t="s">
        <v>10403</v>
      </c>
      <c r="F6515" t="s">
        <v>451</v>
      </c>
      <c r="G6515" t="s">
        <v>74</v>
      </c>
      <c r="J6515" t="b">
        <v>0</v>
      </c>
      <c r="K6515" t="b">
        <v>0</v>
      </c>
      <c r="L6515" t="b">
        <v>0</v>
      </c>
      <c r="M6515" t="str">
        <f>HYPERLINK("https://arizona.app.box.com/file/386214046512")</f>
        <v>https://arizona.app.box.com/file/386214046512</v>
      </c>
      <c r="N6515" t="str">
        <f>HYPERLINK("https://arizona.app.box.com/file/386214761231")</f>
        <v>https://arizona.app.box.com/file/386214761231</v>
      </c>
    </row>
    <row r="6516" spans="1:25" x14ac:dyDescent="0.2">
      <c r="A6516">
        <v>1075</v>
      </c>
      <c r="B6516" t="s">
        <v>10394</v>
      </c>
      <c r="C6516" t="s">
        <v>18</v>
      </c>
      <c r="D6516" t="s">
        <v>3322</v>
      </c>
      <c r="E6516" t="s">
        <v>3323</v>
      </c>
      <c r="F6516" t="s">
        <v>952</v>
      </c>
      <c r="G6516" t="s">
        <v>3324</v>
      </c>
      <c r="J6516" t="b">
        <v>0</v>
      </c>
      <c r="K6516" t="b">
        <v>0</v>
      </c>
      <c r="L6516" t="b">
        <v>0</v>
      </c>
      <c r="M6516" t="str">
        <f>HYPERLINK("https://arizona.app.box.com/file/389174500891")</f>
        <v>https://arizona.app.box.com/file/389174500891</v>
      </c>
      <c r="N6516" t="str">
        <f>HYPERLINK("https://arizona.app.box.com/file/386244745272")</f>
        <v>https://arizona.app.box.com/file/386244745272</v>
      </c>
      <c r="O6516" t="str">
        <f>HYPERLINK("https://arizona.app.box.com/file/389168250359")</f>
        <v>https://arizona.app.box.com/file/389168250359</v>
      </c>
      <c r="P6516" t="str">
        <f>HYPERLINK("https://arizona.app.box.com/file/386238050209")</f>
        <v>https://arizona.app.box.com/file/386238050209</v>
      </c>
    </row>
    <row r="6517" spans="1:25" x14ac:dyDescent="0.2">
      <c r="A6517">
        <v>1076</v>
      </c>
      <c r="B6517" t="s">
        <v>10394</v>
      </c>
      <c r="C6517" t="s">
        <v>18</v>
      </c>
      <c r="D6517" t="s">
        <v>3556</v>
      </c>
      <c r="E6517" t="s">
        <v>3557</v>
      </c>
      <c r="F6517" t="s">
        <v>316</v>
      </c>
      <c r="G6517" t="s">
        <v>3558</v>
      </c>
      <c r="J6517" t="b">
        <v>0</v>
      </c>
      <c r="K6517" t="b">
        <v>0</v>
      </c>
      <c r="L6517" t="b">
        <v>0</v>
      </c>
      <c r="M6517" t="str">
        <f>HYPERLINK("https://arizona.app.box.com/file/389266318967")</f>
        <v>https://arizona.app.box.com/file/389266318967</v>
      </c>
      <c r="N6517" t="str">
        <f>HYPERLINK("https://arizona.app.box.com/file/389162135627")</f>
        <v>https://arizona.app.box.com/file/389162135627</v>
      </c>
    </row>
    <row r="6519" spans="1:25" x14ac:dyDescent="0.2">
      <c r="A6519" s="2">
        <v>1085</v>
      </c>
      <c r="B6519" s="2" t="s">
        <v>10404</v>
      </c>
      <c r="C6519" s="2" t="s">
        <v>13</v>
      </c>
      <c r="D6519" s="2" t="s">
        <v>10405</v>
      </c>
      <c r="E6519" s="2" t="s">
        <v>10406</v>
      </c>
      <c r="F6519" s="2" t="s">
        <v>420</v>
      </c>
      <c r="G6519" s="2" t="s">
        <v>88</v>
      </c>
      <c r="H6519" s="2"/>
      <c r="I6519" s="2"/>
      <c r="J6519" s="2"/>
      <c r="K6519" s="2"/>
      <c r="L6519" s="2"/>
      <c r="M6519" s="2"/>
      <c r="N6519" s="2"/>
      <c r="O6519" s="2"/>
      <c r="P6519" s="2"/>
      <c r="Q6519" s="2"/>
      <c r="R6519" s="2"/>
      <c r="S6519" s="2"/>
      <c r="T6519" s="2"/>
      <c r="U6519" s="2"/>
      <c r="V6519" s="2"/>
      <c r="W6519" s="2"/>
      <c r="X6519" s="2"/>
      <c r="Y6519" s="2"/>
    </row>
    <row r="6520" spans="1:25" x14ac:dyDescent="0.2">
      <c r="A6520">
        <v>1086</v>
      </c>
      <c r="B6520" t="s">
        <v>10404</v>
      </c>
      <c r="C6520" t="s">
        <v>18</v>
      </c>
      <c r="D6520" t="s">
        <v>10405</v>
      </c>
      <c r="E6520" t="s">
        <v>10406</v>
      </c>
      <c r="F6520" t="s">
        <v>420</v>
      </c>
      <c r="G6520" t="s">
        <v>88</v>
      </c>
      <c r="J6520" t="b">
        <v>1</v>
      </c>
      <c r="K6520" t="b">
        <v>1</v>
      </c>
      <c r="L6520" t="b">
        <v>1</v>
      </c>
      <c r="M6520" t="str">
        <f>HYPERLINK("https://arizona.app.box.com/file/386233018755")</f>
        <v>https://arizona.app.box.com/file/386233018755</v>
      </c>
      <c r="N6520" t="str">
        <f>HYPERLINK("https://arizona.app.box.com/file/386269473746")</f>
        <v>https://arizona.app.box.com/file/386269473746</v>
      </c>
    </row>
    <row r="6521" spans="1:25" x14ac:dyDescent="0.2">
      <c r="A6521">
        <v>1087</v>
      </c>
      <c r="B6521" t="s">
        <v>10404</v>
      </c>
      <c r="C6521" t="s">
        <v>18</v>
      </c>
      <c r="D6521" t="s">
        <v>10407</v>
      </c>
      <c r="E6521" t="s">
        <v>10408</v>
      </c>
      <c r="F6521" t="s">
        <v>420</v>
      </c>
      <c r="G6521" t="s">
        <v>88</v>
      </c>
      <c r="J6521" t="b">
        <v>0</v>
      </c>
      <c r="K6521" t="b">
        <v>0</v>
      </c>
      <c r="L6521" t="b">
        <v>0</v>
      </c>
      <c r="M6521" t="str">
        <f>HYPERLINK("https://arizona.app.box.com/file/386265532653")</f>
        <v>https://arizona.app.box.com/file/386265532653</v>
      </c>
      <c r="N6521" t="str">
        <f>HYPERLINK("https://arizona.app.box.com/file/386270499658")</f>
        <v>https://arizona.app.box.com/file/386270499658</v>
      </c>
      <c r="O6521" t="str">
        <f>HYPERLINK("https://arizona.app.box.com/file/386243815847")</f>
        <v>https://arizona.app.box.com/file/386243815847</v>
      </c>
    </row>
    <row r="6522" spans="1:25" x14ac:dyDescent="0.2">
      <c r="A6522">
        <v>1088</v>
      </c>
      <c r="B6522" t="s">
        <v>10404</v>
      </c>
      <c r="C6522" t="s">
        <v>18</v>
      </c>
      <c r="D6522" t="s">
        <v>4807</v>
      </c>
      <c r="E6522" t="s">
        <v>3035</v>
      </c>
      <c r="F6522" t="s">
        <v>420</v>
      </c>
      <c r="G6522" t="s">
        <v>252</v>
      </c>
      <c r="J6522" t="b">
        <v>0</v>
      </c>
      <c r="K6522" t="b">
        <v>0</v>
      </c>
      <c r="L6522" t="b">
        <v>0</v>
      </c>
      <c r="M6522" t="str">
        <f>HYPERLINK("https://arizona.app.box.com/file/386247154753")</f>
        <v>https://arizona.app.box.com/file/386247154753</v>
      </c>
    </row>
    <row r="6523" spans="1:25" x14ac:dyDescent="0.2">
      <c r="A6523">
        <v>1089</v>
      </c>
      <c r="B6523" t="s">
        <v>10404</v>
      </c>
      <c r="C6523" t="s">
        <v>18</v>
      </c>
      <c r="D6523" t="s">
        <v>10409</v>
      </c>
      <c r="E6523" t="s">
        <v>10410</v>
      </c>
      <c r="F6523" t="s">
        <v>420</v>
      </c>
      <c r="G6523" t="s">
        <v>88</v>
      </c>
      <c r="J6523" t="b">
        <v>0</v>
      </c>
      <c r="K6523" t="b">
        <v>0</v>
      </c>
      <c r="L6523" t="b">
        <v>0</v>
      </c>
      <c r="M6523" t="str">
        <f>HYPERLINK("https://arizona.app.box.com/file/386237411116")</f>
        <v>https://arizona.app.box.com/file/386237411116</v>
      </c>
    </row>
    <row r="6524" spans="1:25" x14ac:dyDescent="0.2">
      <c r="A6524">
        <v>1090</v>
      </c>
      <c r="B6524" t="s">
        <v>10404</v>
      </c>
      <c r="C6524" t="s">
        <v>18</v>
      </c>
      <c r="D6524" t="s">
        <v>2237</v>
      </c>
      <c r="E6524" t="s">
        <v>2238</v>
      </c>
      <c r="F6524" t="s">
        <v>420</v>
      </c>
      <c r="G6524" t="s">
        <v>88</v>
      </c>
      <c r="J6524" t="b">
        <v>0</v>
      </c>
      <c r="K6524" t="b">
        <v>0</v>
      </c>
      <c r="L6524" t="b">
        <v>0</v>
      </c>
    </row>
    <row r="6526" spans="1:25" x14ac:dyDescent="0.2">
      <c r="A6526" s="2">
        <v>1113</v>
      </c>
      <c r="B6526" s="2" t="s">
        <v>10411</v>
      </c>
      <c r="C6526" s="2" t="s">
        <v>13</v>
      </c>
      <c r="D6526" s="2" t="s">
        <v>10412</v>
      </c>
      <c r="E6526" s="2" t="s">
        <v>10413</v>
      </c>
      <c r="F6526" s="2" t="s">
        <v>248</v>
      </c>
      <c r="G6526" s="2" t="s">
        <v>17</v>
      </c>
      <c r="H6526" s="2"/>
      <c r="I6526" s="2"/>
      <c r="J6526" s="2"/>
      <c r="K6526" s="2"/>
      <c r="L6526" s="2"/>
      <c r="M6526" s="2"/>
      <c r="N6526" s="2"/>
      <c r="O6526" s="2"/>
      <c r="P6526" s="2"/>
      <c r="Q6526" s="2"/>
      <c r="R6526" s="2"/>
      <c r="S6526" s="2"/>
      <c r="T6526" s="2"/>
      <c r="U6526" s="2"/>
      <c r="V6526" s="2"/>
      <c r="W6526" s="2"/>
      <c r="X6526" s="2"/>
      <c r="Y6526" s="2"/>
    </row>
    <row r="6527" spans="1:25" x14ac:dyDescent="0.2">
      <c r="A6527">
        <v>1114</v>
      </c>
      <c r="B6527" t="s">
        <v>10411</v>
      </c>
      <c r="C6527" t="s">
        <v>18</v>
      </c>
      <c r="D6527" t="s">
        <v>10412</v>
      </c>
      <c r="E6527" t="s">
        <v>10413</v>
      </c>
      <c r="F6527" t="s">
        <v>248</v>
      </c>
      <c r="G6527" t="s">
        <v>17</v>
      </c>
      <c r="J6527" t="b">
        <v>1</v>
      </c>
      <c r="K6527" t="b">
        <v>1</v>
      </c>
      <c r="L6527" t="b">
        <v>1</v>
      </c>
      <c r="M6527" t="str">
        <f>HYPERLINK("https://arizona.app.box.com/file/389160505131")</f>
        <v>https://arizona.app.box.com/file/389160505131</v>
      </c>
      <c r="N6527" t="str">
        <f>HYPERLINK("https://arizona.app.box.com/file/389160950238")</f>
        <v>https://arizona.app.box.com/file/389160950238</v>
      </c>
    </row>
    <row r="6528" spans="1:25" x14ac:dyDescent="0.2">
      <c r="A6528">
        <v>1115</v>
      </c>
      <c r="B6528" t="s">
        <v>10411</v>
      </c>
      <c r="C6528" t="s">
        <v>18</v>
      </c>
      <c r="D6528" t="s">
        <v>10414</v>
      </c>
      <c r="E6528" t="s">
        <v>10415</v>
      </c>
      <c r="F6528" t="s">
        <v>248</v>
      </c>
      <c r="G6528" t="s">
        <v>17</v>
      </c>
      <c r="J6528" t="b">
        <v>0</v>
      </c>
      <c r="K6528" t="b">
        <v>0</v>
      </c>
      <c r="L6528" t="b">
        <v>0</v>
      </c>
      <c r="M6528" t="str">
        <f>HYPERLINK("https://arizona.app.box.com/file/386249560210")</f>
        <v>https://arizona.app.box.com/file/386249560210</v>
      </c>
      <c r="N6528" t="str">
        <f>HYPERLINK("https://arizona.app.box.com/file/389164944043")</f>
        <v>https://arizona.app.box.com/file/389164944043</v>
      </c>
    </row>
    <row r="6529" spans="1:25" x14ac:dyDescent="0.2">
      <c r="A6529">
        <v>1116</v>
      </c>
      <c r="B6529" t="s">
        <v>10411</v>
      </c>
      <c r="C6529" t="s">
        <v>18</v>
      </c>
      <c r="D6529" t="s">
        <v>795</v>
      </c>
      <c r="E6529" t="s">
        <v>796</v>
      </c>
      <c r="F6529" t="s">
        <v>248</v>
      </c>
      <c r="G6529" t="s">
        <v>17</v>
      </c>
      <c r="J6529" t="b">
        <v>0</v>
      </c>
      <c r="K6529" t="b">
        <v>0</v>
      </c>
      <c r="L6529" t="b">
        <v>0</v>
      </c>
      <c r="M6529" t="str">
        <f>HYPERLINK("https://arizona.app.box.com/file/389160862511")</f>
        <v>https://arizona.app.box.com/file/389160862511</v>
      </c>
      <c r="N6529" t="str">
        <f>HYPERLINK("https://arizona.app.box.com/file/386274240153")</f>
        <v>https://arizona.app.box.com/file/386274240153</v>
      </c>
    </row>
    <row r="6530" spans="1:25" x14ac:dyDescent="0.2">
      <c r="A6530">
        <v>1117</v>
      </c>
      <c r="B6530" t="s">
        <v>10411</v>
      </c>
      <c r="C6530" t="s">
        <v>18</v>
      </c>
      <c r="D6530" t="s">
        <v>792</v>
      </c>
      <c r="E6530" t="s">
        <v>793</v>
      </c>
      <c r="F6530" t="s">
        <v>248</v>
      </c>
      <c r="G6530" t="s">
        <v>17</v>
      </c>
      <c r="J6530" t="b">
        <v>0</v>
      </c>
      <c r="K6530" t="b">
        <v>0</v>
      </c>
      <c r="L6530" t="b">
        <v>0</v>
      </c>
      <c r="M6530" t="str">
        <f>HYPERLINK("https://arizona.app.box.com/file/389132914845")</f>
        <v>https://arizona.app.box.com/file/389132914845</v>
      </c>
      <c r="N6530" t="str">
        <f>HYPERLINK("https://arizona.app.box.com/file/386241113911")</f>
        <v>https://arizona.app.box.com/file/386241113911</v>
      </c>
    </row>
    <row r="6531" spans="1:25" x14ac:dyDescent="0.2">
      <c r="A6531">
        <v>1118</v>
      </c>
      <c r="B6531" t="s">
        <v>10411</v>
      </c>
      <c r="C6531" t="s">
        <v>18</v>
      </c>
      <c r="D6531" t="s">
        <v>10416</v>
      </c>
      <c r="E6531" t="s">
        <v>10417</v>
      </c>
      <c r="F6531" t="s">
        <v>248</v>
      </c>
      <c r="G6531" t="s">
        <v>17</v>
      </c>
      <c r="J6531" t="b">
        <v>0</v>
      </c>
      <c r="K6531" t="b">
        <v>0</v>
      </c>
      <c r="L6531" t="b">
        <v>0</v>
      </c>
      <c r="M6531" t="str">
        <f>HYPERLINK("https://arizona.app.box.com/file/386243380514")</f>
        <v>https://arizona.app.box.com/file/386243380514</v>
      </c>
      <c r="N6531" t="str">
        <f>HYPERLINK("https://arizona.app.box.com/file/389151518507")</f>
        <v>https://arizona.app.box.com/file/389151518507</v>
      </c>
    </row>
    <row r="6533" spans="1:25" x14ac:dyDescent="0.2">
      <c r="A6533" s="2">
        <v>1127</v>
      </c>
      <c r="B6533" s="2" t="s">
        <v>10418</v>
      </c>
      <c r="C6533" s="2" t="s">
        <v>13</v>
      </c>
      <c r="D6533" s="2" t="s">
        <v>7201</v>
      </c>
      <c r="E6533" s="2" t="s">
        <v>10419</v>
      </c>
      <c r="F6533" s="2" t="s">
        <v>144</v>
      </c>
      <c r="G6533" s="2" t="s">
        <v>32</v>
      </c>
      <c r="H6533" s="2"/>
      <c r="I6533" s="2"/>
      <c r="J6533" s="2"/>
      <c r="K6533" s="2"/>
      <c r="L6533" s="2"/>
      <c r="M6533" s="2"/>
      <c r="N6533" s="2"/>
      <c r="O6533" s="2"/>
      <c r="P6533" s="2"/>
      <c r="Q6533" s="2"/>
      <c r="R6533" s="2"/>
      <c r="S6533" s="2"/>
      <c r="T6533" s="2"/>
      <c r="U6533" s="2"/>
      <c r="V6533" s="2"/>
      <c r="W6533" s="2"/>
      <c r="X6533" s="2"/>
      <c r="Y6533" s="2"/>
    </row>
    <row r="6534" spans="1:25" x14ac:dyDescent="0.2">
      <c r="A6534">
        <v>1128</v>
      </c>
      <c r="B6534" t="s">
        <v>10418</v>
      </c>
      <c r="C6534" t="s">
        <v>18</v>
      </c>
      <c r="D6534" t="s">
        <v>7201</v>
      </c>
      <c r="E6534" t="s">
        <v>6017</v>
      </c>
      <c r="F6534" t="s">
        <v>144</v>
      </c>
      <c r="G6534" t="s">
        <v>32</v>
      </c>
      <c r="J6534" t="b">
        <v>1</v>
      </c>
      <c r="K6534" t="b">
        <v>1</v>
      </c>
      <c r="L6534" t="b">
        <v>1</v>
      </c>
      <c r="M6534" t="str">
        <f>HYPERLINK("https://arizona.app.box.com/file/389265227940")</f>
        <v>https://arizona.app.box.com/file/389265227940</v>
      </c>
      <c r="N6534" t="str">
        <f>HYPERLINK("https://arizona.app.box.com/file/389162111887")</f>
        <v>https://arizona.app.box.com/file/389162111887</v>
      </c>
    </row>
    <row r="6535" spans="1:25" x14ac:dyDescent="0.2">
      <c r="A6535">
        <v>1129</v>
      </c>
      <c r="B6535" t="s">
        <v>10418</v>
      </c>
      <c r="C6535" t="s">
        <v>18</v>
      </c>
      <c r="D6535" t="s">
        <v>10420</v>
      </c>
      <c r="E6535" t="s">
        <v>1435</v>
      </c>
      <c r="F6535" t="s">
        <v>144</v>
      </c>
      <c r="G6535" t="s">
        <v>32</v>
      </c>
      <c r="J6535" t="b">
        <v>1</v>
      </c>
      <c r="K6535" t="b">
        <v>1</v>
      </c>
      <c r="L6535" t="b">
        <v>1</v>
      </c>
      <c r="M6535" t="str">
        <f>HYPERLINK("https://arizona.app.box.com/file/389262553074")</f>
        <v>https://arizona.app.box.com/file/389262553074</v>
      </c>
      <c r="N6535" t="str">
        <f>HYPERLINK("https://arizona.app.box.com/file/389166143666")</f>
        <v>https://arizona.app.box.com/file/389166143666</v>
      </c>
    </row>
    <row r="6536" spans="1:25" x14ac:dyDescent="0.2">
      <c r="A6536">
        <v>1130</v>
      </c>
      <c r="B6536" t="s">
        <v>10418</v>
      </c>
      <c r="C6536" t="s">
        <v>18</v>
      </c>
      <c r="D6536" t="s">
        <v>808</v>
      </c>
      <c r="E6536" t="s">
        <v>809</v>
      </c>
      <c r="F6536" t="s">
        <v>159</v>
      </c>
      <c r="G6536" t="s">
        <v>24</v>
      </c>
      <c r="J6536" t="b">
        <v>0</v>
      </c>
      <c r="K6536" t="b">
        <v>0</v>
      </c>
      <c r="L6536" t="b">
        <v>0</v>
      </c>
      <c r="M6536" t="str">
        <f>HYPERLINK("https://arizona.app.box.com/file/389268287438")</f>
        <v>https://arizona.app.box.com/file/389268287438</v>
      </c>
      <c r="N6536" t="str">
        <f>HYPERLINK("https://arizona.app.box.com/file/389139242498")</f>
        <v>https://arizona.app.box.com/file/389139242498</v>
      </c>
    </row>
    <row r="6537" spans="1:25" x14ac:dyDescent="0.2">
      <c r="A6537">
        <v>1131</v>
      </c>
      <c r="B6537" t="s">
        <v>10418</v>
      </c>
      <c r="C6537" t="s">
        <v>18</v>
      </c>
      <c r="D6537" t="s">
        <v>812</v>
      </c>
      <c r="E6537" t="s">
        <v>813</v>
      </c>
      <c r="F6537" t="s">
        <v>122</v>
      </c>
      <c r="G6537" t="s">
        <v>17</v>
      </c>
      <c r="J6537" t="b">
        <v>0</v>
      </c>
      <c r="K6537" t="b">
        <v>0</v>
      </c>
      <c r="L6537" t="b">
        <v>0</v>
      </c>
      <c r="M6537" t="str">
        <f>HYPERLINK("https://arizona.app.box.com/file/389261015461")</f>
        <v>https://arizona.app.box.com/file/389261015461</v>
      </c>
    </row>
    <row r="6538" spans="1:25" x14ac:dyDescent="0.2">
      <c r="A6538">
        <v>1132</v>
      </c>
      <c r="B6538" t="s">
        <v>10418</v>
      </c>
      <c r="C6538" t="s">
        <v>18</v>
      </c>
      <c r="D6538" t="s">
        <v>815</v>
      </c>
      <c r="E6538" t="s">
        <v>643</v>
      </c>
      <c r="F6538" t="s">
        <v>122</v>
      </c>
      <c r="G6538" t="s">
        <v>24</v>
      </c>
      <c r="J6538" t="b">
        <v>0</v>
      </c>
      <c r="K6538" t="b">
        <v>0</v>
      </c>
      <c r="L6538" t="b">
        <v>0</v>
      </c>
    </row>
    <row r="6540" spans="1:25" x14ac:dyDescent="0.2">
      <c r="A6540" s="2">
        <v>1176</v>
      </c>
      <c r="B6540" s="2" t="s">
        <v>10421</v>
      </c>
      <c r="C6540" s="2" t="s">
        <v>13</v>
      </c>
      <c r="D6540" s="2" t="s">
        <v>8336</v>
      </c>
      <c r="E6540" s="2" t="s">
        <v>10422</v>
      </c>
      <c r="F6540" s="2" t="s">
        <v>2388</v>
      </c>
      <c r="G6540" s="2" t="s">
        <v>879</v>
      </c>
      <c r="H6540" s="2"/>
      <c r="I6540" s="2"/>
      <c r="J6540" s="2"/>
      <c r="K6540" s="2"/>
      <c r="L6540" s="2"/>
      <c r="M6540" s="2"/>
      <c r="N6540" s="2"/>
      <c r="O6540" s="2"/>
      <c r="P6540" s="2"/>
      <c r="Q6540" s="2"/>
      <c r="R6540" s="2"/>
      <c r="S6540" s="2"/>
      <c r="T6540" s="2"/>
      <c r="U6540" s="2"/>
      <c r="V6540" s="2"/>
      <c r="W6540" s="2"/>
      <c r="X6540" s="2"/>
      <c r="Y6540" s="2"/>
    </row>
    <row r="6541" spans="1:25" x14ac:dyDescent="0.2">
      <c r="A6541">
        <v>1177</v>
      </c>
      <c r="B6541" t="s">
        <v>10421</v>
      </c>
      <c r="C6541" t="s">
        <v>18</v>
      </c>
      <c r="D6541" t="s">
        <v>8336</v>
      </c>
      <c r="E6541" t="s">
        <v>4302</v>
      </c>
      <c r="F6541" t="s">
        <v>2388</v>
      </c>
      <c r="G6541" t="s">
        <v>879</v>
      </c>
      <c r="J6541" t="b">
        <v>1</v>
      </c>
      <c r="K6541" t="b">
        <v>1</v>
      </c>
      <c r="L6541" t="b">
        <v>1</v>
      </c>
      <c r="M6541" t="str">
        <f>HYPERLINK("https://arizona.app.box.com/file/389256776513")</f>
        <v>https://arizona.app.box.com/file/389256776513</v>
      </c>
      <c r="N6541" t="str">
        <f>HYPERLINK("https://arizona.app.box.com/file/389153287185")</f>
        <v>https://arizona.app.box.com/file/389153287185</v>
      </c>
    </row>
    <row r="6542" spans="1:25" x14ac:dyDescent="0.2">
      <c r="A6542">
        <v>1178</v>
      </c>
      <c r="B6542" t="s">
        <v>10421</v>
      </c>
      <c r="C6542" t="s">
        <v>18</v>
      </c>
      <c r="D6542" t="s">
        <v>10423</v>
      </c>
      <c r="E6542" t="s">
        <v>5202</v>
      </c>
      <c r="F6542" t="s">
        <v>159</v>
      </c>
      <c r="G6542" t="s">
        <v>879</v>
      </c>
      <c r="J6542" t="b">
        <v>1</v>
      </c>
      <c r="K6542" t="b">
        <v>1</v>
      </c>
      <c r="L6542" t="b">
        <v>1</v>
      </c>
      <c r="M6542" t="str">
        <f>HYPERLINK("https://arizona.app.box.com/file/389258529550")</f>
        <v>https://arizona.app.box.com/file/389258529550</v>
      </c>
      <c r="N6542" t="str">
        <f>HYPERLINK("https://arizona.app.box.com/file/386216233967")</f>
        <v>https://arizona.app.box.com/file/386216233967</v>
      </c>
    </row>
    <row r="6543" spans="1:25" x14ac:dyDescent="0.2">
      <c r="A6543">
        <v>1179</v>
      </c>
      <c r="B6543" t="s">
        <v>10421</v>
      </c>
      <c r="C6543" t="s">
        <v>18</v>
      </c>
      <c r="D6543" t="s">
        <v>5523</v>
      </c>
      <c r="E6543" t="s">
        <v>898</v>
      </c>
      <c r="F6543" t="s">
        <v>174</v>
      </c>
      <c r="G6543" t="s">
        <v>879</v>
      </c>
      <c r="J6543" t="b">
        <v>0</v>
      </c>
      <c r="K6543" t="b">
        <v>0</v>
      </c>
      <c r="L6543" t="b">
        <v>0</v>
      </c>
      <c r="M6543" t="str">
        <f>HYPERLINK("https://arizona.app.box.com/file/389179086295")</f>
        <v>https://arizona.app.box.com/file/389179086295</v>
      </c>
    </row>
    <row r="6544" spans="1:25" x14ac:dyDescent="0.2">
      <c r="A6544">
        <v>1180</v>
      </c>
      <c r="B6544" t="s">
        <v>10421</v>
      </c>
      <c r="C6544" t="s">
        <v>18</v>
      </c>
      <c r="D6544" t="s">
        <v>10424</v>
      </c>
      <c r="E6544" t="s">
        <v>10425</v>
      </c>
      <c r="F6544" t="s">
        <v>2388</v>
      </c>
      <c r="G6544" t="s">
        <v>62</v>
      </c>
      <c r="J6544" t="b">
        <v>0</v>
      </c>
      <c r="K6544" t="b">
        <v>0</v>
      </c>
      <c r="L6544" t="b">
        <v>0</v>
      </c>
      <c r="M6544" t="str">
        <f>HYPERLINK("https://arizona.app.box.com/file/386213191227")</f>
        <v>https://arizona.app.box.com/file/386213191227</v>
      </c>
    </row>
    <row r="6545" spans="1:25" x14ac:dyDescent="0.2">
      <c r="A6545">
        <v>1181</v>
      </c>
      <c r="B6545" t="s">
        <v>10421</v>
      </c>
      <c r="C6545" t="s">
        <v>18</v>
      </c>
      <c r="D6545" t="s">
        <v>10426</v>
      </c>
      <c r="E6545" t="s">
        <v>10427</v>
      </c>
      <c r="F6545" t="s">
        <v>2388</v>
      </c>
      <c r="G6545" t="s">
        <v>62</v>
      </c>
      <c r="J6545" t="b">
        <v>0</v>
      </c>
      <c r="K6545" t="b">
        <v>0</v>
      </c>
      <c r="L6545" t="b">
        <v>0</v>
      </c>
      <c r="M6545" t="str">
        <f>HYPERLINK("https://arizona.app.box.com/file/386213088027")</f>
        <v>https://arizona.app.box.com/file/386213088027</v>
      </c>
    </row>
    <row r="6547" spans="1:25" x14ac:dyDescent="0.2">
      <c r="A6547" s="2">
        <v>119</v>
      </c>
      <c r="B6547" s="2" t="s">
        <v>10428</v>
      </c>
      <c r="C6547" s="2" t="s">
        <v>13</v>
      </c>
      <c r="D6547" s="2" t="s">
        <v>10429</v>
      </c>
      <c r="E6547" s="2" t="s">
        <v>10430</v>
      </c>
      <c r="F6547" s="2" t="s">
        <v>78</v>
      </c>
      <c r="G6547" s="2" t="s">
        <v>94</v>
      </c>
      <c r="H6547" s="2"/>
      <c r="I6547" s="2"/>
      <c r="J6547" s="2"/>
      <c r="K6547" s="2"/>
      <c r="L6547" s="2"/>
      <c r="M6547" s="2"/>
      <c r="N6547" s="2"/>
      <c r="O6547" s="2"/>
      <c r="P6547" s="2"/>
      <c r="Q6547" s="2"/>
      <c r="R6547" s="2"/>
      <c r="S6547" s="2"/>
      <c r="T6547" s="2"/>
      <c r="U6547" s="2"/>
      <c r="V6547" s="2"/>
      <c r="W6547" s="2"/>
      <c r="X6547" s="2"/>
      <c r="Y6547" s="2"/>
    </row>
    <row r="6548" spans="1:25" x14ac:dyDescent="0.2">
      <c r="A6548">
        <v>120</v>
      </c>
      <c r="B6548" t="s">
        <v>10428</v>
      </c>
      <c r="C6548" t="s">
        <v>18</v>
      </c>
      <c r="D6548" t="s">
        <v>10429</v>
      </c>
      <c r="E6548" t="s">
        <v>10431</v>
      </c>
      <c r="F6548" t="s">
        <v>78</v>
      </c>
      <c r="G6548" t="s">
        <v>94</v>
      </c>
      <c r="J6548" t="b">
        <v>1</v>
      </c>
      <c r="K6548" t="b">
        <v>1</v>
      </c>
      <c r="L6548" t="b">
        <v>1</v>
      </c>
      <c r="M6548" t="str">
        <f>HYPERLINK("https://arizona.app.box.com/file/386245542328")</f>
        <v>https://arizona.app.box.com/file/386245542328</v>
      </c>
      <c r="N6548" t="str">
        <f>HYPERLINK("https://arizona.app.box.com/file/386241113911")</f>
        <v>https://arizona.app.box.com/file/386241113911</v>
      </c>
    </row>
    <row r="6549" spans="1:25" x14ac:dyDescent="0.2">
      <c r="A6549">
        <v>121</v>
      </c>
      <c r="B6549" t="s">
        <v>10428</v>
      </c>
      <c r="C6549" t="s">
        <v>18</v>
      </c>
      <c r="D6549" t="s">
        <v>10432</v>
      </c>
      <c r="E6549" t="s">
        <v>10433</v>
      </c>
      <c r="F6549" t="s">
        <v>78</v>
      </c>
      <c r="G6549" t="s">
        <v>74</v>
      </c>
      <c r="J6549" t="b">
        <v>0</v>
      </c>
      <c r="K6549" t="b">
        <v>0</v>
      </c>
      <c r="L6549" t="b">
        <v>0</v>
      </c>
    </row>
    <row r="6550" spans="1:25" x14ac:dyDescent="0.2">
      <c r="A6550">
        <v>122</v>
      </c>
      <c r="B6550" t="s">
        <v>10428</v>
      </c>
      <c r="C6550" t="s">
        <v>18</v>
      </c>
      <c r="D6550" t="s">
        <v>10434</v>
      </c>
      <c r="E6550" t="s">
        <v>10435</v>
      </c>
      <c r="F6550" t="s">
        <v>78</v>
      </c>
      <c r="G6550" t="s">
        <v>134</v>
      </c>
      <c r="J6550" t="b">
        <v>0</v>
      </c>
      <c r="K6550" t="b">
        <v>0</v>
      </c>
      <c r="L6550" t="b">
        <v>0</v>
      </c>
      <c r="M6550" t="str">
        <f>HYPERLINK("https://arizona.app.box.com/file/389133846817")</f>
        <v>https://arizona.app.box.com/file/389133846817</v>
      </c>
      <c r="N6550" t="str">
        <f>HYPERLINK("https://arizona.app.box.com/file/389164797745")</f>
        <v>https://arizona.app.box.com/file/389164797745</v>
      </c>
    </row>
    <row r="6551" spans="1:25" x14ac:dyDescent="0.2">
      <c r="A6551">
        <v>123</v>
      </c>
      <c r="B6551" t="s">
        <v>10428</v>
      </c>
      <c r="C6551" t="s">
        <v>18</v>
      </c>
      <c r="D6551" t="s">
        <v>9500</v>
      </c>
      <c r="E6551" t="s">
        <v>9501</v>
      </c>
      <c r="F6551" t="s">
        <v>78</v>
      </c>
      <c r="G6551" t="s">
        <v>280</v>
      </c>
      <c r="J6551" t="b">
        <v>0</v>
      </c>
      <c r="K6551" t="b">
        <v>0</v>
      </c>
      <c r="L6551" t="b">
        <v>0</v>
      </c>
      <c r="M6551" t="str">
        <f>HYPERLINK("https://arizona.app.box.com/file/389152571615")</f>
        <v>https://arizona.app.box.com/file/389152571615</v>
      </c>
    </row>
    <row r="6552" spans="1:25" x14ac:dyDescent="0.2">
      <c r="A6552">
        <v>124</v>
      </c>
      <c r="B6552" t="s">
        <v>10428</v>
      </c>
      <c r="C6552" t="s">
        <v>18</v>
      </c>
      <c r="D6552" t="s">
        <v>9502</v>
      </c>
      <c r="E6552" t="s">
        <v>9503</v>
      </c>
      <c r="F6552" t="s">
        <v>78</v>
      </c>
      <c r="G6552" t="s">
        <v>280</v>
      </c>
      <c r="J6552" t="b">
        <v>0</v>
      </c>
      <c r="K6552" t="b">
        <v>0</v>
      </c>
      <c r="L6552" t="b">
        <v>0</v>
      </c>
    </row>
    <row r="6554" spans="1:25" x14ac:dyDescent="0.2">
      <c r="A6554" s="2">
        <v>1211</v>
      </c>
      <c r="B6554" s="2" t="s">
        <v>10436</v>
      </c>
      <c r="C6554" s="2" t="s">
        <v>13</v>
      </c>
      <c r="D6554" s="2" t="s">
        <v>3876</v>
      </c>
      <c r="E6554" s="2" t="s">
        <v>1423</v>
      </c>
      <c r="F6554" s="2" t="s">
        <v>16</v>
      </c>
      <c r="G6554" s="2" t="s">
        <v>24</v>
      </c>
      <c r="H6554" s="2"/>
      <c r="I6554" s="2"/>
      <c r="J6554" s="2"/>
      <c r="K6554" s="2"/>
      <c r="L6554" s="2"/>
      <c r="M6554" s="2"/>
      <c r="N6554" s="2"/>
      <c r="O6554" s="2"/>
      <c r="P6554" s="2"/>
      <c r="Q6554" s="2"/>
      <c r="R6554" s="2"/>
      <c r="S6554" s="2"/>
      <c r="T6554" s="2"/>
      <c r="U6554" s="2"/>
      <c r="V6554" s="2"/>
      <c r="W6554" s="2"/>
      <c r="X6554" s="2"/>
      <c r="Y6554" s="2"/>
    </row>
    <row r="6555" spans="1:25" x14ac:dyDescent="0.2">
      <c r="A6555">
        <v>1212</v>
      </c>
      <c r="B6555" t="s">
        <v>10436</v>
      </c>
      <c r="C6555" t="s">
        <v>18</v>
      </c>
      <c r="D6555" t="s">
        <v>3876</v>
      </c>
      <c r="E6555" t="s">
        <v>455</v>
      </c>
      <c r="F6555" t="s">
        <v>16</v>
      </c>
      <c r="G6555" t="s">
        <v>24</v>
      </c>
      <c r="J6555" t="b">
        <v>1</v>
      </c>
      <c r="K6555" t="b">
        <v>1</v>
      </c>
      <c r="L6555" t="b">
        <v>1</v>
      </c>
      <c r="M6555" t="str">
        <f>HYPERLINK("https://arizona.app.box.com/file/386213728663")</f>
        <v>https://arizona.app.box.com/file/386213728663</v>
      </c>
    </row>
    <row r="6556" spans="1:25" x14ac:dyDescent="0.2">
      <c r="A6556">
        <v>1213</v>
      </c>
      <c r="B6556" t="s">
        <v>10436</v>
      </c>
      <c r="C6556" t="s">
        <v>18</v>
      </c>
      <c r="D6556" t="s">
        <v>10437</v>
      </c>
      <c r="E6556" t="s">
        <v>1425</v>
      </c>
      <c r="F6556" t="s">
        <v>16</v>
      </c>
      <c r="G6556" t="s">
        <v>24</v>
      </c>
      <c r="J6556" t="b">
        <v>1</v>
      </c>
      <c r="K6556" t="b">
        <v>1</v>
      </c>
      <c r="L6556" t="b">
        <v>1</v>
      </c>
      <c r="M6556" t="str">
        <f>HYPERLINK("https://arizona.app.box.com/file/386242947010")</f>
        <v>https://arizona.app.box.com/file/386242947010</v>
      </c>
    </row>
    <row r="6557" spans="1:25" x14ac:dyDescent="0.2">
      <c r="A6557">
        <v>1214</v>
      </c>
      <c r="B6557" t="s">
        <v>10436</v>
      </c>
      <c r="C6557" t="s">
        <v>18</v>
      </c>
      <c r="D6557" t="s">
        <v>10438</v>
      </c>
      <c r="E6557" t="s">
        <v>4071</v>
      </c>
      <c r="F6557" t="s">
        <v>16</v>
      </c>
      <c r="G6557" t="s">
        <v>134</v>
      </c>
      <c r="J6557" t="b">
        <v>0</v>
      </c>
      <c r="K6557" t="b">
        <v>0</v>
      </c>
      <c r="L6557" t="b">
        <v>0</v>
      </c>
      <c r="M6557" t="str">
        <f>HYPERLINK("https://arizona.app.box.com/file/389170094204")</f>
        <v>https://arizona.app.box.com/file/389170094204</v>
      </c>
    </row>
    <row r="6558" spans="1:25" x14ac:dyDescent="0.2">
      <c r="A6558">
        <v>1215</v>
      </c>
      <c r="B6558" t="s">
        <v>10436</v>
      </c>
      <c r="C6558" t="s">
        <v>18</v>
      </c>
      <c r="D6558" t="s">
        <v>3866</v>
      </c>
      <c r="E6558" t="s">
        <v>3867</v>
      </c>
      <c r="F6558" t="s">
        <v>670</v>
      </c>
      <c r="G6558" t="s">
        <v>24</v>
      </c>
      <c r="J6558" t="b">
        <v>0</v>
      </c>
      <c r="K6558" t="b">
        <v>0</v>
      </c>
      <c r="L6558" t="b">
        <v>0</v>
      </c>
      <c r="M6558" t="str">
        <f>HYPERLINK("https://arizona.app.box.com/file/389272179825")</f>
        <v>https://arizona.app.box.com/file/389272179825</v>
      </c>
      <c r="N6558" t="str">
        <f>HYPERLINK("https://arizona.app.box.com/file/389138989844")</f>
        <v>https://arizona.app.box.com/file/389138989844</v>
      </c>
    </row>
    <row r="6559" spans="1:25" x14ac:dyDescent="0.2">
      <c r="A6559">
        <v>1216</v>
      </c>
      <c r="B6559" t="s">
        <v>10436</v>
      </c>
      <c r="C6559" t="s">
        <v>18</v>
      </c>
      <c r="D6559" t="s">
        <v>1052</v>
      </c>
      <c r="E6559" t="s">
        <v>1053</v>
      </c>
      <c r="F6559" t="s">
        <v>596</v>
      </c>
      <c r="G6559" t="s">
        <v>201</v>
      </c>
      <c r="J6559" t="b">
        <v>0</v>
      </c>
      <c r="K6559" t="b">
        <v>0</v>
      </c>
      <c r="L6559" t="b">
        <v>0</v>
      </c>
      <c r="M6559" t="str">
        <f>HYPERLINK("https://arizona.app.box.com/file/389176707386")</f>
        <v>https://arizona.app.box.com/file/389176707386</v>
      </c>
      <c r="N6559" t="str">
        <f>HYPERLINK("https://arizona.app.box.com/file/386216525498")</f>
        <v>https://arizona.app.box.com/file/386216525498</v>
      </c>
    </row>
    <row r="6561" spans="1:25" x14ac:dyDescent="0.2">
      <c r="A6561" s="2">
        <v>1302</v>
      </c>
      <c r="B6561" s="2" t="s">
        <v>10439</v>
      </c>
      <c r="C6561" s="2" t="s">
        <v>13</v>
      </c>
      <c r="D6561" s="2" t="s">
        <v>10440</v>
      </c>
      <c r="E6561" s="2" t="s">
        <v>10441</v>
      </c>
      <c r="F6561" s="2" t="s">
        <v>16</v>
      </c>
      <c r="G6561" s="2" t="s">
        <v>17</v>
      </c>
      <c r="H6561" s="2"/>
      <c r="I6561" s="2"/>
      <c r="J6561" s="2"/>
      <c r="K6561" s="2"/>
      <c r="L6561" s="2"/>
      <c r="M6561" s="2"/>
      <c r="N6561" s="2"/>
      <c r="O6561" s="2"/>
      <c r="P6561" s="2"/>
      <c r="Q6561" s="2"/>
      <c r="R6561" s="2"/>
      <c r="S6561" s="2"/>
      <c r="T6561" s="2"/>
      <c r="U6561" s="2"/>
      <c r="V6561" s="2"/>
      <c r="W6561" s="2"/>
      <c r="X6561" s="2"/>
      <c r="Y6561" s="2"/>
    </row>
    <row r="6562" spans="1:25" x14ac:dyDescent="0.2">
      <c r="A6562">
        <v>1303</v>
      </c>
      <c r="B6562" t="s">
        <v>10439</v>
      </c>
      <c r="C6562" t="s">
        <v>18</v>
      </c>
      <c r="D6562" t="s">
        <v>8471</v>
      </c>
      <c r="E6562" t="s">
        <v>4745</v>
      </c>
      <c r="F6562" t="s">
        <v>16</v>
      </c>
      <c r="G6562" t="s">
        <v>17</v>
      </c>
      <c r="J6562" t="b">
        <v>1</v>
      </c>
      <c r="K6562" t="b">
        <v>1</v>
      </c>
      <c r="L6562" t="b">
        <v>1</v>
      </c>
      <c r="M6562" t="str">
        <f>HYPERLINK("https://arizona.app.box.com/file/389169456076")</f>
        <v>https://arizona.app.box.com/file/389169456076</v>
      </c>
    </row>
    <row r="6563" spans="1:25" x14ac:dyDescent="0.2">
      <c r="A6563">
        <v>1304</v>
      </c>
      <c r="B6563" t="s">
        <v>10439</v>
      </c>
      <c r="C6563" t="s">
        <v>18</v>
      </c>
      <c r="D6563" t="s">
        <v>8467</v>
      </c>
      <c r="E6563" t="s">
        <v>3557</v>
      </c>
      <c r="F6563" t="s">
        <v>16</v>
      </c>
      <c r="G6563" t="s">
        <v>17</v>
      </c>
      <c r="J6563" t="b">
        <v>0</v>
      </c>
      <c r="K6563" t="b">
        <v>0</v>
      </c>
      <c r="L6563" t="b">
        <v>0</v>
      </c>
      <c r="M6563" t="str">
        <f>HYPERLINK("https://arizona.app.box.com/file/389260364964")</f>
        <v>https://arizona.app.box.com/file/389260364964</v>
      </c>
      <c r="N6563" t="str">
        <f>HYPERLINK("https://arizona.app.box.com/file/389152519634")</f>
        <v>https://arizona.app.box.com/file/389152519634</v>
      </c>
    </row>
    <row r="6564" spans="1:25" x14ac:dyDescent="0.2">
      <c r="A6564">
        <v>1305</v>
      </c>
      <c r="B6564" t="s">
        <v>10439</v>
      </c>
      <c r="C6564" t="s">
        <v>18</v>
      </c>
      <c r="D6564" t="s">
        <v>8468</v>
      </c>
      <c r="E6564" t="s">
        <v>1541</v>
      </c>
      <c r="F6564" t="s">
        <v>16</v>
      </c>
      <c r="G6564" t="s">
        <v>17</v>
      </c>
      <c r="J6564" t="b">
        <v>0</v>
      </c>
      <c r="K6564" t="b">
        <v>0</v>
      </c>
      <c r="L6564" t="b">
        <v>0</v>
      </c>
      <c r="M6564" t="str">
        <f>HYPERLINK("https://arizona.app.box.com/file/389256475210")</f>
        <v>https://arizona.app.box.com/file/389256475210</v>
      </c>
      <c r="N6564" t="str">
        <f>HYPERLINK("https://arizona.app.box.com/file/389152330446")</f>
        <v>https://arizona.app.box.com/file/389152330446</v>
      </c>
    </row>
    <row r="6565" spans="1:25" x14ac:dyDescent="0.2">
      <c r="A6565">
        <v>1306</v>
      </c>
      <c r="B6565" t="s">
        <v>10439</v>
      </c>
      <c r="C6565" t="s">
        <v>18</v>
      </c>
      <c r="D6565" t="s">
        <v>8465</v>
      </c>
      <c r="E6565" t="s">
        <v>5793</v>
      </c>
      <c r="F6565" t="s">
        <v>159</v>
      </c>
      <c r="G6565" t="s">
        <v>17</v>
      </c>
      <c r="J6565" t="b">
        <v>0</v>
      </c>
      <c r="K6565" t="b">
        <v>0</v>
      </c>
      <c r="L6565" t="b">
        <v>0</v>
      </c>
      <c r="M6565" t="str">
        <f>HYPERLINK("https://arizona.app.box.com/file/389163158126")</f>
        <v>https://arizona.app.box.com/file/389163158126</v>
      </c>
    </row>
    <row r="6566" spans="1:25" x14ac:dyDescent="0.2">
      <c r="A6566">
        <v>1307</v>
      </c>
      <c r="B6566" t="s">
        <v>10439</v>
      </c>
      <c r="C6566" t="s">
        <v>18</v>
      </c>
      <c r="D6566" t="s">
        <v>10442</v>
      </c>
      <c r="E6566" t="s">
        <v>10443</v>
      </c>
      <c r="F6566" t="s">
        <v>16</v>
      </c>
      <c r="G6566" t="s">
        <v>17</v>
      </c>
      <c r="J6566" t="b">
        <v>0</v>
      </c>
      <c r="K6566" t="b">
        <v>0</v>
      </c>
      <c r="L6566" t="b">
        <v>0</v>
      </c>
      <c r="M6566" t="str">
        <f>HYPERLINK("https://arizona.app.box.com/file/389151002609")</f>
        <v>https://arizona.app.box.com/file/389151002609</v>
      </c>
      <c r="N6566" t="str">
        <f>HYPERLINK("https://arizona.app.box.com/file/386241113911")</f>
        <v>https://arizona.app.box.com/file/386241113911</v>
      </c>
    </row>
    <row r="6568" spans="1:25" x14ac:dyDescent="0.2">
      <c r="A6568" s="2">
        <v>1323</v>
      </c>
      <c r="B6568" s="2" t="s">
        <v>10444</v>
      </c>
      <c r="C6568" s="2" t="s">
        <v>13</v>
      </c>
      <c r="D6568" s="2" t="s">
        <v>7913</v>
      </c>
      <c r="E6568" s="2" t="s">
        <v>10445</v>
      </c>
      <c r="F6568" s="2" t="s">
        <v>174</v>
      </c>
      <c r="G6568" s="2" t="s">
        <v>17</v>
      </c>
      <c r="H6568" s="2"/>
      <c r="I6568" s="2"/>
      <c r="J6568" s="2"/>
      <c r="K6568" s="2"/>
      <c r="L6568" s="2"/>
      <c r="M6568" s="2"/>
      <c r="N6568" s="2"/>
      <c r="O6568" s="2"/>
      <c r="P6568" s="2"/>
      <c r="Q6568" s="2"/>
      <c r="R6568" s="2"/>
      <c r="S6568" s="2"/>
      <c r="T6568" s="2"/>
      <c r="U6568" s="2"/>
      <c r="V6568" s="2"/>
      <c r="W6568" s="2"/>
      <c r="X6568" s="2"/>
      <c r="Y6568" s="2"/>
    </row>
    <row r="6569" spans="1:25" x14ac:dyDescent="0.2">
      <c r="A6569">
        <v>1324</v>
      </c>
      <c r="B6569" t="s">
        <v>10444</v>
      </c>
      <c r="C6569" t="s">
        <v>18</v>
      </c>
      <c r="D6569" t="s">
        <v>7913</v>
      </c>
      <c r="E6569" t="s">
        <v>7914</v>
      </c>
      <c r="F6569" t="s">
        <v>174</v>
      </c>
      <c r="G6569" t="s">
        <v>17</v>
      </c>
      <c r="J6569" t="b">
        <v>1</v>
      </c>
      <c r="K6569" t="b">
        <v>1</v>
      </c>
      <c r="L6569" t="b">
        <v>1</v>
      </c>
      <c r="M6569" t="str">
        <f>HYPERLINK("https://arizona.app.box.com/file/389163027550")</f>
        <v>https://arizona.app.box.com/file/389163027550</v>
      </c>
      <c r="N6569" t="str">
        <f>HYPERLINK("https://arizona.app.box.com/file/389162545777")</f>
        <v>https://arizona.app.box.com/file/389162545777</v>
      </c>
    </row>
    <row r="6570" spans="1:25" x14ac:dyDescent="0.2">
      <c r="A6570">
        <v>1325</v>
      </c>
      <c r="B6570" t="s">
        <v>10444</v>
      </c>
      <c r="C6570" t="s">
        <v>18</v>
      </c>
      <c r="D6570" t="s">
        <v>7917</v>
      </c>
      <c r="E6570" t="s">
        <v>7918</v>
      </c>
      <c r="F6570" t="s">
        <v>174</v>
      </c>
      <c r="G6570" t="s">
        <v>17</v>
      </c>
      <c r="J6570" t="b">
        <v>1</v>
      </c>
      <c r="K6570" t="b">
        <v>0</v>
      </c>
      <c r="L6570" t="b">
        <v>1</v>
      </c>
      <c r="M6570" t="str">
        <f>HYPERLINK("https://arizona.app.box.com/file/389163675058")</f>
        <v>https://arizona.app.box.com/file/389163675058</v>
      </c>
      <c r="N6570" t="str">
        <f>HYPERLINK("https://arizona.app.box.com/file/389261688620")</f>
        <v>https://arizona.app.box.com/file/389261688620</v>
      </c>
    </row>
    <row r="6571" spans="1:25" x14ac:dyDescent="0.2">
      <c r="A6571">
        <v>1326</v>
      </c>
      <c r="B6571" t="s">
        <v>10444</v>
      </c>
      <c r="C6571" t="s">
        <v>18</v>
      </c>
      <c r="D6571" t="s">
        <v>988</v>
      </c>
      <c r="E6571" t="s">
        <v>989</v>
      </c>
      <c r="F6571" t="s">
        <v>174</v>
      </c>
      <c r="G6571" t="s">
        <v>17</v>
      </c>
      <c r="J6571" t="b">
        <v>0</v>
      </c>
      <c r="K6571" t="b">
        <v>0</v>
      </c>
      <c r="L6571" t="b">
        <v>0</v>
      </c>
    </row>
    <row r="6572" spans="1:25" x14ac:dyDescent="0.2">
      <c r="A6572">
        <v>1327</v>
      </c>
      <c r="B6572" t="s">
        <v>10444</v>
      </c>
      <c r="C6572" t="s">
        <v>18</v>
      </c>
      <c r="D6572" t="s">
        <v>10143</v>
      </c>
      <c r="E6572" t="s">
        <v>1442</v>
      </c>
      <c r="F6572" t="s">
        <v>174</v>
      </c>
      <c r="G6572" t="s">
        <v>17</v>
      </c>
      <c r="J6572" t="b">
        <v>0</v>
      </c>
      <c r="K6572" t="b">
        <v>0</v>
      </c>
      <c r="L6572" t="b">
        <v>0</v>
      </c>
      <c r="M6572" t="str">
        <f>HYPERLINK("https://arizona.app.box.com/file/389257426445")</f>
        <v>https://arizona.app.box.com/file/389257426445</v>
      </c>
      <c r="N6572" t="str">
        <f>HYPERLINK("https://arizona.app.box.com/file/389137005997")</f>
        <v>https://arizona.app.box.com/file/389137005997</v>
      </c>
    </row>
    <row r="6573" spans="1:25" x14ac:dyDescent="0.2">
      <c r="A6573">
        <v>1328</v>
      </c>
      <c r="B6573" t="s">
        <v>10444</v>
      </c>
      <c r="C6573" t="s">
        <v>18</v>
      </c>
      <c r="D6573" t="s">
        <v>10446</v>
      </c>
      <c r="E6573" t="s">
        <v>10447</v>
      </c>
      <c r="F6573" t="s">
        <v>78</v>
      </c>
      <c r="G6573" t="s">
        <v>17</v>
      </c>
      <c r="J6573" t="b">
        <v>0</v>
      </c>
      <c r="K6573" t="b">
        <v>0</v>
      </c>
      <c r="L6573" t="b">
        <v>0</v>
      </c>
      <c r="M6573" t="str">
        <f>HYPERLINK("https://arizona.app.box.com/file/389152894014")</f>
        <v>https://arizona.app.box.com/file/389152894014</v>
      </c>
      <c r="N6573" t="str">
        <f>HYPERLINK("https://arizona.app.box.com/file/389161365959")</f>
        <v>https://arizona.app.box.com/file/389161365959</v>
      </c>
    </row>
    <row r="6575" spans="1:25" x14ac:dyDescent="0.2">
      <c r="A6575" s="2">
        <v>1365</v>
      </c>
      <c r="B6575" s="2" t="s">
        <v>10448</v>
      </c>
      <c r="C6575" s="2" t="s">
        <v>13</v>
      </c>
      <c r="D6575" s="2" t="s">
        <v>10449</v>
      </c>
      <c r="E6575" s="2" t="s">
        <v>10450</v>
      </c>
      <c r="F6575" s="2" t="s">
        <v>205</v>
      </c>
      <c r="G6575" s="2" t="s">
        <v>134</v>
      </c>
      <c r="H6575" s="2"/>
      <c r="I6575" s="2"/>
      <c r="J6575" s="2"/>
      <c r="K6575" s="2"/>
      <c r="L6575" s="2"/>
      <c r="M6575" s="2"/>
      <c r="N6575" s="2"/>
      <c r="O6575" s="2"/>
      <c r="P6575" s="2"/>
      <c r="Q6575" s="2"/>
      <c r="R6575" s="2"/>
      <c r="S6575" s="2"/>
      <c r="T6575" s="2"/>
      <c r="U6575" s="2"/>
      <c r="V6575" s="2"/>
      <c r="W6575" s="2"/>
      <c r="X6575" s="2"/>
      <c r="Y6575" s="2"/>
    </row>
    <row r="6576" spans="1:25" x14ac:dyDescent="0.2">
      <c r="A6576">
        <v>1366</v>
      </c>
      <c r="B6576" t="s">
        <v>10448</v>
      </c>
      <c r="C6576" t="s">
        <v>18</v>
      </c>
      <c r="D6576" t="s">
        <v>10449</v>
      </c>
      <c r="E6576" t="s">
        <v>3860</v>
      </c>
      <c r="F6576" t="s">
        <v>205</v>
      </c>
      <c r="G6576" t="s">
        <v>134</v>
      </c>
      <c r="J6576" t="b">
        <v>1</v>
      </c>
      <c r="K6576" t="b">
        <v>1</v>
      </c>
      <c r="L6576" t="b">
        <v>1</v>
      </c>
      <c r="M6576" t="str">
        <f>HYPERLINK("https://arizona.app.box.com/file/389262333657")</f>
        <v>https://arizona.app.box.com/file/389262333657</v>
      </c>
    </row>
    <row r="6577" spans="1:25" x14ac:dyDescent="0.2">
      <c r="A6577">
        <v>1367</v>
      </c>
      <c r="B6577" t="s">
        <v>10448</v>
      </c>
      <c r="C6577" t="s">
        <v>18</v>
      </c>
      <c r="D6577" t="s">
        <v>2489</v>
      </c>
      <c r="E6577" t="s">
        <v>2490</v>
      </c>
      <c r="F6577" t="s">
        <v>205</v>
      </c>
      <c r="G6577" t="s">
        <v>134</v>
      </c>
      <c r="J6577" t="b">
        <v>1</v>
      </c>
      <c r="K6577" t="b">
        <v>1</v>
      </c>
      <c r="L6577" t="b">
        <v>1</v>
      </c>
      <c r="M6577" t="str">
        <f>HYPERLINK("https://arizona.app.box.com/file/389153183261")</f>
        <v>https://arizona.app.box.com/file/389153183261</v>
      </c>
    </row>
    <row r="6578" spans="1:25" x14ac:dyDescent="0.2">
      <c r="A6578">
        <v>1368</v>
      </c>
      <c r="B6578" t="s">
        <v>10448</v>
      </c>
      <c r="C6578" t="s">
        <v>18</v>
      </c>
      <c r="D6578" t="s">
        <v>10451</v>
      </c>
      <c r="E6578" t="s">
        <v>7330</v>
      </c>
      <c r="F6578" t="s">
        <v>78</v>
      </c>
      <c r="G6578" t="s">
        <v>134</v>
      </c>
      <c r="J6578" t="b">
        <v>0</v>
      </c>
      <c r="K6578" t="b">
        <v>0</v>
      </c>
      <c r="L6578" t="b">
        <v>0</v>
      </c>
      <c r="M6578" t="str">
        <f>HYPERLINK("https://arizona.app.box.com/file/389168940989")</f>
        <v>https://arizona.app.box.com/file/389168940989</v>
      </c>
      <c r="N6578" t="str">
        <f>HYPERLINK("https://arizona.app.box.com/file/386239265377")</f>
        <v>https://arizona.app.box.com/file/386239265377</v>
      </c>
    </row>
    <row r="6579" spans="1:25" x14ac:dyDescent="0.2">
      <c r="A6579">
        <v>1369</v>
      </c>
      <c r="B6579" t="s">
        <v>10448</v>
      </c>
      <c r="C6579" t="s">
        <v>18</v>
      </c>
      <c r="D6579" t="s">
        <v>2486</v>
      </c>
      <c r="E6579" t="s">
        <v>2487</v>
      </c>
      <c r="F6579" t="s">
        <v>205</v>
      </c>
      <c r="G6579" t="s">
        <v>134</v>
      </c>
      <c r="J6579" t="b">
        <v>0</v>
      </c>
      <c r="K6579" t="b">
        <v>0</v>
      </c>
      <c r="L6579" t="b">
        <v>0</v>
      </c>
      <c r="M6579" t="str">
        <f>HYPERLINK("https://arizona.app.box.com/file/389163865673")</f>
        <v>https://arizona.app.box.com/file/389163865673</v>
      </c>
      <c r="N6579" t="str">
        <f>HYPERLINK("https://arizona.app.box.com/file/386241113911")</f>
        <v>https://arizona.app.box.com/file/386241113911</v>
      </c>
    </row>
    <row r="6580" spans="1:25" x14ac:dyDescent="0.2">
      <c r="A6580">
        <v>1370</v>
      </c>
      <c r="B6580" t="s">
        <v>10448</v>
      </c>
      <c r="C6580" t="s">
        <v>18</v>
      </c>
      <c r="D6580" t="s">
        <v>10452</v>
      </c>
      <c r="E6580" t="s">
        <v>10453</v>
      </c>
      <c r="F6580" t="s">
        <v>205</v>
      </c>
      <c r="G6580" t="s">
        <v>134</v>
      </c>
      <c r="J6580" t="b">
        <v>0</v>
      </c>
      <c r="K6580" t="b">
        <v>0</v>
      </c>
      <c r="L6580" t="b">
        <v>0</v>
      </c>
    </row>
    <row r="6582" spans="1:25" x14ac:dyDescent="0.2">
      <c r="A6582" s="2">
        <v>1386</v>
      </c>
      <c r="B6582" s="2" t="s">
        <v>10454</v>
      </c>
      <c r="C6582" s="2" t="s">
        <v>13</v>
      </c>
      <c r="D6582" s="2" t="s">
        <v>10455</v>
      </c>
      <c r="E6582" s="2" t="s">
        <v>10456</v>
      </c>
      <c r="F6582" s="2" t="s">
        <v>82</v>
      </c>
      <c r="G6582" s="2" t="s">
        <v>265</v>
      </c>
      <c r="H6582" s="2"/>
      <c r="I6582" s="2"/>
      <c r="J6582" s="2"/>
      <c r="K6582" s="2"/>
      <c r="L6582" s="2"/>
      <c r="M6582" s="2"/>
      <c r="N6582" s="2"/>
      <c r="O6582" s="2"/>
      <c r="P6582" s="2"/>
      <c r="Q6582" s="2"/>
      <c r="R6582" s="2"/>
      <c r="S6582" s="2"/>
      <c r="T6582" s="2"/>
      <c r="U6582" s="2"/>
      <c r="V6582" s="2"/>
      <c r="W6582" s="2"/>
      <c r="X6582" s="2"/>
      <c r="Y6582" s="2"/>
    </row>
    <row r="6583" spans="1:25" x14ac:dyDescent="0.2">
      <c r="A6583">
        <v>1387</v>
      </c>
      <c r="B6583" t="s">
        <v>10454</v>
      </c>
      <c r="C6583" t="s">
        <v>18</v>
      </c>
      <c r="D6583" t="s">
        <v>10455</v>
      </c>
      <c r="E6583" t="s">
        <v>10457</v>
      </c>
      <c r="F6583" t="s">
        <v>82</v>
      </c>
      <c r="G6583" t="s">
        <v>265</v>
      </c>
      <c r="J6583" t="b">
        <v>1</v>
      </c>
      <c r="K6583" t="b">
        <v>1</v>
      </c>
      <c r="L6583" t="b">
        <v>1</v>
      </c>
      <c r="M6583" t="str">
        <f>HYPERLINK("https://arizona.app.box.com/file/386228528374")</f>
        <v>https://arizona.app.box.com/file/386228528374</v>
      </c>
    </row>
    <row r="6584" spans="1:25" x14ac:dyDescent="0.2">
      <c r="A6584">
        <v>1388</v>
      </c>
      <c r="B6584" t="s">
        <v>10454</v>
      </c>
      <c r="C6584" t="s">
        <v>18</v>
      </c>
      <c r="D6584" t="s">
        <v>10458</v>
      </c>
      <c r="E6584" t="s">
        <v>7850</v>
      </c>
      <c r="F6584" t="s">
        <v>159</v>
      </c>
      <c r="G6584" t="s">
        <v>265</v>
      </c>
      <c r="J6584" t="b">
        <v>1</v>
      </c>
      <c r="K6584" t="b">
        <v>1</v>
      </c>
      <c r="L6584" t="b">
        <v>1</v>
      </c>
      <c r="M6584" t="str">
        <f>HYPERLINK("https://arizona.app.box.com/file/386241863109")</f>
        <v>https://arizona.app.box.com/file/386241863109</v>
      </c>
    </row>
    <row r="6585" spans="1:25" x14ac:dyDescent="0.2">
      <c r="A6585">
        <v>1389</v>
      </c>
      <c r="B6585" t="s">
        <v>10454</v>
      </c>
      <c r="C6585" t="s">
        <v>18</v>
      </c>
      <c r="D6585" t="s">
        <v>10459</v>
      </c>
      <c r="E6585" t="s">
        <v>914</v>
      </c>
      <c r="F6585" t="s">
        <v>82</v>
      </c>
      <c r="G6585" t="s">
        <v>265</v>
      </c>
      <c r="J6585" t="b">
        <v>0</v>
      </c>
      <c r="K6585" t="b">
        <v>0</v>
      </c>
      <c r="L6585" t="b">
        <v>0</v>
      </c>
      <c r="M6585" t="str">
        <f>HYPERLINK("https://arizona.app.box.com/file/386246080728")</f>
        <v>https://arizona.app.box.com/file/386246080728</v>
      </c>
    </row>
    <row r="6586" spans="1:25" x14ac:dyDescent="0.2">
      <c r="A6586">
        <v>1390</v>
      </c>
      <c r="B6586" t="s">
        <v>10454</v>
      </c>
      <c r="C6586" t="s">
        <v>18</v>
      </c>
      <c r="D6586" t="s">
        <v>3429</v>
      </c>
      <c r="E6586" t="s">
        <v>3430</v>
      </c>
      <c r="F6586" t="s">
        <v>159</v>
      </c>
      <c r="G6586" t="s">
        <v>265</v>
      </c>
      <c r="J6586" t="b">
        <v>0</v>
      </c>
      <c r="K6586" t="b">
        <v>0</v>
      </c>
      <c r="L6586" t="b">
        <v>0</v>
      </c>
      <c r="M6586" t="str">
        <f>HYPERLINK("https://arizona.app.box.com/file/389163366317")</f>
        <v>https://arizona.app.box.com/file/389163366317</v>
      </c>
      <c r="N6586" t="str">
        <f>HYPERLINK("https://arizona.app.box.com/file/386240798930")</f>
        <v>https://arizona.app.box.com/file/386240798930</v>
      </c>
    </row>
    <row r="6587" spans="1:25" x14ac:dyDescent="0.2">
      <c r="A6587">
        <v>1391</v>
      </c>
      <c r="B6587" t="s">
        <v>10454</v>
      </c>
      <c r="C6587" t="s">
        <v>18</v>
      </c>
      <c r="D6587" t="s">
        <v>3433</v>
      </c>
      <c r="E6587" t="s">
        <v>3434</v>
      </c>
      <c r="F6587" t="s">
        <v>82</v>
      </c>
      <c r="G6587" t="s">
        <v>265</v>
      </c>
      <c r="J6587" t="b">
        <v>0</v>
      </c>
      <c r="K6587" t="b">
        <v>0</v>
      </c>
      <c r="L6587" t="b">
        <v>0</v>
      </c>
    </row>
    <row r="6589" spans="1:25" x14ac:dyDescent="0.2">
      <c r="A6589" s="2">
        <v>1421</v>
      </c>
      <c r="B6589" s="2" t="s">
        <v>10460</v>
      </c>
      <c r="C6589" s="2" t="s">
        <v>13</v>
      </c>
      <c r="D6589" s="2" t="s">
        <v>10461</v>
      </c>
      <c r="E6589" s="2" t="s">
        <v>10462</v>
      </c>
      <c r="F6589" s="2" t="s">
        <v>510</v>
      </c>
      <c r="G6589" s="2" t="s">
        <v>1405</v>
      </c>
      <c r="H6589" s="2"/>
      <c r="I6589" s="2"/>
      <c r="J6589" s="2"/>
      <c r="K6589" s="2"/>
      <c r="L6589" s="2"/>
      <c r="M6589" s="2"/>
      <c r="N6589" s="2"/>
      <c r="O6589" s="2"/>
      <c r="P6589" s="2"/>
      <c r="Q6589" s="2"/>
      <c r="R6589" s="2"/>
      <c r="S6589" s="2"/>
      <c r="T6589" s="2"/>
      <c r="U6589" s="2"/>
      <c r="V6589" s="2"/>
      <c r="W6589" s="2"/>
      <c r="X6589" s="2"/>
      <c r="Y6589" s="2"/>
    </row>
    <row r="6590" spans="1:25" x14ac:dyDescent="0.2">
      <c r="A6590">
        <v>1422</v>
      </c>
      <c r="B6590" t="s">
        <v>10460</v>
      </c>
      <c r="C6590" t="s">
        <v>18</v>
      </c>
      <c r="D6590" t="s">
        <v>10463</v>
      </c>
      <c r="E6590" t="s">
        <v>10464</v>
      </c>
      <c r="F6590" t="s">
        <v>45</v>
      </c>
      <c r="G6590" t="s">
        <v>32</v>
      </c>
      <c r="J6590" t="b">
        <v>0</v>
      </c>
      <c r="K6590" t="b">
        <v>0</v>
      </c>
      <c r="L6590" t="b">
        <v>0</v>
      </c>
    </row>
    <row r="6591" spans="1:25" x14ac:dyDescent="0.2">
      <c r="A6591">
        <v>1423</v>
      </c>
      <c r="B6591" t="s">
        <v>10460</v>
      </c>
      <c r="C6591" t="s">
        <v>18</v>
      </c>
      <c r="D6591" t="s">
        <v>5702</v>
      </c>
      <c r="E6591" t="s">
        <v>5703</v>
      </c>
      <c r="F6591" t="s">
        <v>196</v>
      </c>
      <c r="G6591" t="s">
        <v>130</v>
      </c>
      <c r="J6591" t="b">
        <v>0</v>
      </c>
      <c r="K6591" t="b">
        <v>0</v>
      </c>
      <c r="L6591" t="b">
        <v>0</v>
      </c>
      <c r="M6591" t="str">
        <f>HYPERLINK("https://arizona.app.box.com/file/389262741188")</f>
        <v>https://arizona.app.box.com/file/389262741188</v>
      </c>
      <c r="N6591" t="str">
        <f>HYPERLINK("https://arizona.app.box.com/file/389152307234")</f>
        <v>https://arizona.app.box.com/file/389152307234</v>
      </c>
      <c r="O6591" t="str">
        <f>HYPERLINK("https://arizona.app.box.com/file/389257107035")</f>
        <v>https://arizona.app.box.com/file/389257107035</v>
      </c>
      <c r="P6591" t="str">
        <f>HYPERLINK("https://arizona.app.box.com/file/389163397802")</f>
        <v>https://arizona.app.box.com/file/389163397802</v>
      </c>
    </row>
    <row r="6592" spans="1:25" x14ac:dyDescent="0.2">
      <c r="A6592">
        <v>1424</v>
      </c>
      <c r="B6592" t="s">
        <v>10460</v>
      </c>
      <c r="C6592" t="s">
        <v>18</v>
      </c>
      <c r="D6592" t="s">
        <v>7251</v>
      </c>
      <c r="E6592" t="s">
        <v>7252</v>
      </c>
      <c r="F6592" t="s">
        <v>205</v>
      </c>
      <c r="G6592" t="s">
        <v>88</v>
      </c>
      <c r="J6592" t="b">
        <v>0</v>
      </c>
      <c r="K6592" t="b">
        <v>0</v>
      </c>
      <c r="L6592" t="b">
        <v>0</v>
      </c>
    </row>
    <row r="6593" spans="1:25" x14ac:dyDescent="0.2">
      <c r="A6593">
        <v>1425</v>
      </c>
      <c r="B6593" t="s">
        <v>10460</v>
      </c>
      <c r="C6593" t="s">
        <v>18</v>
      </c>
      <c r="D6593" t="s">
        <v>10465</v>
      </c>
      <c r="E6593" t="s">
        <v>10466</v>
      </c>
      <c r="F6593" t="s">
        <v>82</v>
      </c>
      <c r="G6593" t="s">
        <v>32</v>
      </c>
      <c r="J6593" t="b">
        <v>0</v>
      </c>
      <c r="K6593" t="b">
        <v>0</v>
      </c>
      <c r="L6593" t="b">
        <v>0</v>
      </c>
      <c r="M6593" t="str">
        <f>HYPERLINK("https://arizona.app.box.com/file/386238027393")</f>
        <v>https://arizona.app.box.com/file/386238027393</v>
      </c>
    </row>
    <row r="6594" spans="1:25" x14ac:dyDescent="0.2">
      <c r="A6594">
        <v>1426</v>
      </c>
      <c r="B6594" t="s">
        <v>10460</v>
      </c>
      <c r="C6594" t="s">
        <v>18</v>
      </c>
      <c r="D6594" t="s">
        <v>5724</v>
      </c>
      <c r="E6594" t="s">
        <v>5725</v>
      </c>
      <c r="F6594" t="s">
        <v>5726</v>
      </c>
      <c r="G6594" t="s">
        <v>280</v>
      </c>
      <c r="J6594" t="b">
        <v>0</v>
      </c>
      <c r="K6594" t="b">
        <v>0</v>
      </c>
      <c r="L6594" t="b">
        <v>0</v>
      </c>
      <c r="M6594" t="str">
        <f>HYPERLINK("https://arizona.app.box.com/file/389259513909")</f>
        <v>https://arizona.app.box.com/file/389259513909</v>
      </c>
      <c r="N6594" t="str">
        <f>HYPERLINK("https://arizona.app.box.com/file/389160840200")</f>
        <v>https://arizona.app.box.com/file/389160840200</v>
      </c>
      <c r="O6594" t="str">
        <f>HYPERLINK("https://arizona.app.box.com/file/389268849475")</f>
        <v>https://arizona.app.box.com/file/389268849475</v>
      </c>
      <c r="P6594" t="str">
        <f>HYPERLINK("https://arizona.app.box.com/file/389172148402")</f>
        <v>https://arizona.app.box.com/file/389172148402</v>
      </c>
      <c r="Q6594" t="str">
        <f>HYPERLINK("https://arizona.app.box.com/file/389164699818")</f>
        <v>https://arizona.app.box.com/file/389164699818</v>
      </c>
    </row>
    <row r="6596" spans="1:25" x14ac:dyDescent="0.2">
      <c r="A6596" s="2">
        <v>1449</v>
      </c>
      <c r="B6596" s="2" t="s">
        <v>10467</v>
      </c>
      <c r="C6596" s="2" t="s">
        <v>13</v>
      </c>
      <c r="D6596" s="2" t="s">
        <v>6217</v>
      </c>
      <c r="E6596" s="2" t="s">
        <v>10468</v>
      </c>
      <c r="F6596" s="2" t="s">
        <v>78</v>
      </c>
      <c r="G6596" s="2" t="s">
        <v>130</v>
      </c>
      <c r="H6596" s="2"/>
      <c r="I6596" s="2"/>
      <c r="J6596" s="2"/>
      <c r="K6596" s="2"/>
      <c r="L6596" s="2"/>
      <c r="M6596" s="2"/>
      <c r="N6596" s="2"/>
      <c r="O6596" s="2"/>
      <c r="P6596" s="2"/>
      <c r="Q6596" s="2"/>
      <c r="R6596" s="2"/>
      <c r="S6596" s="2"/>
      <c r="T6596" s="2"/>
      <c r="U6596" s="2"/>
      <c r="V6596" s="2"/>
      <c r="W6596" s="2"/>
      <c r="X6596" s="2"/>
      <c r="Y6596" s="2"/>
    </row>
    <row r="6597" spans="1:25" x14ac:dyDescent="0.2">
      <c r="A6597">
        <v>1450</v>
      </c>
      <c r="B6597" t="s">
        <v>10467</v>
      </c>
      <c r="C6597" t="s">
        <v>18</v>
      </c>
      <c r="D6597" t="s">
        <v>6217</v>
      </c>
      <c r="E6597" t="s">
        <v>2830</v>
      </c>
      <c r="F6597" t="s">
        <v>78</v>
      </c>
      <c r="G6597" t="s">
        <v>130</v>
      </c>
      <c r="J6597" t="b">
        <v>1</v>
      </c>
      <c r="K6597" t="b">
        <v>1</v>
      </c>
      <c r="L6597" t="b">
        <v>1</v>
      </c>
      <c r="M6597" t="str">
        <f>HYPERLINK("https://arizona.app.box.com/file/389261246717")</f>
        <v>https://arizona.app.box.com/file/389261246717</v>
      </c>
      <c r="N6597" t="str">
        <f>HYPERLINK("https://arizona.app.box.com/file/389162354465")</f>
        <v>https://arizona.app.box.com/file/389162354465</v>
      </c>
    </row>
    <row r="6598" spans="1:25" x14ac:dyDescent="0.2">
      <c r="A6598">
        <v>1451</v>
      </c>
      <c r="B6598" t="s">
        <v>10467</v>
      </c>
      <c r="C6598" t="s">
        <v>18</v>
      </c>
      <c r="D6598" t="s">
        <v>7589</v>
      </c>
      <c r="E6598" t="s">
        <v>7590</v>
      </c>
      <c r="F6598" t="s">
        <v>78</v>
      </c>
      <c r="G6598" t="s">
        <v>130</v>
      </c>
      <c r="J6598" t="b">
        <v>1</v>
      </c>
      <c r="K6598" t="b">
        <v>1</v>
      </c>
      <c r="L6598" t="b">
        <v>1</v>
      </c>
      <c r="M6598" t="str">
        <f>HYPERLINK("https://arizona.app.box.com/file/389263470676")</f>
        <v>https://arizona.app.box.com/file/389263470676</v>
      </c>
      <c r="N6598" t="str">
        <f>HYPERLINK("https://arizona.app.box.com/file/389138517869")</f>
        <v>https://arizona.app.box.com/file/389138517869</v>
      </c>
    </row>
    <row r="6599" spans="1:25" x14ac:dyDescent="0.2">
      <c r="A6599">
        <v>1452</v>
      </c>
      <c r="B6599" t="s">
        <v>10467</v>
      </c>
      <c r="C6599" t="s">
        <v>18</v>
      </c>
      <c r="D6599" t="s">
        <v>9723</v>
      </c>
      <c r="E6599" t="s">
        <v>9724</v>
      </c>
      <c r="F6599" t="s">
        <v>78</v>
      </c>
      <c r="G6599" t="s">
        <v>130</v>
      </c>
      <c r="J6599" t="b">
        <v>0</v>
      </c>
      <c r="K6599" t="b">
        <v>0</v>
      </c>
      <c r="L6599" t="b">
        <v>0</v>
      </c>
      <c r="M6599" t="str">
        <f>HYPERLINK("https://arizona.app.box.com/file/386227750360")</f>
        <v>https://arizona.app.box.com/file/386227750360</v>
      </c>
    </row>
    <row r="6600" spans="1:25" x14ac:dyDescent="0.2">
      <c r="A6600">
        <v>1453</v>
      </c>
      <c r="B6600" t="s">
        <v>10467</v>
      </c>
      <c r="C6600" t="s">
        <v>18</v>
      </c>
      <c r="D6600" t="s">
        <v>3694</v>
      </c>
      <c r="E6600" t="s">
        <v>3695</v>
      </c>
      <c r="F6600" t="s">
        <v>78</v>
      </c>
      <c r="G6600" t="s">
        <v>130</v>
      </c>
      <c r="J6600" t="b">
        <v>0</v>
      </c>
      <c r="K6600" t="b">
        <v>0</v>
      </c>
      <c r="L6600" t="b">
        <v>0</v>
      </c>
      <c r="M6600" t="str">
        <f>HYPERLINK("https://arizona.app.box.com/file/389262506707")</f>
        <v>https://arizona.app.box.com/file/389262506707</v>
      </c>
      <c r="N6600" t="str">
        <f>HYPERLINK("https://arizona.app.box.com/file/389163289701")</f>
        <v>https://arizona.app.box.com/file/389163289701</v>
      </c>
    </row>
    <row r="6601" spans="1:25" x14ac:dyDescent="0.2">
      <c r="A6601">
        <v>1454</v>
      </c>
      <c r="B6601" t="s">
        <v>10467</v>
      </c>
      <c r="C6601" t="s">
        <v>18</v>
      </c>
      <c r="D6601" t="s">
        <v>6046</v>
      </c>
      <c r="E6601" t="s">
        <v>2082</v>
      </c>
      <c r="F6601" t="s">
        <v>148</v>
      </c>
      <c r="G6601" t="s">
        <v>252</v>
      </c>
      <c r="J6601" t="b">
        <v>0</v>
      </c>
      <c r="K6601" t="b">
        <v>0</v>
      </c>
      <c r="L6601" t="b">
        <v>0</v>
      </c>
      <c r="M6601" t="str">
        <f>HYPERLINK("https://arizona.app.box.com/file/389267469582")</f>
        <v>https://arizona.app.box.com/file/389267469582</v>
      </c>
    </row>
    <row r="6603" spans="1:25" x14ac:dyDescent="0.2">
      <c r="A6603" s="2">
        <v>1526</v>
      </c>
      <c r="B6603" s="2" t="s">
        <v>10469</v>
      </c>
      <c r="C6603" s="2" t="s">
        <v>13</v>
      </c>
      <c r="D6603" s="2" t="s">
        <v>10470</v>
      </c>
      <c r="E6603" s="2" t="s">
        <v>10471</v>
      </c>
      <c r="F6603" s="2" t="s">
        <v>78</v>
      </c>
      <c r="G6603" s="2" t="s">
        <v>17</v>
      </c>
      <c r="H6603" s="2"/>
      <c r="I6603" s="2"/>
      <c r="J6603" s="2"/>
      <c r="K6603" s="2"/>
      <c r="L6603" s="2"/>
      <c r="M6603" s="2"/>
      <c r="N6603" s="2"/>
      <c r="O6603" s="2"/>
      <c r="P6603" s="2"/>
      <c r="Q6603" s="2"/>
      <c r="R6603" s="2"/>
      <c r="S6603" s="2"/>
      <c r="T6603" s="2"/>
      <c r="U6603" s="2"/>
      <c r="V6603" s="2"/>
      <c r="W6603" s="2"/>
      <c r="X6603" s="2"/>
      <c r="Y6603" s="2"/>
    </row>
    <row r="6604" spans="1:25" x14ac:dyDescent="0.2">
      <c r="A6604">
        <v>1527</v>
      </c>
      <c r="B6604" t="s">
        <v>10469</v>
      </c>
      <c r="C6604" t="s">
        <v>18</v>
      </c>
      <c r="D6604" t="s">
        <v>10470</v>
      </c>
      <c r="E6604" t="s">
        <v>2928</v>
      </c>
      <c r="F6604" t="s">
        <v>78</v>
      </c>
      <c r="G6604" t="s">
        <v>17</v>
      </c>
      <c r="J6604" t="b">
        <v>1</v>
      </c>
      <c r="K6604" t="b">
        <v>1</v>
      </c>
      <c r="L6604" t="b">
        <v>1</v>
      </c>
      <c r="M6604" t="str">
        <f>HYPERLINK("https://arizona.app.box.com/file/389133385820")</f>
        <v>https://arizona.app.box.com/file/389133385820</v>
      </c>
    </row>
    <row r="6605" spans="1:25" x14ac:dyDescent="0.2">
      <c r="A6605">
        <v>1528</v>
      </c>
      <c r="B6605" t="s">
        <v>10469</v>
      </c>
      <c r="C6605" t="s">
        <v>18</v>
      </c>
      <c r="D6605" t="s">
        <v>10472</v>
      </c>
      <c r="E6605" t="s">
        <v>284</v>
      </c>
      <c r="F6605" t="s">
        <v>78</v>
      </c>
      <c r="G6605" t="s">
        <v>17</v>
      </c>
      <c r="J6605" t="b">
        <v>1</v>
      </c>
      <c r="K6605" t="b">
        <v>1</v>
      </c>
      <c r="L6605" t="b">
        <v>1</v>
      </c>
      <c r="M6605" t="str">
        <f>HYPERLINK("https://arizona.app.box.com/file/389159526317")</f>
        <v>https://arizona.app.box.com/file/389159526317</v>
      </c>
    </row>
    <row r="6606" spans="1:25" x14ac:dyDescent="0.2">
      <c r="A6606">
        <v>1529</v>
      </c>
      <c r="B6606" t="s">
        <v>10469</v>
      </c>
      <c r="C6606" t="s">
        <v>18</v>
      </c>
      <c r="D6606" t="s">
        <v>9593</v>
      </c>
      <c r="E6606" t="s">
        <v>9594</v>
      </c>
      <c r="F6606" t="s">
        <v>78</v>
      </c>
      <c r="G6606" t="s">
        <v>17</v>
      </c>
      <c r="J6606" t="b">
        <v>0</v>
      </c>
      <c r="K6606" t="b">
        <v>0</v>
      </c>
      <c r="L6606" t="b">
        <v>0</v>
      </c>
      <c r="M6606" t="str">
        <f>HYPERLINK("https://arizona.app.box.com/file/389152202007")</f>
        <v>https://arizona.app.box.com/file/389152202007</v>
      </c>
      <c r="N6606" t="str">
        <f>HYPERLINK("https://arizona.app.box.com/file/389151715169")</f>
        <v>https://arizona.app.box.com/file/389151715169</v>
      </c>
    </row>
    <row r="6607" spans="1:25" x14ac:dyDescent="0.2">
      <c r="A6607">
        <v>1530</v>
      </c>
      <c r="B6607" t="s">
        <v>10469</v>
      </c>
      <c r="C6607" t="s">
        <v>18</v>
      </c>
      <c r="D6607" t="s">
        <v>9589</v>
      </c>
      <c r="E6607" t="s">
        <v>9590</v>
      </c>
      <c r="F6607" t="s">
        <v>78</v>
      </c>
      <c r="G6607" t="s">
        <v>17</v>
      </c>
      <c r="J6607" t="b">
        <v>0</v>
      </c>
      <c r="K6607" t="b">
        <v>0</v>
      </c>
      <c r="L6607" t="b">
        <v>0</v>
      </c>
      <c r="M6607" t="str">
        <f>HYPERLINK("https://arizona.app.box.com/file/386247434280")</f>
        <v>https://arizona.app.box.com/file/386247434280</v>
      </c>
      <c r="N6607" t="str">
        <f>HYPERLINK("https://arizona.app.box.com/file/389133898462")</f>
        <v>https://arizona.app.box.com/file/389133898462</v>
      </c>
    </row>
    <row r="6608" spans="1:25" x14ac:dyDescent="0.2">
      <c r="A6608">
        <v>1531</v>
      </c>
      <c r="B6608" t="s">
        <v>10469</v>
      </c>
      <c r="C6608" t="s">
        <v>18</v>
      </c>
      <c r="D6608" t="s">
        <v>9591</v>
      </c>
      <c r="E6608" t="s">
        <v>9592</v>
      </c>
      <c r="F6608" t="s">
        <v>78</v>
      </c>
      <c r="G6608" t="s">
        <v>17</v>
      </c>
      <c r="J6608" t="b">
        <v>0</v>
      </c>
      <c r="K6608" t="b">
        <v>0</v>
      </c>
      <c r="L6608" t="b">
        <v>0</v>
      </c>
      <c r="M6608" t="str">
        <f>HYPERLINK("https://arizona.app.box.com/file/386265276767")</f>
        <v>https://arizona.app.box.com/file/386265276767</v>
      </c>
    </row>
    <row r="6610" spans="1:25" x14ac:dyDescent="0.2">
      <c r="A6610" s="2">
        <v>1568</v>
      </c>
      <c r="B6610" s="2" t="s">
        <v>10473</v>
      </c>
      <c r="C6610" s="2" t="s">
        <v>13</v>
      </c>
      <c r="D6610" s="2" t="s">
        <v>10474</v>
      </c>
      <c r="E6610" s="2" t="s">
        <v>10475</v>
      </c>
      <c r="F6610" s="2" t="s">
        <v>561</v>
      </c>
      <c r="G6610" s="2" t="s">
        <v>252</v>
      </c>
      <c r="H6610" s="2"/>
      <c r="I6610" s="2"/>
      <c r="J6610" s="2"/>
      <c r="K6610" s="2"/>
      <c r="L6610" s="2"/>
      <c r="M6610" s="2"/>
      <c r="N6610" s="2"/>
      <c r="O6610" s="2"/>
      <c r="P6610" s="2"/>
      <c r="Q6610" s="2"/>
      <c r="R6610" s="2"/>
      <c r="S6610" s="2"/>
      <c r="T6610" s="2"/>
      <c r="U6610" s="2"/>
      <c r="V6610" s="2"/>
      <c r="W6610" s="2"/>
      <c r="X6610" s="2"/>
      <c r="Y6610" s="2"/>
    </row>
    <row r="6611" spans="1:25" x14ac:dyDescent="0.2">
      <c r="A6611">
        <v>1569</v>
      </c>
      <c r="B6611" t="s">
        <v>10473</v>
      </c>
      <c r="C6611" t="s">
        <v>18</v>
      </c>
      <c r="D6611" t="s">
        <v>10474</v>
      </c>
      <c r="E6611" t="s">
        <v>10475</v>
      </c>
      <c r="F6611" t="s">
        <v>561</v>
      </c>
      <c r="G6611" t="s">
        <v>252</v>
      </c>
      <c r="J6611" t="b">
        <v>1</v>
      </c>
      <c r="K6611" t="b">
        <v>1</v>
      </c>
      <c r="L6611" t="b">
        <v>1</v>
      </c>
      <c r="M6611" t="str">
        <f>HYPERLINK("https://arizona.app.box.com/file/386263778324")</f>
        <v>https://arizona.app.box.com/file/386263778324</v>
      </c>
      <c r="N6611" t="str">
        <f>HYPERLINK("https://arizona.app.box.com/file/386214107658")</f>
        <v>https://arizona.app.box.com/file/386214107658</v>
      </c>
    </row>
    <row r="6612" spans="1:25" x14ac:dyDescent="0.2">
      <c r="A6612">
        <v>1570</v>
      </c>
      <c r="B6612" t="s">
        <v>10473</v>
      </c>
      <c r="C6612" t="s">
        <v>18</v>
      </c>
      <c r="D6612" t="s">
        <v>2171</v>
      </c>
      <c r="E6612" t="s">
        <v>2172</v>
      </c>
      <c r="F6612" t="s">
        <v>23</v>
      </c>
      <c r="G6612" t="s">
        <v>252</v>
      </c>
      <c r="J6612" t="b">
        <v>0</v>
      </c>
      <c r="K6612" t="b">
        <v>0</v>
      </c>
      <c r="L6612" t="b">
        <v>0</v>
      </c>
      <c r="M6612" t="str">
        <f>HYPERLINK("https://arizona.app.box.com/file/386246731391")</f>
        <v>https://arizona.app.box.com/file/386246731391</v>
      </c>
      <c r="N6612" t="str">
        <f>HYPERLINK("https://arizona.app.box.com/file/386242637131")</f>
        <v>https://arizona.app.box.com/file/386242637131</v>
      </c>
    </row>
    <row r="6613" spans="1:25" x14ac:dyDescent="0.2">
      <c r="A6613">
        <v>1571</v>
      </c>
      <c r="B6613" t="s">
        <v>10473</v>
      </c>
      <c r="C6613" t="s">
        <v>18</v>
      </c>
      <c r="D6613" t="s">
        <v>2177</v>
      </c>
      <c r="E6613" t="s">
        <v>2178</v>
      </c>
      <c r="F6613" t="s">
        <v>78</v>
      </c>
      <c r="G6613" t="s">
        <v>252</v>
      </c>
      <c r="J6613" t="b">
        <v>0</v>
      </c>
      <c r="K6613" t="b">
        <v>0</v>
      </c>
      <c r="L6613" t="b">
        <v>0</v>
      </c>
      <c r="M6613" t="str">
        <f>HYPERLINK("https://arizona.app.box.com/file/386218758668")</f>
        <v>https://arizona.app.box.com/file/386218758668</v>
      </c>
      <c r="N6613" t="str">
        <f>HYPERLINK("https://arizona.app.box.com/file/386241113911")</f>
        <v>https://arizona.app.box.com/file/386241113911</v>
      </c>
    </row>
    <row r="6614" spans="1:25" x14ac:dyDescent="0.2">
      <c r="A6614">
        <v>1572</v>
      </c>
      <c r="B6614" t="s">
        <v>10473</v>
      </c>
      <c r="C6614" t="s">
        <v>18</v>
      </c>
      <c r="D6614" t="s">
        <v>10476</v>
      </c>
      <c r="E6614" t="s">
        <v>3618</v>
      </c>
      <c r="F6614" t="s">
        <v>270</v>
      </c>
      <c r="G6614" t="s">
        <v>252</v>
      </c>
      <c r="J6614" t="b">
        <v>0</v>
      </c>
      <c r="K6614" t="b">
        <v>0</v>
      </c>
      <c r="L6614" t="b">
        <v>0</v>
      </c>
      <c r="M6614" t="str">
        <f>HYPERLINK("https://arizona.app.box.com/file/389264213950")</f>
        <v>https://arizona.app.box.com/file/389264213950</v>
      </c>
      <c r="N6614" t="str">
        <f>HYPERLINK("https://arizona.app.box.com/file/389171930991")</f>
        <v>https://arizona.app.box.com/file/389171930991</v>
      </c>
    </row>
    <row r="6615" spans="1:25" x14ac:dyDescent="0.2">
      <c r="A6615">
        <v>1573</v>
      </c>
      <c r="B6615" t="s">
        <v>10473</v>
      </c>
      <c r="C6615" t="s">
        <v>18</v>
      </c>
      <c r="D6615" t="s">
        <v>2191</v>
      </c>
      <c r="E6615" t="s">
        <v>2192</v>
      </c>
      <c r="F6615" t="s">
        <v>248</v>
      </c>
      <c r="G6615" t="s">
        <v>252</v>
      </c>
      <c r="J6615" t="b">
        <v>0</v>
      </c>
      <c r="K6615" t="b">
        <v>0</v>
      </c>
      <c r="L6615" t="b">
        <v>0</v>
      </c>
    </row>
    <row r="6617" spans="1:25" x14ac:dyDescent="0.2">
      <c r="A6617" s="2">
        <v>1596</v>
      </c>
      <c r="B6617" s="2" t="s">
        <v>10477</v>
      </c>
      <c r="C6617" s="2" t="s">
        <v>13</v>
      </c>
      <c r="D6617" s="2" t="s">
        <v>10478</v>
      </c>
      <c r="E6617" s="2" t="s">
        <v>10479</v>
      </c>
      <c r="F6617" s="2" t="s">
        <v>205</v>
      </c>
      <c r="G6617" s="2" t="s">
        <v>88</v>
      </c>
      <c r="H6617" s="2"/>
      <c r="I6617" s="2"/>
      <c r="J6617" s="2"/>
      <c r="K6617" s="2"/>
      <c r="L6617" s="2"/>
      <c r="M6617" s="2"/>
      <c r="N6617" s="2"/>
      <c r="O6617" s="2"/>
      <c r="P6617" s="2"/>
      <c r="Q6617" s="2"/>
      <c r="R6617" s="2"/>
      <c r="S6617" s="2"/>
      <c r="T6617" s="2"/>
      <c r="U6617" s="2"/>
      <c r="V6617" s="2"/>
      <c r="W6617" s="2"/>
      <c r="X6617" s="2"/>
      <c r="Y6617" s="2"/>
    </row>
    <row r="6618" spans="1:25" x14ac:dyDescent="0.2">
      <c r="A6618">
        <v>1597</v>
      </c>
      <c r="B6618" t="s">
        <v>10477</v>
      </c>
      <c r="C6618" t="s">
        <v>18</v>
      </c>
      <c r="D6618" t="s">
        <v>10478</v>
      </c>
      <c r="E6618" t="s">
        <v>10479</v>
      </c>
      <c r="F6618" t="s">
        <v>205</v>
      </c>
      <c r="G6618" t="s">
        <v>88</v>
      </c>
      <c r="J6618" t="b">
        <v>1</v>
      </c>
      <c r="K6618" t="b">
        <v>1</v>
      </c>
      <c r="L6618" t="b">
        <v>1</v>
      </c>
      <c r="M6618" t="str">
        <f>HYPERLINK("https://arizona.app.box.com/file/389263642662")</f>
        <v>https://arizona.app.box.com/file/389263642662</v>
      </c>
      <c r="N6618" t="str">
        <f>HYPERLINK("https://arizona.app.box.com/file/389163858179")</f>
        <v>https://arizona.app.box.com/file/389163858179</v>
      </c>
      <c r="O6618" t="str">
        <f>HYPERLINK("https://arizona.app.box.com/file/389268492338")</f>
        <v>https://arizona.app.box.com/file/389268492338</v>
      </c>
      <c r="P6618" t="str">
        <f>HYPERLINK("https://arizona.app.box.com/file/389162196661")</f>
        <v>https://arizona.app.box.com/file/389162196661</v>
      </c>
    </row>
    <row r="6619" spans="1:25" x14ac:dyDescent="0.2">
      <c r="A6619">
        <v>1598</v>
      </c>
      <c r="B6619" t="s">
        <v>10477</v>
      </c>
      <c r="C6619" t="s">
        <v>18</v>
      </c>
      <c r="D6619" t="s">
        <v>10480</v>
      </c>
      <c r="E6619" t="s">
        <v>10481</v>
      </c>
      <c r="F6619" t="s">
        <v>205</v>
      </c>
      <c r="G6619" t="s">
        <v>88</v>
      </c>
      <c r="J6619" t="b">
        <v>0</v>
      </c>
      <c r="K6619" t="b">
        <v>0</v>
      </c>
      <c r="L6619" t="b">
        <v>0</v>
      </c>
    </row>
    <row r="6620" spans="1:25" x14ac:dyDescent="0.2">
      <c r="A6620">
        <v>1599</v>
      </c>
      <c r="B6620" t="s">
        <v>10477</v>
      </c>
      <c r="C6620" t="s">
        <v>18</v>
      </c>
      <c r="D6620" t="s">
        <v>10482</v>
      </c>
      <c r="E6620" t="s">
        <v>10483</v>
      </c>
      <c r="F6620" t="s">
        <v>205</v>
      </c>
      <c r="G6620" t="s">
        <v>88</v>
      </c>
      <c r="J6620" t="b">
        <v>0</v>
      </c>
      <c r="K6620" t="b">
        <v>0</v>
      </c>
      <c r="L6620" t="b">
        <v>0</v>
      </c>
      <c r="M6620" t="str">
        <f>HYPERLINK("https://arizona.app.box.com/file/386265280253")</f>
        <v>https://arizona.app.box.com/file/386265280253</v>
      </c>
    </row>
    <row r="6621" spans="1:25" x14ac:dyDescent="0.2">
      <c r="A6621">
        <v>1600</v>
      </c>
      <c r="B6621" t="s">
        <v>10477</v>
      </c>
      <c r="C6621" t="s">
        <v>18</v>
      </c>
      <c r="D6621" t="s">
        <v>10484</v>
      </c>
      <c r="E6621" t="s">
        <v>10485</v>
      </c>
      <c r="F6621" t="s">
        <v>205</v>
      </c>
      <c r="G6621" t="s">
        <v>88</v>
      </c>
      <c r="J6621" t="b">
        <v>0</v>
      </c>
      <c r="K6621" t="b">
        <v>0</v>
      </c>
      <c r="L6621" t="b">
        <v>0</v>
      </c>
    </row>
    <row r="6622" spans="1:25" x14ac:dyDescent="0.2">
      <c r="A6622">
        <v>1601</v>
      </c>
      <c r="B6622" t="s">
        <v>10477</v>
      </c>
      <c r="C6622" t="s">
        <v>18</v>
      </c>
      <c r="D6622" t="s">
        <v>8025</v>
      </c>
      <c r="E6622" t="s">
        <v>323</v>
      </c>
      <c r="F6622" t="s">
        <v>510</v>
      </c>
      <c r="G6622" t="s">
        <v>88</v>
      </c>
      <c r="J6622" t="b">
        <v>0</v>
      </c>
      <c r="K6622" t="b">
        <v>0</v>
      </c>
      <c r="L6622" t="b">
        <v>0</v>
      </c>
      <c r="M6622" t="str">
        <f>HYPERLINK("https://arizona.app.box.com/file/389260812778")</f>
        <v>https://arizona.app.box.com/file/389260812778</v>
      </c>
      <c r="N6622" t="str">
        <f>HYPERLINK("https://arizona.app.box.com/file/389159054566")</f>
        <v>https://arizona.app.box.com/file/389159054566</v>
      </c>
    </row>
    <row r="6624" spans="1:25" x14ac:dyDescent="0.2">
      <c r="A6624" s="2">
        <v>1652</v>
      </c>
      <c r="B6624" s="2" t="s">
        <v>10486</v>
      </c>
      <c r="C6624" s="2" t="s">
        <v>13</v>
      </c>
      <c r="D6624" s="2" t="s">
        <v>10487</v>
      </c>
      <c r="E6624" s="2" t="s">
        <v>10488</v>
      </c>
      <c r="F6624" s="2" t="s">
        <v>952</v>
      </c>
      <c r="G6624" s="2" t="s">
        <v>74</v>
      </c>
      <c r="H6624" s="2"/>
      <c r="I6624" s="2"/>
      <c r="J6624" s="2"/>
      <c r="K6624" s="2"/>
      <c r="L6624" s="2"/>
      <c r="M6624" s="2"/>
      <c r="N6624" s="2"/>
      <c r="O6624" s="2"/>
      <c r="P6624" s="2"/>
      <c r="Q6624" s="2"/>
      <c r="R6624" s="2"/>
      <c r="S6624" s="2"/>
      <c r="T6624" s="2"/>
      <c r="U6624" s="2"/>
      <c r="V6624" s="2"/>
      <c r="W6624" s="2"/>
      <c r="X6624" s="2"/>
      <c r="Y6624" s="2"/>
    </row>
    <row r="6625" spans="1:25" x14ac:dyDescent="0.2">
      <c r="A6625">
        <v>1653</v>
      </c>
      <c r="B6625" t="s">
        <v>10486</v>
      </c>
      <c r="C6625" t="s">
        <v>18</v>
      </c>
      <c r="D6625" t="s">
        <v>10487</v>
      </c>
      <c r="E6625" t="s">
        <v>10488</v>
      </c>
      <c r="F6625" t="s">
        <v>952</v>
      </c>
      <c r="G6625" t="s">
        <v>74</v>
      </c>
      <c r="J6625" t="b">
        <v>1</v>
      </c>
      <c r="K6625" t="b">
        <v>1</v>
      </c>
      <c r="L6625" t="b">
        <v>1</v>
      </c>
      <c r="M6625" t="str">
        <f>HYPERLINK("https://arizona.app.box.com/file/386243752680")</f>
        <v>https://arizona.app.box.com/file/386243752680</v>
      </c>
      <c r="N6625" t="str">
        <f>HYPERLINK("https://arizona.app.box.com/file/386214013728")</f>
        <v>https://arizona.app.box.com/file/386214013728</v>
      </c>
    </row>
    <row r="6626" spans="1:25" x14ac:dyDescent="0.2">
      <c r="A6626">
        <v>1654</v>
      </c>
      <c r="B6626" t="s">
        <v>10486</v>
      </c>
      <c r="C6626" t="s">
        <v>18</v>
      </c>
      <c r="D6626" t="s">
        <v>10489</v>
      </c>
      <c r="E6626" t="s">
        <v>1342</v>
      </c>
      <c r="F6626" t="s">
        <v>952</v>
      </c>
      <c r="G6626" t="s">
        <v>2326</v>
      </c>
      <c r="J6626" t="b">
        <v>0</v>
      </c>
      <c r="K6626" t="b">
        <v>1</v>
      </c>
      <c r="L6626" t="b">
        <v>0</v>
      </c>
      <c r="M6626" t="str">
        <f>HYPERLINK("https://arizona.app.box.com/file/389175194004")</f>
        <v>https://arizona.app.box.com/file/389175194004</v>
      </c>
    </row>
    <row r="6627" spans="1:25" x14ac:dyDescent="0.2">
      <c r="A6627">
        <v>1655</v>
      </c>
      <c r="B6627" t="s">
        <v>10486</v>
      </c>
      <c r="C6627" t="s">
        <v>18</v>
      </c>
      <c r="D6627" t="s">
        <v>10490</v>
      </c>
      <c r="E6627" t="s">
        <v>10491</v>
      </c>
      <c r="F6627" t="s">
        <v>952</v>
      </c>
      <c r="G6627" t="s">
        <v>74</v>
      </c>
      <c r="J6627" t="b">
        <v>0</v>
      </c>
      <c r="K6627" t="b">
        <v>0</v>
      </c>
      <c r="L6627" t="b">
        <v>0</v>
      </c>
      <c r="M6627" t="str">
        <f>HYPERLINK("https://arizona.app.box.com/file/386244637985")</f>
        <v>https://arizona.app.box.com/file/386244637985</v>
      </c>
      <c r="N6627" t="str">
        <f>HYPERLINK("https://arizona.app.box.com/file/386218638722")</f>
        <v>https://arizona.app.box.com/file/386218638722</v>
      </c>
    </row>
    <row r="6628" spans="1:25" x14ac:dyDescent="0.2">
      <c r="A6628">
        <v>1656</v>
      </c>
      <c r="B6628" t="s">
        <v>10486</v>
      </c>
      <c r="C6628" t="s">
        <v>18</v>
      </c>
      <c r="D6628" t="s">
        <v>10492</v>
      </c>
      <c r="E6628" t="s">
        <v>10493</v>
      </c>
      <c r="F6628" t="s">
        <v>952</v>
      </c>
      <c r="G6628" t="s">
        <v>62</v>
      </c>
      <c r="J6628" t="b">
        <v>0</v>
      </c>
      <c r="K6628" t="b">
        <v>0</v>
      </c>
      <c r="L6628" t="b">
        <v>0</v>
      </c>
      <c r="M6628" t="str">
        <f>HYPERLINK("https://arizona.app.box.com/file/386242536818")</f>
        <v>https://arizona.app.box.com/file/386242536818</v>
      </c>
    </row>
    <row r="6629" spans="1:25" x14ac:dyDescent="0.2">
      <c r="A6629">
        <v>1657</v>
      </c>
      <c r="B6629" t="s">
        <v>10486</v>
      </c>
      <c r="C6629" t="s">
        <v>18</v>
      </c>
      <c r="D6629" t="s">
        <v>10494</v>
      </c>
      <c r="E6629" t="s">
        <v>1342</v>
      </c>
      <c r="F6629" t="s">
        <v>952</v>
      </c>
      <c r="G6629" t="s">
        <v>2326</v>
      </c>
      <c r="J6629" t="b">
        <v>0</v>
      </c>
      <c r="K6629" t="b">
        <v>0</v>
      </c>
      <c r="L6629" t="b">
        <v>0</v>
      </c>
      <c r="M6629" t="str">
        <f>HYPERLINK("https://arizona.app.box.com/file/389167129656")</f>
        <v>https://arizona.app.box.com/file/389167129656</v>
      </c>
    </row>
    <row r="6631" spans="1:25" x14ac:dyDescent="0.2">
      <c r="A6631" s="2">
        <v>1659</v>
      </c>
      <c r="B6631" s="2" t="s">
        <v>10495</v>
      </c>
      <c r="C6631" s="2" t="s">
        <v>13</v>
      </c>
      <c r="D6631" s="2" t="s">
        <v>10496</v>
      </c>
      <c r="E6631" s="2" t="s">
        <v>10497</v>
      </c>
      <c r="F6631" s="2" t="s">
        <v>174</v>
      </c>
      <c r="G6631" s="2" t="s">
        <v>17</v>
      </c>
      <c r="H6631" s="2"/>
      <c r="I6631" s="2"/>
      <c r="J6631" s="2"/>
      <c r="K6631" s="2"/>
      <c r="L6631" s="2"/>
      <c r="M6631" s="2"/>
      <c r="N6631" s="2"/>
      <c r="O6631" s="2"/>
      <c r="P6631" s="2"/>
      <c r="Q6631" s="2"/>
      <c r="R6631" s="2"/>
      <c r="S6631" s="2"/>
      <c r="T6631" s="2"/>
      <c r="U6631" s="2"/>
      <c r="V6631" s="2"/>
      <c r="W6631" s="2"/>
      <c r="X6631" s="2"/>
      <c r="Y6631" s="2"/>
    </row>
    <row r="6632" spans="1:25" x14ac:dyDescent="0.2">
      <c r="A6632">
        <v>1660</v>
      </c>
      <c r="B6632" t="s">
        <v>10495</v>
      </c>
      <c r="C6632" t="s">
        <v>18</v>
      </c>
      <c r="D6632" t="s">
        <v>10496</v>
      </c>
      <c r="E6632" t="s">
        <v>10497</v>
      </c>
      <c r="F6632" t="s">
        <v>174</v>
      </c>
      <c r="G6632" t="s">
        <v>17</v>
      </c>
      <c r="J6632" t="b">
        <v>1</v>
      </c>
      <c r="K6632" t="b">
        <v>1</v>
      </c>
      <c r="L6632" t="b">
        <v>1</v>
      </c>
      <c r="M6632" t="str">
        <f>HYPERLINK("https://arizona.app.box.com/file/389161612858")</f>
        <v>https://arizona.app.box.com/file/389161612858</v>
      </c>
      <c r="N6632" t="str">
        <f>HYPERLINK("https://arizona.app.box.com/file/389165055339")</f>
        <v>https://arizona.app.box.com/file/389165055339</v>
      </c>
    </row>
    <row r="6633" spans="1:25" x14ac:dyDescent="0.2">
      <c r="A6633">
        <v>1661</v>
      </c>
      <c r="B6633" t="s">
        <v>10495</v>
      </c>
      <c r="C6633" t="s">
        <v>18</v>
      </c>
      <c r="D6633" t="s">
        <v>10498</v>
      </c>
      <c r="E6633" t="s">
        <v>10499</v>
      </c>
      <c r="F6633" t="s">
        <v>174</v>
      </c>
      <c r="G6633" t="s">
        <v>17</v>
      </c>
      <c r="J6633" t="b">
        <v>0</v>
      </c>
      <c r="K6633" t="b">
        <v>0</v>
      </c>
      <c r="L6633" t="b">
        <v>0</v>
      </c>
    </row>
    <row r="6634" spans="1:25" x14ac:dyDescent="0.2">
      <c r="A6634">
        <v>1662</v>
      </c>
      <c r="B6634" t="s">
        <v>10495</v>
      </c>
      <c r="C6634" t="s">
        <v>18</v>
      </c>
      <c r="D6634" t="s">
        <v>9562</v>
      </c>
      <c r="E6634" t="s">
        <v>9563</v>
      </c>
      <c r="F6634" t="s">
        <v>174</v>
      </c>
      <c r="G6634" t="s">
        <v>17</v>
      </c>
      <c r="J6634" t="b">
        <v>0</v>
      </c>
      <c r="K6634" t="b">
        <v>0</v>
      </c>
      <c r="L6634" t="b">
        <v>0</v>
      </c>
    </row>
    <row r="6635" spans="1:25" x14ac:dyDescent="0.2">
      <c r="A6635">
        <v>1663</v>
      </c>
      <c r="B6635" t="s">
        <v>10495</v>
      </c>
      <c r="C6635" t="s">
        <v>18</v>
      </c>
      <c r="D6635" t="s">
        <v>10500</v>
      </c>
      <c r="E6635" t="s">
        <v>10501</v>
      </c>
      <c r="F6635" t="s">
        <v>174</v>
      </c>
      <c r="G6635" t="s">
        <v>17</v>
      </c>
      <c r="J6635" t="b">
        <v>0</v>
      </c>
      <c r="K6635" t="b">
        <v>0</v>
      </c>
      <c r="L6635" t="b">
        <v>0</v>
      </c>
    </row>
    <row r="6636" spans="1:25" x14ac:dyDescent="0.2">
      <c r="A6636">
        <v>1664</v>
      </c>
      <c r="B6636" t="s">
        <v>10495</v>
      </c>
      <c r="C6636" t="s">
        <v>18</v>
      </c>
      <c r="D6636" t="s">
        <v>10502</v>
      </c>
      <c r="E6636" t="s">
        <v>10503</v>
      </c>
      <c r="F6636" t="s">
        <v>174</v>
      </c>
      <c r="G6636" t="s">
        <v>17</v>
      </c>
      <c r="J6636" t="b">
        <v>0</v>
      </c>
      <c r="K6636" t="b">
        <v>0</v>
      </c>
      <c r="L6636" t="b">
        <v>0</v>
      </c>
    </row>
    <row r="6638" spans="1:25" x14ac:dyDescent="0.2">
      <c r="A6638" s="2">
        <v>1694</v>
      </c>
      <c r="B6638" s="2" t="s">
        <v>10504</v>
      </c>
      <c r="C6638" s="2" t="s">
        <v>13</v>
      </c>
      <c r="D6638" s="2" t="s">
        <v>10505</v>
      </c>
      <c r="E6638" s="2" t="s">
        <v>10506</v>
      </c>
      <c r="F6638" s="2" t="s">
        <v>200</v>
      </c>
      <c r="G6638" s="2" t="s">
        <v>2278</v>
      </c>
      <c r="H6638" s="2"/>
      <c r="I6638" s="2"/>
      <c r="J6638" s="2"/>
      <c r="K6638" s="2"/>
      <c r="L6638" s="2"/>
      <c r="M6638" s="2"/>
      <c r="N6638" s="2"/>
      <c r="O6638" s="2"/>
      <c r="P6638" s="2"/>
      <c r="Q6638" s="2"/>
      <c r="R6638" s="2"/>
      <c r="S6638" s="2"/>
      <c r="T6638" s="2"/>
      <c r="U6638" s="2"/>
      <c r="V6638" s="2"/>
      <c r="W6638" s="2"/>
      <c r="X6638" s="2"/>
      <c r="Y6638" s="2"/>
    </row>
    <row r="6639" spans="1:25" x14ac:dyDescent="0.2">
      <c r="A6639">
        <v>1695</v>
      </c>
      <c r="B6639" t="s">
        <v>10504</v>
      </c>
      <c r="C6639" t="s">
        <v>18</v>
      </c>
      <c r="D6639" t="s">
        <v>10507</v>
      </c>
      <c r="E6639" t="s">
        <v>10508</v>
      </c>
      <c r="F6639" t="s">
        <v>200</v>
      </c>
      <c r="G6639" t="s">
        <v>2278</v>
      </c>
      <c r="J6639" t="b">
        <v>0</v>
      </c>
      <c r="K6639" t="b">
        <v>0</v>
      </c>
      <c r="L6639" t="b">
        <v>0</v>
      </c>
    </row>
    <row r="6640" spans="1:25" x14ac:dyDescent="0.2">
      <c r="A6640">
        <v>1696</v>
      </c>
      <c r="B6640" t="s">
        <v>10504</v>
      </c>
      <c r="C6640" t="s">
        <v>18</v>
      </c>
      <c r="D6640" t="s">
        <v>10509</v>
      </c>
      <c r="E6640" t="s">
        <v>10510</v>
      </c>
      <c r="F6640" t="s">
        <v>200</v>
      </c>
      <c r="G6640" t="s">
        <v>2278</v>
      </c>
      <c r="J6640" t="b">
        <v>0</v>
      </c>
      <c r="K6640" t="b">
        <v>0</v>
      </c>
      <c r="L6640" t="b">
        <v>0</v>
      </c>
    </row>
    <row r="6641" spans="1:25" x14ac:dyDescent="0.2">
      <c r="A6641">
        <v>1697</v>
      </c>
      <c r="B6641" t="s">
        <v>10504</v>
      </c>
      <c r="C6641" t="s">
        <v>18</v>
      </c>
      <c r="D6641" t="s">
        <v>10511</v>
      </c>
      <c r="E6641" t="s">
        <v>809</v>
      </c>
      <c r="F6641" t="s">
        <v>200</v>
      </c>
      <c r="G6641" t="s">
        <v>2278</v>
      </c>
      <c r="J6641" t="b">
        <v>1</v>
      </c>
      <c r="K6641" t="b">
        <v>1</v>
      </c>
      <c r="L6641" t="b">
        <v>1</v>
      </c>
      <c r="M6641" t="str">
        <f>HYPERLINK("https://arizona.app.box.com/file/389261941175")</f>
        <v>https://arizona.app.box.com/file/389261941175</v>
      </c>
    </row>
    <row r="6642" spans="1:25" x14ac:dyDescent="0.2">
      <c r="A6642">
        <v>1698</v>
      </c>
      <c r="B6642" t="s">
        <v>10504</v>
      </c>
      <c r="C6642" t="s">
        <v>18</v>
      </c>
      <c r="D6642" t="s">
        <v>7504</v>
      </c>
      <c r="E6642" t="s">
        <v>7505</v>
      </c>
      <c r="F6642" t="s">
        <v>174</v>
      </c>
      <c r="G6642" t="s">
        <v>2278</v>
      </c>
      <c r="J6642" t="b">
        <v>0</v>
      </c>
      <c r="K6642" t="b">
        <v>0</v>
      </c>
      <c r="L6642" t="b">
        <v>0</v>
      </c>
    </row>
    <row r="6643" spans="1:25" x14ac:dyDescent="0.2">
      <c r="A6643">
        <v>1699</v>
      </c>
      <c r="B6643" t="s">
        <v>10504</v>
      </c>
      <c r="C6643" t="s">
        <v>18</v>
      </c>
      <c r="D6643" t="s">
        <v>10512</v>
      </c>
      <c r="E6643" t="s">
        <v>10513</v>
      </c>
      <c r="F6643" t="s">
        <v>174</v>
      </c>
      <c r="G6643" t="s">
        <v>2278</v>
      </c>
      <c r="J6643" t="b">
        <v>0</v>
      </c>
      <c r="K6643" t="b">
        <v>0</v>
      </c>
      <c r="L6643" t="b">
        <v>0</v>
      </c>
    </row>
    <row r="6645" spans="1:25" x14ac:dyDescent="0.2">
      <c r="A6645" s="2">
        <v>1743</v>
      </c>
      <c r="B6645" s="2" t="s">
        <v>10514</v>
      </c>
      <c r="C6645" s="2" t="s">
        <v>13</v>
      </c>
      <c r="D6645" s="2" t="s">
        <v>10515</v>
      </c>
      <c r="E6645" s="2" t="s">
        <v>10516</v>
      </c>
      <c r="F6645" s="2" t="s">
        <v>159</v>
      </c>
      <c r="G6645" s="2" t="s">
        <v>1867</v>
      </c>
      <c r="H6645" s="2"/>
      <c r="I6645" s="2"/>
      <c r="J6645" s="2"/>
      <c r="K6645" s="2"/>
      <c r="L6645" s="2"/>
      <c r="M6645" s="2"/>
      <c r="N6645" s="2"/>
      <c r="O6645" s="2"/>
      <c r="P6645" s="2"/>
      <c r="Q6645" s="2"/>
      <c r="R6645" s="2"/>
      <c r="S6645" s="2"/>
      <c r="T6645" s="2"/>
      <c r="U6645" s="2"/>
      <c r="V6645" s="2"/>
      <c r="W6645" s="2"/>
      <c r="X6645" s="2"/>
      <c r="Y6645" s="2"/>
    </row>
    <row r="6646" spans="1:25" x14ac:dyDescent="0.2">
      <c r="A6646">
        <v>1744</v>
      </c>
      <c r="B6646" t="s">
        <v>10514</v>
      </c>
      <c r="C6646" t="s">
        <v>18</v>
      </c>
      <c r="D6646" t="s">
        <v>10515</v>
      </c>
      <c r="E6646" t="s">
        <v>10517</v>
      </c>
      <c r="F6646" t="s">
        <v>1938</v>
      </c>
      <c r="G6646" t="s">
        <v>1867</v>
      </c>
      <c r="J6646" t="b">
        <v>1</v>
      </c>
      <c r="K6646" t="b">
        <v>1</v>
      </c>
      <c r="L6646" t="b">
        <v>1</v>
      </c>
      <c r="M6646" t="str">
        <f>HYPERLINK("https://arizona.app.box.com/file/389174353274")</f>
        <v>https://arizona.app.box.com/file/389174353274</v>
      </c>
      <c r="N6646" t="str">
        <f>HYPERLINK("https://arizona.app.box.com/file/386238073586")</f>
        <v>https://arizona.app.box.com/file/386238073586</v>
      </c>
    </row>
    <row r="6647" spans="1:25" x14ac:dyDescent="0.2">
      <c r="A6647">
        <v>1745</v>
      </c>
      <c r="B6647" t="s">
        <v>10514</v>
      </c>
      <c r="C6647" t="s">
        <v>18</v>
      </c>
      <c r="D6647" t="s">
        <v>10518</v>
      </c>
      <c r="E6647" t="s">
        <v>6814</v>
      </c>
      <c r="F6647" t="s">
        <v>82</v>
      </c>
      <c r="G6647" t="s">
        <v>1867</v>
      </c>
      <c r="J6647" t="b">
        <v>1</v>
      </c>
      <c r="K6647" t="b">
        <v>1</v>
      </c>
      <c r="L6647" t="b">
        <v>1</v>
      </c>
      <c r="M6647" t="str">
        <f>HYPERLINK("https://arizona.app.box.com/file/386267451786")</f>
        <v>https://arizona.app.box.com/file/386267451786</v>
      </c>
    </row>
    <row r="6648" spans="1:25" x14ac:dyDescent="0.2">
      <c r="A6648">
        <v>1746</v>
      </c>
      <c r="B6648" t="s">
        <v>10514</v>
      </c>
      <c r="C6648" t="s">
        <v>18</v>
      </c>
      <c r="D6648" t="s">
        <v>4335</v>
      </c>
      <c r="E6648" t="s">
        <v>4336</v>
      </c>
      <c r="F6648" t="s">
        <v>4337</v>
      </c>
      <c r="G6648" t="s">
        <v>279</v>
      </c>
      <c r="J6648" t="b">
        <v>0</v>
      </c>
      <c r="K6648" t="b">
        <v>0</v>
      </c>
      <c r="L6648" t="b">
        <v>0</v>
      </c>
      <c r="M6648" t="str">
        <f>HYPERLINK("https://arizona.app.box.com/file/389264268119")</f>
        <v>https://arizona.app.box.com/file/389264268119</v>
      </c>
      <c r="N6648" t="str">
        <f>HYPERLINK("https://arizona.app.box.com/file/389172457982")</f>
        <v>https://arizona.app.box.com/file/389172457982</v>
      </c>
    </row>
    <row r="6649" spans="1:25" x14ac:dyDescent="0.2">
      <c r="A6649">
        <v>1747</v>
      </c>
      <c r="B6649" t="s">
        <v>10514</v>
      </c>
      <c r="C6649" t="s">
        <v>18</v>
      </c>
      <c r="D6649" t="s">
        <v>10519</v>
      </c>
      <c r="E6649" t="s">
        <v>10520</v>
      </c>
      <c r="F6649" t="s">
        <v>10521</v>
      </c>
      <c r="G6649" t="s">
        <v>88</v>
      </c>
      <c r="J6649" t="b">
        <v>0</v>
      </c>
      <c r="K6649" t="b">
        <v>0</v>
      </c>
      <c r="L6649" t="b">
        <v>0</v>
      </c>
    </row>
    <row r="6650" spans="1:25" x14ac:dyDescent="0.2">
      <c r="A6650">
        <v>1748</v>
      </c>
      <c r="B6650" t="s">
        <v>10514</v>
      </c>
      <c r="C6650" t="s">
        <v>18</v>
      </c>
      <c r="D6650" t="s">
        <v>4325</v>
      </c>
      <c r="E6650" t="s">
        <v>4326</v>
      </c>
      <c r="F6650" t="s">
        <v>1938</v>
      </c>
      <c r="G6650" t="s">
        <v>280</v>
      </c>
      <c r="J6650" t="b">
        <v>0</v>
      </c>
      <c r="K6650" t="b">
        <v>0</v>
      </c>
      <c r="L6650" t="b">
        <v>0</v>
      </c>
      <c r="M6650" t="str">
        <f>HYPERLINK("https://arizona.app.box.com/file/389171204057")</f>
        <v>https://arizona.app.box.com/file/389171204057</v>
      </c>
    </row>
    <row r="6652" spans="1:25" x14ac:dyDescent="0.2">
      <c r="A6652" s="2">
        <v>1771</v>
      </c>
      <c r="B6652" s="2" t="s">
        <v>10522</v>
      </c>
      <c r="C6652" s="2" t="s">
        <v>13</v>
      </c>
      <c r="D6652" s="2" t="s">
        <v>10523</v>
      </c>
      <c r="E6652" s="2" t="s">
        <v>468</v>
      </c>
      <c r="F6652" s="2" t="s">
        <v>574</v>
      </c>
      <c r="G6652" s="2" t="s">
        <v>193</v>
      </c>
      <c r="H6652" s="2"/>
      <c r="I6652" s="2"/>
      <c r="J6652" s="2"/>
      <c r="K6652" s="2"/>
      <c r="L6652" s="2"/>
      <c r="M6652" s="2"/>
      <c r="N6652" s="2"/>
      <c r="O6652" s="2"/>
      <c r="P6652" s="2"/>
      <c r="Q6652" s="2"/>
      <c r="R6652" s="2"/>
      <c r="S6652" s="2"/>
      <c r="T6652" s="2"/>
      <c r="U6652" s="2"/>
      <c r="V6652" s="2"/>
      <c r="W6652" s="2"/>
      <c r="X6652" s="2"/>
      <c r="Y6652" s="2"/>
    </row>
    <row r="6653" spans="1:25" x14ac:dyDescent="0.2">
      <c r="A6653">
        <v>1772</v>
      </c>
      <c r="B6653" t="s">
        <v>10522</v>
      </c>
      <c r="C6653" t="s">
        <v>18</v>
      </c>
      <c r="D6653" t="s">
        <v>10523</v>
      </c>
      <c r="E6653" t="s">
        <v>468</v>
      </c>
      <c r="F6653" t="s">
        <v>574</v>
      </c>
      <c r="G6653" t="s">
        <v>193</v>
      </c>
      <c r="J6653" t="b">
        <v>1</v>
      </c>
      <c r="K6653" t="b">
        <v>1</v>
      </c>
      <c r="L6653" t="b">
        <v>1</v>
      </c>
      <c r="M6653" t="str">
        <f>HYPERLINK("https://arizona.app.box.com/file/386240045808")</f>
        <v>https://arizona.app.box.com/file/386240045808</v>
      </c>
      <c r="N6653" t="str">
        <f>HYPERLINK("https://arizona.app.box.com/file/386239772062")</f>
        <v>https://arizona.app.box.com/file/386239772062</v>
      </c>
    </row>
    <row r="6654" spans="1:25" x14ac:dyDescent="0.2">
      <c r="A6654">
        <v>1773</v>
      </c>
      <c r="B6654" t="s">
        <v>10522</v>
      </c>
      <c r="C6654" t="s">
        <v>18</v>
      </c>
      <c r="D6654" t="s">
        <v>10524</v>
      </c>
      <c r="E6654" t="s">
        <v>10525</v>
      </c>
      <c r="F6654" t="s">
        <v>8849</v>
      </c>
      <c r="G6654" t="s">
        <v>193</v>
      </c>
      <c r="J6654" t="b">
        <v>1</v>
      </c>
      <c r="K6654" t="b">
        <v>0</v>
      </c>
      <c r="L6654" t="b">
        <v>0</v>
      </c>
      <c r="M6654" t="str">
        <f>HYPERLINK("https://arizona.app.box.com/file/386264738336")</f>
        <v>https://arizona.app.box.com/file/386264738336</v>
      </c>
      <c r="N6654" t="str">
        <f>HYPERLINK("https://arizona.app.box.com/file/386248100637")</f>
        <v>https://arizona.app.box.com/file/386248100637</v>
      </c>
    </row>
    <row r="6655" spans="1:25" x14ac:dyDescent="0.2">
      <c r="A6655">
        <v>1774</v>
      </c>
      <c r="B6655" t="s">
        <v>10522</v>
      </c>
      <c r="C6655" t="s">
        <v>18</v>
      </c>
      <c r="D6655" t="s">
        <v>8854</v>
      </c>
      <c r="E6655" t="s">
        <v>8855</v>
      </c>
      <c r="F6655" t="s">
        <v>574</v>
      </c>
      <c r="G6655" t="s">
        <v>17</v>
      </c>
      <c r="J6655" t="b">
        <v>0</v>
      </c>
      <c r="K6655" t="b">
        <v>0</v>
      </c>
      <c r="L6655" t="b">
        <v>0</v>
      </c>
      <c r="M6655" t="str">
        <f>HYPERLINK("https://arizona.app.box.com/file/389150513898")</f>
        <v>https://arizona.app.box.com/file/389150513898</v>
      </c>
      <c r="N6655" t="str">
        <f>HYPERLINK("https://arizona.app.box.com/file/386248344785")</f>
        <v>https://arizona.app.box.com/file/386248344785</v>
      </c>
    </row>
    <row r="6656" spans="1:25" x14ac:dyDescent="0.2">
      <c r="A6656">
        <v>1775</v>
      </c>
      <c r="B6656" t="s">
        <v>10522</v>
      </c>
      <c r="C6656" t="s">
        <v>18</v>
      </c>
      <c r="D6656" t="s">
        <v>10526</v>
      </c>
      <c r="E6656" t="s">
        <v>686</v>
      </c>
      <c r="F6656" t="s">
        <v>574</v>
      </c>
      <c r="G6656" t="s">
        <v>193</v>
      </c>
      <c r="J6656" t="b">
        <v>0</v>
      </c>
      <c r="K6656" t="b">
        <v>0</v>
      </c>
      <c r="L6656" t="b">
        <v>0</v>
      </c>
      <c r="M6656" t="str">
        <f>HYPERLINK("https://arizona.app.box.com/file/386240574987")</f>
        <v>https://arizona.app.box.com/file/386240574987</v>
      </c>
    </row>
    <row r="6657" spans="1:25" x14ac:dyDescent="0.2">
      <c r="A6657">
        <v>1776</v>
      </c>
      <c r="B6657" t="s">
        <v>10522</v>
      </c>
      <c r="C6657" t="s">
        <v>18</v>
      </c>
      <c r="D6657" t="s">
        <v>10527</v>
      </c>
      <c r="E6657" t="s">
        <v>10528</v>
      </c>
      <c r="F6657" t="s">
        <v>574</v>
      </c>
      <c r="G6657" t="s">
        <v>193</v>
      </c>
      <c r="J6657" t="b">
        <v>0</v>
      </c>
      <c r="K6657" t="b">
        <v>0</v>
      </c>
      <c r="L6657" t="b">
        <v>0</v>
      </c>
      <c r="M6657" t="str">
        <f>HYPERLINK("https://arizona.app.box.com/file/386245119424")</f>
        <v>https://arizona.app.box.com/file/386245119424</v>
      </c>
    </row>
    <row r="6659" spans="1:25" x14ac:dyDescent="0.2">
      <c r="A6659" s="2">
        <v>1785</v>
      </c>
      <c r="B6659" s="2" t="s">
        <v>10529</v>
      </c>
      <c r="C6659" s="2" t="s">
        <v>13</v>
      </c>
      <c r="D6659" s="2" t="s">
        <v>2072</v>
      </c>
      <c r="E6659" s="2" t="s">
        <v>2073</v>
      </c>
      <c r="F6659" s="2" t="s">
        <v>78</v>
      </c>
      <c r="G6659" s="2" t="s">
        <v>417</v>
      </c>
      <c r="H6659" s="2"/>
      <c r="I6659" s="2"/>
      <c r="J6659" s="2"/>
      <c r="K6659" s="2"/>
      <c r="L6659" s="2"/>
      <c r="M6659" s="2"/>
      <c r="N6659" s="2"/>
      <c r="O6659" s="2"/>
      <c r="P6659" s="2"/>
      <c r="Q6659" s="2"/>
      <c r="R6659" s="2"/>
      <c r="S6659" s="2"/>
      <c r="T6659" s="2"/>
      <c r="U6659" s="2"/>
      <c r="V6659" s="2"/>
      <c r="W6659" s="2"/>
      <c r="X6659" s="2"/>
      <c r="Y6659" s="2"/>
    </row>
    <row r="6660" spans="1:25" x14ac:dyDescent="0.2">
      <c r="A6660">
        <v>1786</v>
      </c>
      <c r="B6660" t="s">
        <v>10529</v>
      </c>
      <c r="C6660" t="s">
        <v>18</v>
      </c>
      <c r="D6660" t="s">
        <v>2072</v>
      </c>
      <c r="E6660" t="s">
        <v>2073</v>
      </c>
      <c r="F6660" t="s">
        <v>78</v>
      </c>
      <c r="G6660" t="s">
        <v>417</v>
      </c>
      <c r="J6660" t="b">
        <v>1</v>
      </c>
      <c r="K6660" t="b">
        <v>1</v>
      </c>
      <c r="L6660" t="b">
        <v>1</v>
      </c>
      <c r="M6660" t="str">
        <f>HYPERLINK("https://arizona.app.box.com/file/389263187517")</f>
        <v>https://arizona.app.box.com/file/389263187517</v>
      </c>
      <c r="N6660" t="str">
        <f>HYPERLINK("https://arizona.app.box.com/file/389152491219")</f>
        <v>https://arizona.app.box.com/file/389152491219</v>
      </c>
      <c r="O6660" t="str">
        <f>HYPERLINK("https://arizona.app.box.com/file/389260227383")</f>
        <v>https://arizona.app.box.com/file/389260227383</v>
      </c>
    </row>
    <row r="6661" spans="1:25" x14ac:dyDescent="0.2">
      <c r="A6661">
        <v>1787</v>
      </c>
      <c r="B6661" t="s">
        <v>10529</v>
      </c>
      <c r="C6661" t="s">
        <v>18</v>
      </c>
      <c r="D6661" t="s">
        <v>10530</v>
      </c>
      <c r="E6661" t="s">
        <v>10531</v>
      </c>
      <c r="F6661" t="s">
        <v>78</v>
      </c>
      <c r="G6661" t="s">
        <v>417</v>
      </c>
      <c r="J6661" t="b">
        <v>0</v>
      </c>
      <c r="K6661" t="b">
        <v>0</v>
      </c>
      <c r="L6661" t="b">
        <v>0</v>
      </c>
      <c r="M6661" t="str">
        <f>HYPERLINK("https://arizona.app.box.com/file/386241604499")</f>
        <v>https://arizona.app.box.com/file/386241604499</v>
      </c>
    </row>
    <row r="6662" spans="1:25" x14ac:dyDescent="0.2">
      <c r="A6662">
        <v>1788</v>
      </c>
      <c r="B6662" t="s">
        <v>10529</v>
      </c>
      <c r="C6662" t="s">
        <v>18</v>
      </c>
      <c r="D6662" t="s">
        <v>10532</v>
      </c>
      <c r="E6662" t="s">
        <v>10533</v>
      </c>
      <c r="F6662" t="s">
        <v>78</v>
      </c>
      <c r="G6662" t="s">
        <v>879</v>
      </c>
      <c r="J6662" t="b">
        <v>0</v>
      </c>
      <c r="K6662" t="b">
        <v>0</v>
      </c>
      <c r="L6662" t="b">
        <v>0</v>
      </c>
    </row>
    <row r="6663" spans="1:25" x14ac:dyDescent="0.2">
      <c r="A6663">
        <v>1789</v>
      </c>
      <c r="B6663" t="s">
        <v>10529</v>
      </c>
      <c r="C6663" t="s">
        <v>18</v>
      </c>
      <c r="D6663" t="s">
        <v>10534</v>
      </c>
      <c r="E6663" t="s">
        <v>10535</v>
      </c>
      <c r="F6663" t="s">
        <v>78</v>
      </c>
      <c r="G6663" t="s">
        <v>417</v>
      </c>
      <c r="J6663" t="b">
        <v>0</v>
      </c>
      <c r="K6663" t="b">
        <v>0</v>
      </c>
      <c r="L6663" t="b">
        <v>0</v>
      </c>
      <c r="M6663" t="str">
        <f>HYPERLINK("https://arizona.app.box.com/file/386241496625")</f>
        <v>https://arizona.app.box.com/file/386241496625</v>
      </c>
      <c r="N6663" t="str">
        <f>HYPERLINK("https://arizona.app.box.com/file/386241288170")</f>
        <v>https://arizona.app.box.com/file/386241288170</v>
      </c>
    </row>
    <row r="6664" spans="1:25" x14ac:dyDescent="0.2">
      <c r="A6664">
        <v>1790</v>
      </c>
      <c r="B6664" t="s">
        <v>10529</v>
      </c>
      <c r="C6664" t="s">
        <v>18</v>
      </c>
      <c r="D6664" t="s">
        <v>10536</v>
      </c>
      <c r="E6664" t="s">
        <v>10537</v>
      </c>
      <c r="F6664" t="s">
        <v>78</v>
      </c>
      <c r="G6664" t="s">
        <v>417</v>
      </c>
      <c r="J6664" t="b">
        <v>0</v>
      </c>
      <c r="K6664" t="b">
        <v>0</v>
      </c>
      <c r="L6664" t="b">
        <v>0</v>
      </c>
    </row>
    <row r="6666" spans="1:25" x14ac:dyDescent="0.2">
      <c r="A6666" s="2">
        <v>1827</v>
      </c>
      <c r="B6666" s="2" t="s">
        <v>10538</v>
      </c>
      <c r="C6666" s="2" t="s">
        <v>13</v>
      </c>
      <c r="D6666" s="2" t="s">
        <v>10438</v>
      </c>
      <c r="E6666" s="2" t="s">
        <v>10539</v>
      </c>
      <c r="F6666" s="2" t="s">
        <v>16</v>
      </c>
      <c r="G6666" s="2" t="s">
        <v>134</v>
      </c>
      <c r="H6666" s="2"/>
      <c r="I6666" s="2"/>
      <c r="J6666" s="2"/>
      <c r="K6666" s="2"/>
      <c r="L6666" s="2"/>
      <c r="M6666" s="2"/>
      <c r="N6666" s="2"/>
      <c r="O6666" s="2"/>
      <c r="P6666" s="2"/>
      <c r="Q6666" s="2"/>
      <c r="R6666" s="2"/>
      <c r="S6666" s="2"/>
      <c r="T6666" s="2"/>
      <c r="U6666" s="2"/>
      <c r="V6666" s="2"/>
      <c r="W6666" s="2"/>
      <c r="X6666" s="2"/>
      <c r="Y6666" s="2"/>
    </row>
    <row r="6667" spans="1:25" x14ac:dyDescent="0.2">
      <c r="A6667">
        <v>1828</v>
      </c>
      <c r="B6667" t="s">
        <v>10538</v>
      </c>
      <c r="C6667" t="s">
        <v>18</v>
      </c>
      <c r="D6667" t="s">
        <v>10438</v>
      </c>
      <c r="E6667" t="s">
        <v>4071</v>
      </c>
      <c r="F6667" t="s">
        <v>16</v>
      </c>
      <c r="G6667" t="s">
        <v>134</v>
      </c>
      <c r="J6667" t="b">
        <v>1</v>
      </c>
      <c r="K6667" t="b">
        <v>1</v>
      </c>
      <c r="L6667" t="b">
        <v>1</v>
      </c>
      <c r="M6667" t="str">
        <f>HYPERLINK("https://arizona.app.box.com/file/389170094204")</f>
        <v>https://arizona.app.box.com/file/389170094204</v>
      </c>
    </row>
    <row r="6668" spans="1:25" x14ac:dyDescent="0.2">
      <c r="A6668">
        <v>1829</v>
      </c>
      <c r="B6668" t="s">
        <v>10538</v>
      </c>
      <c r="C6668" t="s">
        <v>18</v>
      </c>
      <c r="D6668" t="s">
        <v>3876</v>
      </c>
      <c r="E6668" t="s">
        <v>455</v>
      </c>
      <c r="F6668" t="s">
        <v>16</v>
      </c>
      <c r="G6668" t="s">
        <v>24</v>
      </c>
      <c r="J6668" t="b">
        <v>0</v>
      </c>
      <c r="K6668" t="b">
        <v>0</v>
      </c>
      <c r="L6668" t="b">
        <v>0</v>
      </c>
      <c r="M6668" t="str">
        <f>HYPERLINK("https://arizona.app.box.com/file/386213728663")</f>
        <v>https://arizona.app.box.com/file/386213728663</v>
      </c>
    </row>
    <row r="6669" spans="1:25" x14ac:dyDescent="0.2">
      <c r="A6669">
        <v>1830</v>
      </c>
      <c r="B6669" t="s">
        <v>10538</v>
      </c>
      <c r="C6669" t="s">
        <v>18</v>
      </c>
      <c r="D6669" t="s">
        <v>10437</v>
      </c>
      <c r="E6669" t="s">
        <v>1425</v>
      </c>
      <c r="F6669" t="s">
        <v>16</v>
      </c>
      <c r="G6669" t="s">
        <v>24</v>
      </c>
      <c r="J6669" t="b">
        <v>0</v>
      </c>
      <c r="K6669" t="b">
        <v>0</v>
      </c>
      <c r="L6669" t="b">
        <v>0</v>
      </c>
      <c r="M6669" t="str">
        <f>HYPERLINK("https://arizona.app.box.com/file/386242947010")</f>
        <v>https://arizona.app.box.com/file/386242947010</v>
      </c>
    </row>
    <row r="6670" spans="1:25" x14ac:dyDescent="0.2">
      <c r="A6670">
        <v>1831</v>
      </c>
      <c r="B6670" t="s">
        <v>10538</v>
      </c>
      <c r="C6670" t="s">
        <v>18</v>
      </c>
      <c r="D6670" t="s">
        <v>1052</v>
      </c>
      <c r="E6670" t="s">
        <v>1053</v>
      </c>
      <c r="F6670" t="s">
        <v>596</v>
      </c>
      <c r="G6670" t="s">
        <v>201</v>
      </c>
      <c r="J6670" t="b">
        <v>0</v>
      </c>
      <c r="K6670" t="b">
        <v>0</v>
      </c>
      <c r="L6670" t="b">
        <v>0</v>
      </c>
      <c r="M6670" t="str">
        <f>HYPERLINK("https://arizona.app.box.com/file/389176707386")</f>
        <v>https://arizona.app.box.com/file/389176707386</v>
      </c>
      <c r="N6670" t="str">
        <f>HYPERLINK("https://arizona.app.box.com/file/386216525498")</f>
        <v>https://arizona.app.box.com/file/386216525498</v>
      </c>
    </row>
    <row r="6671" spans="1:25" x14ac:dyDescent="0.2">
      <c r="A6671">
        <v>1832</v>
      </c>
      <c r="B6671" t="s">
        <v>10538</v>
      </c>
      <c r="C6671" t="s">
        <v>18</v>
      </c>
      <c r="D6671" t="s">
        <v>8641</v>
      </c>
      <c r="E6671" t="s">
        <v>3656</v>
      </c>
      <c r="F6671" t="s">
        <v>260</v>
      </c>
      <c r="G6671" t="s">
        <v>134</v>
      </c>
      <c r="J6671" t="b">
        <v>0</v>
      </c>
      <c r="K6671" t="b">
        <v>0</v>
      </c>
      <c r="L6671" t="b">
        <v>0</v>
      </c>
      <c r="M6671" t="str">
        <f>HYPERLINK("https://arizona.app.box.com/file/389263415047")</f>
        <v>https://arizona.app.box.com/file/389263415047</v>
      </c>
    </row>
    <row r="6673" spans="1:25" x14ac:dyDescent="0.2">
      <c r="A6673" s="2">
        <v>1834</v>
      </c>
      <c r="B6673" s="2" t="s">
        <v>10540</v>
      </c>
      <c r="C6673" s="2" t="s">
        <v>13</v>
      </c>
      <c r="D6673" s="2" t="s">
        <v>10541</v>
      </c>
      <c r="E6673" s="2" t="s">
        <v>10542</v>
      </c>
      <c r="F6673" s="2" t="s">
        <v>148</v>
      </c>
      <c r="G6673" s="2" t="s">
        <v>1405</v>
      </c>
      <c r="H6673" s="2"/>
      <c r="I6673" s="2"/>
      <c r="J6673" s="2"/>
      <c r="K6673" s="2"/>
      <c r="L6673" s="2"/>
      <c r="M6673" s="2"/>
      <c r="N6673" s="2"/>
      <c r="O6673" s="2"/>
      <c r="P6673" s="2"/>
      <c r="Q6673" s="2"/>
      <c r="R6673" s="2"/>
      <c r="S6673" s="2"/>
      <c r="T6673" s="2"/>
      <c r="U6673" s="2"/>
      <c r="V6673" s="2"/>
      <c r="W6673" s="2"/>
      <c r="X6673" s="2"/>
      <c r="Y6673" s="2"/>
    </row>
    <row r="6674" spans="1:25" x14ac:dyDescent="0.2">
      <c r="A6674">
        <v>1835</v>
      </c>
      <c r="B6674" t="s">
        <v>10540</v>
      </c>
      <c r="C6674" t="s">
        <v>18</v>
      </c>
      <c r="D6674" t="s">
        <v>10541</v>
      </c>
      <c r="E6674" t="s">
        <v>9249</v>
      </c>
      <c r="F6674" t="s">
        <v>148</v>
      </c>
      <c r="G6674" t="s">
        <v>1406</v>
      </c>
      <c r="J6674" t="b">
        <v>1</v>
      </c>
      <c r="K6674" t="b">
        <v>1</v>
      </c>
      <c r="L6674" t="b">
        <v>1</v>
      </c>
      <c r="M6674" t="str">
        <f>HYPERLINK("https://arizona.app.box.com/file/389170466640")</f>
        <v>https://arizona.app.box.com/file/389170466640</v>
      </c>
      <c r="N6674" t="str">
        <f>HYPERLINK("https://arizona.app.box.com/file/386218276653")</f>
        <v>https://arizona.app.box.com/file/386218276653</v>
      </c>
    </row>
    <row r="6675" spans="1:25" x14ac:dyDescent="0.2">
      <c r="A6675">
        <v>1836</v>
      </c>
      <c r="B6675" t="s">
        <v>10540</v>
      </c>
      <c r="C6675" t="s">
        <v>18</v>
      </c>
      <c r="D6675" t="s">
        <v>10543</v>
      </c>
      <c r="E6675" t="s">
        <v>10544</v>
      </c>
      <c r="F6675" t="s">
        <v>148</v>
      </c>
      <c r="G6675" t="s">
        <v>1406</v>
      </c>
      <c r="J6675" t="b">
        <v>1</v>
      </c>
      <c r="K6675" t="b">
        <v>1</v>
      </c>
      <c r="L6675" t="b">
        <v>1</v>
      </c>
      <c r="M6675" t="str">
        <f>HYPERLINK("https://arizona.app.box.com/file/389256239955")</f>
        <v>https://arizona.app.box.com/file/389256239955</v>
      </c>
      <c r="N6675" t="str">
        <f>HYPERLINK("https://arizona.app.box.com/file/389169004220")</f>
        <v>https://arizona.app.box.com/file/389169004220</v>
      </c>
    </row>
    <row r="6676" spans="1:25" x14ac:dyDescent="0.2">
      <c r="A6676">
        <v>1837</v>
      </c>
      <c r="B6676" t="s">
        <v>10540</v>
      </c>
      <c r="C6676" t="s">
        <v>18</v>
      </c>
      <c r="D6676" t="s">
        <v>10545</v>
      </c>
      <c r="E6676" t="s">
        <v>10546</v>
      </c>
      <c r="F6676" t="s">
        <v>159</v>
      </c>
      <c r="G6676" t="s">
        <v>1406</v>
      </c>
      <c r="J6676" t="b">
        <v>0</v>
      </c>
      <c r="K6676" t="b">
        <v>0</v>
      </c>
      <c r="L6676" t="b">
        <v>0</v>
      </c>
      <c r="M6676" t="str">
        <f>HYPERLINK("https://arizona.app.box.com/file/389177556074")</f>
        <v>https://arizona.app.box.com/file/389177556074</v>
      </c>
      <c r="N6676" t="str">
        <f>HYPERLINK("https://arizona.app.box.com/file/386214546767")</f>
        <v>https://arizona.app.box.com/file/386214546767</v>
      </c>
    </row>
    <row r="6677" spans="1:25" x14ac:dyDescent="0.2">
      <c r="A6677">
        <v>1838</v>
      </c>
      <c r="B6677" t="s">
        <v>10540</v>
      </c>
      <c r="C6677" t="s">
        <v>18</v>
      </c>
      <c r="D6677" t="s">
        <v>10267</v>
      </c>
      <c r="E6677" t="s">
        <v>10268</v>
      </c>
      <c r="F6677" t="s">
        <v>78</v>
      </c>
      <c r="G6677" t="s">
        <v>88</v>
      </c>
      <c r="J6677" t="b">
        <v>0</v>
      </c>
      <c r="K6677" t="b">
        <v>0</v>
      </c>
      <c r="L6677" t="b">
        <v>0</v>
      </c>
      <c r="M6677" t="str">
        <f>HYPERLINK("https://arizona.app.box.com/file/389152306072")</f>
        <v>https://arizona.app.box.com/file/389152306072</v>
      </c>
      <c r="N6677" t="str">
        <f>HYPERLINK("https://arizona.app.box.com/file/389172809074")</f>
        <v>https://arizona.app.box.com/file/389172809074</v>
      </c>
      <c r="O6677" t="str">
        <f>HYPERLINK("https://arizona.app.box.com/file/386237433970")</f>
        <v>https://arizona.app.box.com/file/386237433970</v>
      </c>
    </row>
    <row r="6678" spans="1:25" x14ac:dyDescent="0.2">
      <c r="A6678">
        <v>1839</v>
      </c>
      <c r="B6678" t="s">
        <v>10540</v>
      </c>
      <c r="C6678" t="s">
        <v>18</v>
      </c>
      <c r="D6678" t="s">
        <v>10547</v>
      </c>
      <c r="E6678" t="s">
        <v>10548</v>
      </c>
      <c r="F6678" t="s">
        <v>87</v>
      </c>
      <c r="G6678" t="s">
        <v>1406</v>
      </c>
      <c r="J6678" t="b">
        <v>0</v>
      </c>
      <c r="K6678" t="b">
        <v>0</v>
      </c>
      <c r="L6678" t="b">
        <v>0</v>
      </c>
      <c r="M6678" t="str">
        <f>HYPERLINK("https://arizona.app.box.com/file/386238143728")</f>
        <v>https://arizona.app.box.com/file/386238143728</v>
      </c>
    </row>
    <row r="6680" spans="1:25" x14ac:dyDescent="0.2">
      <c r="A6680" s="2">
        <v>1862</v>
      </c>
      <c r="B6680" s="2" t="s">
        <v>10549</v>
      </c>
      <c r="C6680" s="2" t="s">
        <v>13</v>
      </c>
      <c r="D6680" s="2" t="s">
        <v>9655</v>
      </c>
      <c r="E6680" s="2" t="s">
        <v>9656</v>
      </c>
      <c r="F6680" s="2" t="s">
        <v>78</v>
      </c>
      <c r="G6680" s="2" t="s">
        <v>24</v>
      </c>
      <c r="H6680" s="2"/>
      <c r="I6680" s="2"/>
      <c r="J6680" s="2"/>
      <c r="K6680" s="2"/>
      <c r="L6680" s="2"/>
      <c r="M6680" s="2"/>
      <c r="N6680" s="2"/>
      <c r="O6680" s="2"/>
      <c r="P6680" s="2"/>
      <c r="Q6680" s="2"/>
      <c r="R6680" s="2"/>
      <c r="S6680" s="2"/>
      <c r="T6680" s="2"/>
      <c r="U6680" s="2"/>
      <c r="V6680" s="2"/>
      <c r="W6680" s="2"/>
      <c r="X6680" s="2"/>
      <c r="Y6680" s="2"/>
    </row>
    <row r="6681" spans="1:25" x14ac:dyDescent="0.2">
      <c r="A6681">
        <v>1863</v>
      </c>
      <c r="B6681" t="s">
        <v>10549</v>
      </c>
      <c r="C6681" t="s">
        <v>18</v>
      </c>
      <c r="D6681" t="s">
        <v>9655</v>
      </c>
      <c r="E6681" t="s">
        <v>9656</v>
      </c>
      <c r="F6681" t="s">
        <v>78</v>
      </c>
      <c r="G6681" t="s">
        <v>24</v>
      </c>
      <c r="J6681" t="b">
        <v>1</v>
      </c>
      <c r="K6681" t="b">
        <v>1</v>
      </c>
      <c r="L6681" t="b">
        <v>1</v>
      </c>
      <c r="M6681" t="str">
        <f>HYPERLINK("https://arizona.app.box.com/file/386240681828")</f>
        <v>https://arizona.app.box.com/file/386240681828</v>
      </c>
    </row>
    <row r="6682" spans="1:25" x14ac:dyDescent="0.2">
      <c r="A6682">
        <v>1864</v>
      </c>
      <c r="B6682" t="s">
        <v>10549</v>
      </c>
      <c r="C6682" t="s">
        <v>18</v>
      </c>
      <c r="D6682" t="s">
        <v>9653</v>
      </c>
      <c r="E6682" t="s">
        <v>9654</v>
      </c>
      <c r="F6682" t="s">
        <v>78</v>
      </c>
      <c r="G6682" t="s">
        <v>32</v>
      </c>
      <c r="J6682" t="b">
        <v>0</v>
      </c>
      <c r="K6682" t="b">
        <v>0</v>
      </c>
      <c r="L6682" t="b">
        <v>0</v>
      </c>
      <c r="M6682" t="str">
        <f>HYPERLINK("https://arizona.app.box.com/file/386228061809")</f>
        <v>https://arizona.app.box.com/file/386228061809</v>
      </c>
      <c r="N6682" t="str">
        <f>HYPERLINK("https://arizona.app.box.com/file/386238069458")</f>
        <v>https://arizona.app.box.com/file/386238069458</v>
      </c>
      <c r="O6682" t="str">
        <f>HYPERLINK("https://arizona.app.box.com/file/389182920785")</f>
        <v>https://arizona.app.box.com/file/389182920785</v>
      </c>
      <c r="P6682" t="str">
        <f>HYPERLINK("https://arizona.app.box.com/file/386217349536")</f>
        <v>https://arizona.app.box.com/file/386217349536</v>
      </c>
    </row>
    <row r="6683" spans="1:25" x14ac:dyDescent="0.2">
      <c r="A6683">
        <v>1865</v>
      </c>
      <c r="B6683" t="s">
        <v>10549</v>
      </c>
      <c r="C6683" t="s">
        <v>18</v>
      </c>
      <c r="D6683" t="s">
        <v>10550</v>
      </c>
      <c r="E6683" t="s">
        <v>10551</v>
      </c>
      <c r="F6683" t="s">
        <v>78</v>
      </c>
      <c r="G6683" t="s">
        <v>24</v>
      </c>
      <c r="J6683" t="b">
        <v>0</v>
      </c>
      <c r="K6683" t="b">
        <v>0</v>
      </c>
      <c r="L6683" t="b">
        <v>0</v>
      </c>
    </row>
    <row r="6684" spans="1:25" x14ac:dyDescent="0.2">
      <c r="A6684">
        <v>1866</v>
      </c>
      <c r="B6684" t="s">
        <v>10549</v>
      </c>
      <c r="C6684" t="s">
        <v>18</v>
      </c>
      <c r="D6684" t="s">
        <v>10552</v>
      </c>
      <c r="E6684" t="s">
        <v>10553</v>
      </c>
      <c r="F6684" t="s">
        <v>82</v>
      </c>
      <c r="G6684" t="s">
        <v>24</v>
      </c>
      <c r="J6684" t="b">
        <v>0</v>
      </c>
      <c r="K6684" t="b">
        <v>0</v>
      </c>
      <c r="L6684" t="b">
        <v>0</v>
      </c>
    </row>
    <row r="6685" spans="1:25" x14ac:dyDescent="0.2">
      <c r="A6685">
        <v>1867</v>
      </c>
      <c r="B6685" t="s">
        <v>10549</v>
      </c>
      <c r="C6685" t="s">
        <v>18</v>
      </c>
      <c r="D6685" t="s">
        <v>10554</v>
      </c>
      <c r="E6685" t="s">
        <v>10555</v>
      </c>
      <c r="F6685" t="s">
        <v>78</v>
      </c>
      <c r="G6685" t="s">
        <v>24</v>
      </c>
      <c r="J6685" t="b">
        <v>0</v>
      </c>
      <c r="K6685" t="b">
        <v>0</v>
      </c>
      <c r="L6685" t="b">
        <v>0</v>
      </c>
    </row>
    <row r="6687" spans="1:25" x14ac:dyDescent="0.2">
      <c r="A6687" s="2">
        <v>1869</v>
      </c>
      <c r="B6687" s="2" t="s">
        <v>10556</v>
      </c>
      <c r="C6687" s="2" t="s">
        <v>13</v>
      </c>
      <c r="D6687" s="2" t="s">
        <v>10557</v>
      </c>
      <c r="E6687" s="2" t="s">
        <v>10558</v>
      </c>
      <c r="F6687" s="2" t="s">
        <v>31</v>
      </c>
      <c r="G6687" s="2" t="s">
        <v>17</v>
      </c>
      <c r="H6687" s="2"/>
      <c r="I6687" s="2"/>
      <c r="J6687" s="2"/>
      <c r="K6687" s="2"/>
      <c r="L6687" s="2"/>
      <c r="M6687" s="2"/>
      <c r="N6687" s="2"/>
      <c r="O6687" s="2"/>
      <c r="P6687" s="2"/>
      <c r="Q6687" s="2"/>
      <c r="R6687" s="2"/>
      <c r="S6687" s="2"/>
      <c r="T6687" s="2"/>
      <c r="U6687" s="2"/>
      <c r="V6687" s="2"/>
      <c r="W6687" s="2"/>
      <c r="X6687" s="2"/>
      <c r="Y6687" s="2"/>
    </row>
    <row r="6688" spans="1:25" x14ac:dyDescent="0.2">
      <c r="A6688">
        <v>1870</v>
      </c>
      <c r="B6688" t="s">
        <v>10556</v>
      </c>
      <c r="C6688" t="s">
        <v>18</v>
      </c>
      <c r="D6688" t="s">
        <v>10557</v>
      </c>
      <c r="E6688" t="s">
        <v>9681</v>
      </c>
      <c r="F6688" t="s">
        <v>31</v>
      </c>
      <c r="G6688" t="s">
        <v>17</v>
      </c>
      <c r="J6688" t="b">
        <v>1</v>
      </c>
      <c r="K6688" t="b">
        <v>1</v>
      </c>
      <c r="L6688" t="b">
        <v>1</v>
      </c>
    </row>
    <row r="6689" spans="1:25" x14ac:dyDescent="0.2">
      <c r="A6689">
        <v>1871</v>
      </c>
      <c r="B6689" t="s">
        <v>10556</v>
      </c>
      <c r="C6689" t="s">
        <v>18</v>
      </c>
      <c r="D6689" t="s">
        <v>9680</v>
      </c>
      <c r="E6689" t="s">
        <v>9681</v>
      </c>
      <c r="F6689" t="s">
        <v>31</v>
      </c>
      <c r="G6689" t="s">
        <v>17</v>
      </c>
      <c r="J6689" t="b">
        <v>1</v>
      </c>
      <c r="K6689" t="b">
        <v>1</v>
      </c>
      <c r="L6689" t="b">
        <v>1</v>
      </c>
      <c r="M6689" t="str">
        <f>HYPERLINK("https://arizona.app.box.com/file/389268420690")</f>
        <v>https://arizona.app.box.com/file/389268420690</v>
      </c>
    </row>
    <row r="6690" spans="1:25" x14ac:dyDescent="0.2">
      <c r="A6690">
        <v>1872</v>
      </c>
      <c r="B6690" t="s">
        <v>10556</v>
      </c>
      <c r="C6690" t="s">
        <v>18</v>
      </c>
      <c r="D6690" t="s">
        <v>10559</v>
      </c>
      <c r="E6690" t="s">
        <v>10560</v>
      </c>
      <c r="F6690" t="s">
        <v>31</v>
      </c>
      <c r="G6690" t="s">
        <v>17</v>
      </c>
      <c r="J6690" t="b">
        <v>1</v>
      </c>
      <c r="K6690" t="b">
        <v>1</v>
      </c>
      <c r="L6690" t="b">
        <v>1</v>
      </c>
      <c r="M6690" t="str">
        <f>HYPERLINK("https://arizona.app.box.com/file/389161980521")</f>
        <v>https://arizona.app.box.com/file/389161980521</v>
      </c>
    </row>
    <row r="6691" spans="1:25" x14ac:dyDescent="0.2">
      <c r="A6691">
        <v>1873</v>
      </c>
      <c r="B6691" t="s">
        <v>10556</v>
      </c>
      <c r="C6691" t="s">
        <v>18</v>
      </c>
      <c r="D6691" t="s">
        <v>10561</v>
      </c>
      <c r="E6691" t="s">
        <v>10562</v>
      </c>
      <c r="F6691" t="s">
        <v>31</v>
      </c>
      <c r="G6691" t="s">
        <v>17</v>
      </c>
      <c r="J6691" t="b">
        <v>1</v>
      </c>
      <c r="K6691" t="b">
        <v>1</v>
      </c>
      <c r="L6691" t="b">
        <v>1</v>
      </c>
      <c r="M6691" t="str">
        <f>HYPERLINK("https://arizona.app.box.com/file/389163543856")</f>
        <v>https://arizona.app.box.com/file/389163543856</v>
      </c>
    </row>
    <row r="6692" spans="1:25" x14ac:dyDescent="0.2">
      <c r="A6692">
        <v>1874</v>
      </c>
      <c r="B6692" t="s">
        <v>10556</v>
      </c>
      <c r="C6692" t="s">
        <v>18</v>
      </c>
      <c r="D6692" t="s">
        <v>1325</v>
      </c>
      <c r="E6692" t="s">
        <v>1326</v>
      </c>
      <c r="F6692" t="s">
        <v>174</v>
      </c>
      <c r="G6692" t="s">
        <v>17</v>
      </c>
      <c r="J6692" t="b">
        <v>0</v>
      </c>
      <c r="K6692" t="b">
        <v>0</v>
      </c>
      <c r="L6692" t="b">
        <v>0</v>
      </c>
      <c r="M6692" t="str">
        <f>HYPERLINK("https://arizona.app.box.com/file/389170151327")</f>
        <v>https://arizona.app.box.com/file/389170151327</v>
      </c>
      <c r="N6692" t="str">
        <f>HYPERLINK("https://arizona.app.box.com/file/386237581247")</f>
        <v>https://arizona.app.box.com/file/386237581247</v>
      </c>
    </row>
    <row r="6694" spans="1:25" x14ac:dyDescent="0.2">
      <c r="A6694" s="2">
        <v>1897</v>
      </c>
      <c r="B6694" s="2" t="s">
        <v>10563</v>
      </c>
      <c r="C6694" s="2" t="s">
        <v>13</v>
      </c>
      <c r="D6694" s="2" t="s">
        <v>10564</v>
      </c>
      <c r="E6694" s="2" t="s">
        <v>10565</v>
      </c>
      <c r="F6694" s="2" t="s">
        <v>260</v>
      </c>
      <c r="G6694" s="2" t="s">
        <v>24</v>
      </c>
      <c r="H6694" s="2"/>
      <c r="I6694" s="2"/>
      <c r="J6694" s="2"/>
      <c r="K6694" s="2"/>
      <c r="L6694" s="2"/>
      <c r="M6694" s="2"/>
      <c r="N6694" s="2"/>
      <c r="O6694" s="2"/>
      <c r="P6694" s="2"/>
      <c r="Q6694" s="2"/>
      <c r="R6694" s="2"/>
      <c r="S6694" s="2"/>
      <c r="T6694" s="2"/>
      <c r="U6694" s="2"/>
      <c r="V6694" s="2"/>
      <c r="W6694" s="2"/>
      <c r="X6694" s="2"/>
      <c r="Y6694" s="2"/>
    </row>
    <row r="6695" spans="1:25" x14ac:dyDescent="0.2">
      <c r="A6695">
        <v>1898</v>
      </c>
      <c r="B6695" t="s">
        <v>10563</v>
      </c>
      <c r="C6695" t="s">
        <v>18</v>
      </c>
      <c r="D6695" t="s">
        <v>10564</v>
      </c>
      <c r="E6695" t="s">
        <v>8533</v>
      </c>
      <c r="F6695" t="s">
        <v>260</v>
      </c>
      <c r="G6695" t="s">
        <v>24</v>
      </c>
      <c r="J6695" t="b">
        <v>1</v>
      </c>
      <c r="K6695" t="b">
        <v>1</v>
      </c>
      <c r="L6695" t="b">
        <v>1</v>
      </c>
      <c r="M6695" t="str">
        <f>HYPERLINK("https://arizona.app.box.com/file/386217258323")</f>
        <v>https://arizona.app.box.com/file/386217258323</v>
      </c>
    </row>
    <row r="6696" spans="1:25" x14ac:dyDescent="0.2">
      <c r="A6696">
        <v>1899</v>
      </c>
      <c r="B6696" t="s">
        <v>10563</v>
      </c>
      <c r="C6696" t="s">
        <v>18</v>
      </c>
      <c r="D6696" t="s">
        <v>10566</v>
      </c>
      <c r="E6696" t="s">
        <v>10567</v>
      </c>
      <c r="F6696" t="s">
        <v>260</v>
      </c>
      <c r="G6696" t="s">
        <v>24</v>
      </c>
      <c r="J6696" t="b">
        <v>1</v>
      </c>
      <c r="K6696" t="b">
        <v>1</v>
      </c>
      <c r="L6696" t="b">
        <v>1</v>
      </c>
      <c r="M6696" t="str">
        <f>HYPERLINK("https://arizona.app.box.com/file/386217223582")</f>
        <v>https://arizona.app.box.com/file/386217223582</v>
      </c>
    </row>
    <row r="6697" spans="1:25" x14ac:dyDescent="0.2">
      <c r="A6697">
        <v>1900</v>
      </c>
      <c r="B6697" t="s">
        <v>10563</v>
      </c>
      <c r="C6697" t="s">
        <v>18</v>
      </c>
      <c r="D6697" t="s">
        <v>8960</v>
      </c>
      <c r="E6697" t="s">
        <v>8961</v>
      </c>
      <c r="F6697" t="s">
        <v>45</v>
      </c>
      <c r="G6697" t="s">
        <v>24</v>
      </c>
      <c r="J6697" t="b">
        <v>0</v>
      </c>
      <c r="K6697" t="b">
        <v>0</v>
      </c>
      <c r="L6697" t="b">
        <v>0</v>
      </c>
    </row>
    <row r="6698" spans="1:25" x14ac:dyDescent="0.2">
      <c r="A6698">
        <v>1901</v>
      </c>
      <c r="B6698" t="s">
        <v>10563</v>
      </c>
      <c r="C6698" t="s">
        <v>18</v>
      </c>
      <c r="D6698" t="s">
        <v>9122</v>
      </c>
      <c r="E6698" t="s">
        <v>9123</v>
      </c>
      <c r="F6698" t="s">
        <v>369</v>
      </c>
      <c r="G6698" t="s">
        <v>17</v>
      </c>
      <c r="J6698" t="b">
        <v>0</v>
      </c>
      <c r="K6698" t="b">
        <v>0</v>
      </c>
      <c r="L6698" t="b">
        <v>0</v>
      </c>
      <c r="M6698" t="str">
        <f>HYPERLINK("https://arizona.app.box.com/file/389163357068")</f>
        <v>https://arizona.app.box.com/file/389163357068</v>
      </c>
      <c r="N6698" t="str">
        <f>HYPERLINK("https://arizona.app.box.com/file/386241113911")</f>
        <v>https://arizona.app.box.com/file/386241113911</v>
      </c>
    </row>
    <row r="6699" spans="1:25" x14ac:dyDescent="0.2">
      <c r="A6699">
        <v>1902</v>
      </c>
      <c r="B6699" t="s">
        <v>10563</v>
      </c>
      <c r="C6699" t="s">
        <v>18</v>
      </c>
      <c r="D6699" t="s">
        <v>10568</v>
      </c>
      <c r="E6699" t="s">
        <v>10569</v>
      </c>
      <c r="F6699" t="s">
        <v>122</v>
      </c>
      <c r="G6699" t="s">
        <v>4168</v>
      </c>
      <c r="J6699" t="b">
        <v>0</v>
      </c>
      <c r="K6699" t="b">
        <v>0</v>
      </c>
      <c r="L6699" t="b">
        <v>0</v>
      </c>
      <c r="M6699" t="str">
        <f>HYPERLINK("https://arizona.app.box.com/file/389266091829")</f>
        <v>https://arizona.app.box.com/file/389266091829</v>
      </c>
      <c r="N6699" t="str">
        <f>HYPERLINK("https://arizona.app.box.com/file/389168995447")</f>
        <v>https://arizona.app.box.com/file/389168995447</v>
      </c>
      <c r="O6699" t="str">
        <f>HYPERLINK("https://arizona.app.box.com/file/389152826275")</f>
        <v>https://arizona.app.box.com/file/389152826275</v>
      </c>
    </row>
    <row r="6701" spans="1:25" x14ac:dyDescent="0.2">
      <c r="A6701" s="2">
        <v>1904</v>
      </c>
      <c r="B6701" s="2" t="s">
        <v>10570</v>
      </c>
      <c r="C6701" s="2" t="s">
        <v>13</v>
      </c>
      <c r="D6701" s="2" t="s">
        <v>1618</v>
      </c>
      <c r="E6701" s="2" t="s">
        <v>1619</v>
      </c>
      <c r="F6701" s="2" t="s">
        <v>31</v>
      </c>
      <c r="G6701" s="2" t="s">
        <v>17</v>
      </c>
      <c r="H6701" s="2"/>
      <c r="I6701" s="2"/>
      <c r="J6701" s="2"/>
      <c r="K6701" s="2"/>
      <c r="L6701" s="2"/>
      <c r="M6701" s="2"/>
      <c r="N6701" s="2"/>
      <c r="O6701" s="2"/>
      <c r="P6701" s="2"/>
      <c r="Q6701" s="2"/>
      <c r="R6701" s="2"/>
      <c r="S6701" s="2"/>
      <c r="T6701" s="2"/>
      <c r="U6701" s="2"/>
      <c r="V6701" s="2"/>
      <c r="W6701" s="2"/>
      <c r="X6701" s="2"/>
      <c r="Y6701" s="2"/>
    </row>
    <row r="6702" spans="1:25" x14ac:dyDescent="0.2">
      <c r="A6702">
        <v>1905</v>
      </c>
      <c r="B6702" t="s">
        <v>10570</v>
      </c>
      <c r="C6702" t="s">
        <v>18</v>
      </c>
      <c r="D6702" t="s">
        <v>1618</v>
      </c>
      <c r="E6702" t="s">
        <v>1619</v>
      </c>
      <c r="F6702" t="s">
        <v>31</v>
      </c>
      <c r="G6702" t="s">
        <v>17</v>
      </c>
      <c r="J6702" t="b">
        <v>1</v>
      </c>
      <c r="K6702" t="b">
        <v>1</v>
      </c>
      <c r="L6702" t="b">
        <v>1</v>
      </c>
      <c r="M6702" t="str">
        <f>HYPERLINK("https://arizona.app.box.com/file/389260456445")</f>
        <v>https://arizona.app.box.com/file/389260456445</v>
      </c>
      <c r="N6702" t="str">
        <f>HYPERLINK("https://arizona.app.box.com/file/389169107956")</f>
        <v>https://arizona.app.box.com/file/389169107956</v>
      </c>
      <c r="O6702" t="str">
        <f>HYPERLINK("https://arizona.app.box.com/file/389255876241")</f>
        <v>https://arizona.app.box.com/file/389255876241</v>
      </c>
    </row>
    <row r="6703" spans="1:25" x14ac:dyDescent="0.2">
      <c r="A6703">
        <v>1906</v>
      </c>
      <c r="B6703" t="s">
        <v>10570</v>
      </c>
      <c r="C6703" t="s">
        <v>18</v>
      </c>
      <c r="D6703" t="s">
        <v>2350</v>
      </c>
      <c r="E6703" t="s">
        <v>2351</v>
      </c>
      <c r="F6703" t="s">
        <v>31</v>
      </c>
      <c r="G6703" t="s">
        <v>17</v>
      </c>
      <c r="J6703" t="b">
        <v>1</v>
      </c>
      <c r="K6703" t="b">
        <v>1</v>
      </c>
      <c r="L6703" t="b">
        <v>1</v>
      </c>
      <c r="M6703" t="str">
        <f>HYPERLINK("https://arizona.app.box.com/file/389259393903")</f>
        <v>https://arizona.app.box.com/file/389259393903</v>
      </c>
    </row>
    <row r="6704" spans="1:25" x14ac:dyDescent="0.2">
      <c r="A6704">
        <v>1907</v>
      </c>
      <c r="B6704" t="s">
        <v>10570</v>
      </c>
      <c r="C6704" t="s">
        <v>18</v>
      </c>
      <c r="D6704" t="s">
        <v>2905</v>
      </c>
      <c r="E6704" t="s">
        <v>2906</v>
      </c>
      <c r="F6704" t="s">
        <v>174</v>
      </c>
      <c r="G6704" t="s">
        <v>17</v>
      </c>
      <c r="J6704" t="b">
        <v>0</v>
      </c>
      <c r="K6704" t="b">
        <v>0</v>
      </c>
      <c r="L6704" t="b">
        <v>0</v>
      </c>
      <c r="M6704" t="str">
        <f>HYPERLINK("https://arizona.app.box.com/file/389171583505")</f>
        <v>https://arizona.app.box.com/file/389171583505</v>
      </c>
      <c r="N6704" t="str">
        <f>HYPERLINK("https://arizona.app.box.com/file/386216611536")</f>
        <v>https://arizona.app.box.com/file/386216611536</v>
      </c>
    </row>
    <row r="6705" spans="1:25" x14ac:dyDescent="0.2">
      <c r="A6705">
        <v>1908</v>
      </c>
      <c r="B6705" t="s">
        <v>10570</v>
      </c>
      <c r="C6705" t="s">
        <v>18</v>
      </c>
      <c r="D6705" t="s">
        <v>5578</v>
      </c>
      <c r="E6705" t="s">
        <v>5552</v>
      </c>
      <c r="F6705" t="s">
        <v>16</v>
      </c>
      <c r="G6705" t="s">
        <v>24</v>
      </c>
      <c r="J6705" t="b">
        <v>0</v>
      </c>
      <c r="K6705" t="b">
        <v>0</v>
      </c>
      <c r="L6705" t="b">
        <v>0</v>
      </c>
      <c r="M6705" t="str">
        <f>HYPERLINK("https://arizona.app.box.com/file/389173237198")</f>
        <v>https://arizona.app.box.com/file/389173237198</v>
      </c>
      <c r="N6705" t="str">
        <f>HYPERLINK("https://arizona.app.box.com/file/386230598052")</f>
        <v>https://arizona.app.box.com/file/386230598052</v>
      </c>
    </row>
    <row r="6706" spans="1:25" x14ac:dyDescent="0.2">
      <c r="A6706">
        <v>1909</v>
      </c>
      <c r="B6706" t="s">
        <v>10570</v>
      </c>
      <c r="C6706" t="s">
        <v>18</v>
      </c>
      <c r="D6706" t="s">
        <v>191</v>
      </c>
      <c r="E6706" t="s">
        <v>192</v>
      </c>
      <c r="F6706" t="s">
        <v>159</v>
      </c>
      <c r="G6706" t="s">
        <v>193</v>
      </c>
      <c r="J6706" t="b">
        <v>0</v>
      </c>
      <c r="K6706" t="b">
        <v>0</v>
      </c>
      <c r="L6706" t="b">
        <v>0</v>
      </c>
      <c r="M6706" t="str">
        <f>HYPERLINK("https://arizona.app.box.com/file/389172676474")</f>
        <v>https://arizona.app.box.com/file/389172676474</v>
      </c>
      <c r="N6706" t="str">
        <f>HYPERLINK("https://arizona.app.box.com/file/386225995346")</f>
        <v>https://arizona.app.box.com/file/386225995346</v>
      </c>
    </row>
    <row r="6708" spans="1:25" x14ac:dyDescent="0.2">
      <c r="A6708" s="2">
        <v>1939</v>
      </c>
      <c r="B6708" s="2" t="s">
        <v>10571</v>
      </c>
      <c r="C6708" s="2" t="s">
        <v>13</v>
      </c>
      <c r="D6708" s="2" t="s">
        <v>10572</v>
      </c>
      <c r="E6708" s="2" t="s">
        <v>10573</v>
      </c>
      <c r="F6708" s="2" t="s">
        <v>205</v>
      </c>
      <c r="G6708" s="2" t="s">
        <v>134</v>
      </c>
      <c r="H6708" s="2"/>
      <c r="I6708" s="2"/>
      <c r="J6708" s="2"/>
      <c r="K6708" s="2"/>
      <c r="L6708" s="2"/>
      <c r="M6708" s="2"/>
      <c r="N6708" s="2"/>
      <c r="O6708" s="2"/>
      <c r="P6708" s="2"/>
      <c r="Q6708" s="2"/>
      <c r="R6708" s="2"/>
      <c r="S6708" s="2"/>
      <c r="T6708" s="2"/>
      <c r="U6708" s="2"/>
      <c r="V6708" s="2"/>
      <c r="W6708" s="2"/>
      <c r="X6708" s="2"/>
      <c r="Y6708" s="2"/>
    </row>
    <row r="6709" spans="1:25" x14ac:dyDescent="0.2">
      <c r="A6709">
        <v>1940</v>
      </c>
      <c r="B6709" t="s">
        <v>10571</v>
      </c>
      <c r="C6709" t="s">
        <v>18</v>
      </c>
      <c r="D6709" t="s">
        <v>10572</v>
      </c>
      <c r="E6709" t="s">
        <v>1859</v>
      </c>
      <c r="F6709" t="s">
        <v>205</v>
      </c>
      <c r="G6709" t="s">
        <v>134</v>
      </c>
      <c r="J6709" t="b">
        <v>1</v>
      </c>
      <c r="K6709" t="b">
        <v>1</v>
      </c>
      <c r="L6709" t="b">
        <v>1</v>
      </c>
    </row>
    <row r="6710" spans="1:25" x14ac:dyDescent="0.2">
      <c r="A6710">
        <v>1941</v>
      </c>
      <c r="B6710" t="s">
        <v>10571</v>
      </c>
      <c r="C6710" t="s">
        <v>18</v>
      </c>
      <c r="D6710" t="s">
        <v>10574</v>
      </c>
      <c r="E6710" t="s">
        <v>3848</v>
      </c>
      <c r="F6710" t="s">
        <v>205</v>
      </c>
      <c r="G6710" t="s">
        <v>134</v>
      </c>
      <c r="J6710" t="b">
        <v>1</v>
      </c>
      <c r="K6710" t="b">
        <v>1</v>
      </c>
      <c r="L6710" t="b">
        <v>1</v>
      </c>
      <c r="M6710" t="str">
        <f>HYPERLINK("https://arizona.app.box.com/file/389161818050")</f>
        <v>https://arizona.app.box.com/file/389161818050</v>
      </c>
    </row>
    <row r="6711" spans="1:25" x14ac:dyDescent="0.2">
      <c r="A6711">
        <v>1942</v>
      </c>
      <c r="B6711" t="s">
        <v>10571</v>
      </c>
      <c r="C6711" t="s">
        <v>18</v>
      </c>
      <c r="D6711" t="s">
        <v>10575</v>
      </c>
      <c r="E6711" t="s">
        <v>10576</v>
      </c>
      <c r="F6711" t="s">
        <v>205</v>
      </c>
      <c r="G6711" t="s">
        <v>134</v>
      </c>
      <c r="J6711" t="b">
        <v>0</v>
      </c>
      <c r="K6711" t="b">
        <v>0</v>
      </c>
      <c r="L6711" t="b">
        <v>0</v>
      </c>
      <c r="M6711" t="str">
        <f>HYPERLINK("https://arizona.app.box.com/file/389174000612")</f>
        <v>https://arizona.app.box.com/file/389174000612</v>
      </c>
      <c r="N6711" t="str">
        <f>HYPERLINK("https://arizona.app.box.com/file/386212225318")</f>
        <v>https://arizona.app.box.com/file/386212225318</v>
      </c>
    </row>
    <row r="6712" spans="1:25" x14ac:dyDescent="0.2">
      <c r="A6712">
        <v>1943</v>
      </c>
      <c r="B6712" t="s">
        <v>10571</v>
      </c>
      <c r="C6712" t="s">
        <v>18</v>
      </c>
      <c r="D6712" t="s">
        <v>10577</v>
      </c>
      <c r="E6712" t="s">
        <v>10578</v>
      </c>
      <c r="F6712" t="s">
        <v>205</v>
      </c>
      <c r="G6712" t="s">
        <v>134</v>
      </c>
      <c r="J6712" t="b">
        <v>0</v>
      </c>
      <c r="K6712" t="b">
        <v>0</v>
      </c>
      <c r="L6712" t="b">
        <v>0</v>
      </c>
      <c r="M6712" t="str">
        <f>HYPERLINK("https://arizona.app.box.com/file/389264936204")</f>
        <v>https://arizona.app.box.com/file/389264936204</v>
      </c>
      <c r="N6712" t="str">
        <f>HYPERLINK("https://arizona.app.box.com/file/389172248846")</f>
        <v>https://arizona.app.box.com/file/389172248846</v>
      </c>
      <c r="O6712" t="str">
        <f>HYPERLINK("https://arizona.app.box.com/file/389166136013")</f>
        <v>https://arizona.app.box.com/file/389166136013</v>
      </c>
      <c r="P6712" t="str">
        <f>HYPERLINK("https://arizona.app.box.com/file/386216049283")</f>
        <v>https://arizona.app.box.com/file/386216049283</v>
      </c>
    </row>
    <row r="6713" spans="1:25" x14ac:dyDescent="0.2">
      <c r="A6713">
        <v>1944</v>
      </c>
      <c r="B6713" t="s">
        <v>10571</v>
      </c>
      <c r="C6713" t="s">
        <v>18</v>
      </c>
      <c r="D6713" t="s">
        <v>4228</v>
      </c>
      <c r="E6713" t="s">
        <v>4229</v>
      </c>
      <c r="F6713" t="s">
        <v>78</v>
      </c>
      <c r="G6713" t="s">
        <v>134</v>
      </c>
      <c r="J6713" t="b">
        <v>0</v>
      </c>
      <c r="K6713" t="b">
        <v>0</v>
      </c>
      <c r="L6713" t="b">
        <v>0</v>
      </c>
      <c r="M6713" t="str">
        <f>HYPERLINK("https://arizona.app.box.com/file/389165808610")</f>
        <v>https://arizona.app.box.com/file/389165808610</v>
      </c>
      <c r="N6713" t="str">
        <f>HYPERLINK("https://arizona.app.box.com/file/386214603167")</f>
        <v>https://arizona.app.box.com/file/386214603167</v>
      </c>
    </row>
    <row r="6715" spans="1:25" x14ac:dyDescent="0.2">
      <c r="A6715" s="2">
        <v>1953</v>
      </c>
      <c r="B6715" s="2" t="s">
        <v>10579</v>
      </c>
      <c r="C6715" s="2" t="s">
        <v>13</v>
      </c>
      <c r="D6715" s="2" t="s">
        <v>5268</v>
      </c>
      <c r="E6715" s="2" t="s">
        <v>10580</v>
      </c>
      <c r="F6715" s="2" t="s">
        <v>369</v>
      </c>
      <c r="G6715" s="2" t="s">
        <v>17</v>
      </c>
      <c r="H6715" s="2"/>
      <c r="I6715" s="2"/>
      <c r="J6715" s="2"/>
      <c r="K6715" s="2"/>
      <c r="L6715" s="2"/>
      <c r="M6715" s="2"/>
      <c r="N6715" s="2"/>
      <c r="O6715" s="2"/>
      <c r="P6715" s="2"/>
      <c r="Q6715" s="2"/>
      <c r="R6715" s="2"/>
      <c r="S6715" s="2"/>
      <c r="T6715" s="2"/>
      <c r="U6715" s="2"/>
      <c r="V6715" s="2"/>
      <c r="W6715" s="2"/>
      <c r="X6715" s="2"/>
      <c r="Y6715" s="2"/>
    </row>
    <row r="6716" spans="1:25" x14ac:dyDescent="0.2">
      <c r="A6716">
        <v>1954</v>
      </c>
      <c r="B6716" t="s">
        <v>10579</v>
      </c>
      <c r="C6716" t="s">
        <v>18</v>
      </c>
      <c r="D6716" t="s">
        <v>5268</v>
      </c>
      <c r="E6716" t="s">
        <v>5269</v>
      </c>
      <c r="F6716" t="s">
        <v>369</v>
      </c>
      <c r="G6716" t="s">
        <v>17</v>
      </c>
      <c r="J6716" t="b">
        <v>1</v>
      </c>
      <c r="K6716" t="b">
        <v>1</v>
      </c>
      <c r="L6716" t="b">
        <v>1</v>
      </c>
      <c r="M6716" t="str">
        <f>HYPERLINK("https://arizona.app.box.com/file/389265442277")</f>
        <v>https://arizona.app.box.com/file/389265442277</v>
      </c>
      <c r="N6716" t="str">
        <f>HYPERLINK("https://arizona.app.box.com/file/389256646540")</f>
        <v>https://arizona.app.box.com/file/389256646540</v>
      </c>
      <c r="O6716" t="str">
        <f>HYPERLINK("https://arizona.app.box.com/file/389170271900")</f>
        <v>https://arizona.app.box.com/file/389170271900</v>
      </c>
    </row>
    <row r="6717" spans="1:25" x14ac:dyDescent="0.2">
      <c r="A6717">
        <v>1955</v>
      </c>
      <c r="B6717" t="s">
        <v>10579</v>
      </c>
      <c r="C6717" t="s">
        <v>18</v>
      </c>
      <c r="D6717" t="s">
        <v>1397</v>
      </c>
      <c r="E6717" t="s">
        <v>1398</v>
      </c>
      <c r="F6717" t="s">
        <v>151</v>
      </c>
      <c r="G6717" t="s">
        <v>24</v>
      </c>
      <c r="J6717" t="b">
        <v>0</v>
      </c>
      <c r="K6717" t="b">
        <v>0</v>
      </c>
      <c r="L6717" t="b">
        <v>0</v>
      </c>
      <c r="M6717" t="str">
        <f>HYPERLINK("https://arizona.app.box.com/file/389173366951")</f>
        <v>https://arizona.app.box.com/file/389173366951</v>
      </c>
      <c r="N6717" t="str">
        <f>HYPERLINK("https://arizona.app.box.com/file/386240750230")</f>
        <v>https://arizona.app.box.com/file/386240750230</v>
      </c>
    </row>
    <row r="6718" spans="1:25" x14ac:dyDescent="0.2">
      <c r="A6718">
        <v>1956</v>
      </c>
      <c r="B6718" t="s">
        <v>10579</v>
      </c>
      <c r="C6718" t="s">
        <v>18</v>
      </c>
      <c r="D6718" t="s">
        <v>8494</v>
      </c>
      <c r="E6718" t="s">
        <v>282</v>
      </c>
      <c r="F6718" t="s">
        <v>369</v>
      </c>
      <c r="G6718" t="s">
        <v>62</v>
      </c>
      <c r="J6718" t="b">
        <v>0</v>
      </c>
      <c r="K6718" t="b">
        <v>0</v>
      </c>
      <c r="L6718" t="b">
        <v>0</v>
      </c>
    </row>
    <row r="6719" spans="1:25" x14ac:dyDescent="0.2">
      <c r="A6719">
        <v>1957</v>
      </c>
      <c r="B6719" t="s">
        <v>10579</v>
      </c>
      <c r="C6719" t="s">
        <v>18</v>
      </c>
      <c r="D6719" t="s">
        <v>10581</v>
      </c>
      <c r="E6719" t="s">
        <v>10582</v>
      </c>
      <c r="F6719" t="s">
        <v>78</v>
      </c>
      <c r="G6719" t="s">
        <v>17</v>
      </c>
      <c r="J6719" t="b">
        <v>0</v>
      </c>
      <c r="K6719" t="b">
        <v>0</v>
      </c>
      <c r="L6719" t="b">
        <v>0</v>
      </c>
    </row>
    <row r="6720" spans="1:25" x14ac:dyDescent="0.2">
      <c r="A6720">
        <v>1958</v>
      </c>
      <c r="B6720" t="s">
        <v>10579</v>
      </c>
      <c r="C6720" t="s">
        <v>18</v>
      </c>
      <c r="D6720" t="s">
        <v>5273</v>
      </c>
      <c r="E6720" t="s">
        <v>5274</v>
      </c>
      <c r="F6720" t="s">
        <v>369</v>
      </c>
      <c r="G6720" t="s">
        <v>17</v>
      </c>
      <c r="J6720" t="b">
        <v>0</v>
      </c>
      <c r="K6720" t="b">
        <v>0</v>
      </c>
      <c r="L6720" t="b">
        <v>0</v>
      </c>
      <c r="M6720" t="str">
        <f>HYPERLINK("https://arizona.app.box.com/file/389177819504")</f>
        <v>https://arizona.app.box.com/file/389177819504</v>
      </c>
      <c r="N6720" t="str">
        <f>HYPERLINK("https://arizona.app.box.com/file/386237832466")</f>
        <v>https://arizona.app.box.com/file/386237832466</v>
      </c>
    </row>
    <row r="6722" spans="1:25" x14ac:dyDescent="0.2">
      <c r="A6722" s="2">
        <v>1974</v>
      </c>
      <c r="B6722" s="2" t="s">
        <v>10583</v>
      </c>
      <c r="C6722" s="2" t="s">
        <v>13</v>
      </c>
      <c r="D6722" s="2" t="s">
        <v>10584</v>
      </c>
      <c r="E6722" s="2" t="s">
        <v>10585</v>
      </c>
      <c r="F6722" s="2" t="s">
        <v>151</v>
      </c>
      <c r="G6722" s="2" t="s">
        <v>24</v>
      </c>
      <c r="H6722" s="2"/>
      <c r="I6722" s="2"/>
      <c r="J6722" s="2"/>
      <c r="K6722" s="2"/>
      <c r="L6722" s="2"/>
      <c r="M6722" s="2"/>
      <c r="N6722" s="2"/>
      <c r="O6722" s="2"/>
      <c r="P6722" s="2"/>
      <c r="Q6722" s="2"/>
      <c r="R6722" s="2"/>
      <c r="S6722" s="2"/>
      <c r="T6722" s="2"/>
      <c r="U6722" s="2"/>
      <c r="V6722" s="2"/>
      <c r="W6722" s="2"/>
      <c r="X6722" s="2"/>
      <c r="Y6722" s="2"/>
    </row>
    <row r="6723" spans="1:25" x14ac:dyDescent="0.2">
      <c r="A6723">
        <v>1975</v>
      </c>
      <c r="B6723" t="s">
        <v>10583</v>
      </c>
      <c r="C6723" t="s">
        <v>18</v>
      </c>
      <c r="D6723" t="s">
        <v>5484</v>
      </c>
      <c r="E6723" t="s">
        <v>5485</v>
      </c>
      <c r="F6723" t="s">
        <v>151</v>
      </c>
      <c r="G6723" t="s">
        <v>24</v>
      </c>
      <c r="J6723" t="b">
        <v>1</v>
      </c>
      <c r="K6723" t="b">
        <v>1</v>
      </c>
      <c r="L6723" t="b">
        <v>1</v>
      </c>
      <c r="M6723" t="str">
        <f>HYPERLINK("https://arizona.app.box.com/file/386242360204")</f>
        <v>https://arizona.app.box.com/file/386242360204</v>
      </c>
      <c r="N6723" t="str">
        <f>HYPERLINK("https://arizona.app.box.com/file/386242709038")</f>
        <v>https://arizona.app.box.com/file/386242709038</v>
      </c>
    </row>
    <row r="6724" spans="1:25" x14ac:dyDescent="0.2">
      <c r="A6724">
        <v>1976</v>
      </c>
      <c r="B6724" t="s">
        <v>10583</v>
      </c>
      <c r="C6724" t="s">
        <v>18</v>
      </c>
      <c r="D6724" t="s">
        <v>10586</v>
      </c>
      <c r="E6724" t="s">
        <v>10587</v>
      </c>
      <c r="F6724" t="s">
        <v>151</v>
      </c>
      <c r="G6724" t="s">
        <v>24</v>
      </c>
      <c r="J6724" t="b">
        <v>1</v>
      </c>
      <c r="K6724" t="b">
        <v>0</v>
      </c>
      <c r="L6724" t="b">
        <v>1</v>
      </c>
      <c r="M6724" t="str">
        <f>HYPERLINK("https://arizona.app.box.com/file/386216977215")</f>
        <v>https://arizona.app.box.com/file/386216977215</v>
      </c>
    </row>
    <row r="6725" spans="1:25" x14ac:dyDescent="0.2">
      <c r="A6725">
        <v>1977</v>
      </c>
      <c r="B6725" t="s">
        <v>10583</v>
      </c>
      <c r="C6725" t="s">
        <v>18</v>
      </c>
      <c r="D6725" t="s">
        <v>5488</v>
      </c>
      <c r="E6725" t="s">
        <v>5489</v>
      </c>
      <c r="F6725" t="s">
        <v>151</v>
      </c>
      <c r="G6725" t="s">
        <v>24</v>
      </c>
      <c r="J6725" t="b">
        <v>0</v>
      </c>
      <c r="K6725" t="b">
        <v>0</v>
      </c>
      <c r="L6725" t="b">
        <v>0</v>
      </c>
      <c r="M6725" t="str">
        <f>HYPERLINK("https://arizona.app.box.com/file/386215852105")</f>
        <v>https://arizona.app.box.com/file/386215852105</v>
      </c>
      <c r="N6725" t="str">
        <f>HYPERLINK("https://arizona.app.box.com/file/386241113911")</f>
        <v>https://arizona.app.box.com/file/386241113911</v>
      </c>
    </row>
    <row r="6726" spans="1:25" x14ac:dyDescent="0.2">
      <c r="A6726">
        <v>1978</v>
      </c>
      <c r="B6726" t="s">
        <v>10583</v>
      </c>
      <c r="C6726" t="s">
        <v>18</v>
      </c>
      <c r="D6726" t="s">
        <v>4027</v>
      </c>
      <c r="E6726" t="s">
        <v>4028</v>
      </c>
      <c r="F6726" t="s">
        <v>151</v>
      </c>
      <c r="G6726" t="s">
        <v>24</v>
      </c>
      <c r="J6726" t="b">
        <v>0</v>
      </c>
      <c r="K6726" t="b">
        <v>0</v>
      </c>
      <c r="L6726" t="b">
        <v>0</v>
      </c>
      <c r="M6726" t="str">
        <f>HYPERLINK("https://arizona.app.box.com/file/386241984269")</f>
        <v>https://arizona.app.box.com/file/386241984269</v>
      </c>
    </row>
    <row r="6727" spans="1:25" x14ac:dyDescent="0.2">
      <c r="A6727">
        <v>1979</v>
      </c>
      <c r="B6727" t="s">
        <v>10583</v>
      </c>
      <c r="C6727" t="s">
        <v>18</v>
      </c>
      <c r="D6727" t="s">
        <v>10588</v>
      </c>
      <c r="E6727" t="s">
        <v>10589</v>
      </c>
      <c r="F6727" t="s">
        <v>151</v>
      </c>
      <c r="G6727" t="s">
        <v>24</v>
      </c>
      <c r="J6727" t="b">
        <v>0</v>
      </c>
      <c r="K6727" t="b">
        <v>0</v>
      </c>
      <c r="L6727" t="b">
        <v>0</v>
      </c>
    </row>
    <row r="6729" spans="1:25" x14ac:dyDescent="0.2">
      <c r="A6729" s="2">
        <v>1981</v>
      </c>
      <c r="B6729" s="2" t="s">
        <v>10590</v>
      </c>
      <c r="C6729" s="2" t="s">
        <v>13</v>
      </c>
      <c r="D6729" s="2" t="s">
        <v>10591</v>
      </c>
      <c r="E6729" s="2" t="s">
        <v>10592</v>
      </c>
      <c r="F6729" s="2" t="s">
        <v>78</v>
      </c>
      <c r="G6729" s="2" t="s">
        <v>88</v>
      </c>
      <c r="H6729" s="2"/>
      <c r="I6729" s="2"/>
      <c r="J6729" s="2"/>
      <c r="K6729" s="2"/>
      <c r="L6729" s="2"/>
      <c r="M6729" s="2"/>
      <c r="N6729" s="2"/>
      <c r="O6729" s="2"/>
      <c r="P6729" s="2"/>
      <c r="Q6729" s="2"/>
      <c r="R6729" s="2"/>
      <c r="S6729" s="2"/>
      <c r="T6729" s="2"/>
      <c r="U6729" s="2"/>
      <c r="V6729" s="2"/>
      <c r="W6729" s="2"/>
      <c r="X6729" s="2"/>
      <c r="Y6729" s="2"/>
    </row>
    <row r="6730" spans="1:25" x14ac:dyDescent="0.2">
      <c r="A6730">
        <v>1982</v>
      </c>
      <c r="B6730" t="s">
        <v>10590</v>
      </c>
      <c r="C6730" t="s">
        <v>18</v>
      </c>
      <c r="D6730" t="s">
        <v>1441</v>
      </c>
      <c r="E6730" t="s">
        <v>1442</v>
      </c>
      <c r="F6730" t="s">
        <v>78</v>
      </c>
      <c r="G6730" t="s">
        <v>88</v>
      </c>
      <c r="J6730" t="b">
        <v>1</v>
      </c>
      <c r="K6730" t="b">
        <v>1</v>
      </c>
      <c r="L6730" t="b">
        <v>1</v>
      </c>
      <c r="M6730" t="str">
        <f>HYPERLINK("https://arizona.app.box.com/file/389262428628")</f>
        <v>https://arizona.app.box.com/file/389262428628</v>
      </c>
      <c r="N6730" t="str">
        <f>HYPERLINK("https://arizona.app.box.com/file/386265368238")</f>
        <v>https://arizona.app.box.com/file/386265368238</v>
      </c>
    </row>
    <row r="6731" spans="1:25" x14ac:dyDescent="0.2">
      <c r="A6731">
        <v>1983</v>
      </c>
      <c r="B6731" t="s">
        <v>10590</v>
      </c>
      <c r="C6731" t="s">
        <v>18</v>
      </c>
      <c r="D6731" t="s">
        <v>10593</v>
      </c>
      <c r="E6731" t="s">
        <v>10594</v>
      </c>
      <c r="F6731" t="s">
        <v>78</v>
      </c>
      <c r="G6731" t="s">
        <v>88</v>
      </c>
      <c r="J6731" t="b">
        <v>0</v>
      </c>
      <c r="K6731" t="b">
        <v>0</v>
      </c>
      <c r="L6731" t="b">
        <v>0</v>
      </c>
      <c r="M6731" t="str">
        <f>HYPERLINK("https://arizona.app.box.com/file/386240058086")</f>
        <v>https://arizona.app.box.com/file/386240058086</v>
      </c>
    </row>
    <row r="6732" spans="1:25" x14ac:dyDescent="0.2">
      <c r="A6732">
        <v>1984</v>
      </c>
      <c r="B6732" t="s">
        <v>10590</v>
      </c>
      <c r="C6732" t="s">
        <v>18</v>
      </c>
      <c r="D6732" t="s">
        <v>1433</v>
      </c>
      <c r="E6732" t="s">
        <v>1435</v>
      </c>
      <c r="F6732" t="s">
        <v>654</v>
      </c>
      <c r="G6732" t="s">
        <v>88</v>
      </c>
      <c r="J6732" t="b">
        <v>0</v>
      </c>
      <c r="K6732" t="b">
        <v>0</v>
      </c>
      <c r="L6732" t="b">
        <v>0</v>
      </c>
      <c r="M6732" t="str">
        <f>HYPERLINK("https://arizona.app.box.com/file/389256379553")</f>
        <v>https://arizona.app.box.com/file/389256379553</v>
      </c>
      <c r="N6732" t="str">
        <f>HYPERLINK("https://arizona.app.box.com/file/389152302107")</f>
        <v>https://arizona.app.box.com/file/389152302107</v>
      </c>
    </row>
    <row r="6733" spans="1:25" x14ac:dyDescent="0.2">
      <c r="A6733">
        <v>1985</v>
      </c>
      <c r="B6733" t="s">
        <v>10590</v>
      </c>
      <c r="C6733" t="s">
        <v>18</v>
      </c>
      <c r="D6733" t="s">
        <v>1445</v>
      </c>
      <c r="E6733" t="s">
        <v>1446</v>
      </c>
      <c r="F6733" t="s">
        <v>654</v>
      </c>
      <c r="G6733" t="s">
        <v>88</v>
      </c>
      <c r="J6733" t="b">
        <v>0</v>
      </c>
      <c r="K6733" t="b">
        <v>0</v>
      </c>
      <c r="L6733" t="b">
        <v>0</v>
      </c>
      <c r="M6733" t="str">
        <f>HYPERLINK("https://arizona.app.box.com/file/386265446030")</f>
        <v>https://arizona.app.box.com/file/386265446030</v>
      </c>
      <c r="N6733" t="str">
        <f>HYPERLINK("https://arizona.app.box.com/file/386264874790")</f>
        <v>https://arizona.app.box.com/file/386264874790</v>
      </c>
    </row>
    <row r="6734" spans="1:25" x14ac:dyDescent="0.2">
      <c r="A6734">
        <v>1986</v>
      </c>
      <c r="B6734" t="s">
        <v>10590</v>
      </c>
      <c r="C6734" t="s">
        <v>18</v>
      </c>
      <c r="D6734" t="s">
        <v>10595</v>
      </c>
      <c r="E6734" t="s">
        <v>10596</v>
      </c>
      <c r="F6734" t="s">
        <v>144</v>
      </c>
      <c r="G6734" t="s">
        <v>88</v>
      </c>
      <c r="J6734" t="b">
        <v>0</v>
      </c>
      <c r="K6734" t="b">
        <v>0</v>
      </c>
      <c r="L6734" t="b">
        <v>0</v>
      </c>
    </row>
    <row r="6736" spans="1:25" x14ac:dyDescent="0.2">
      <c r="A6736" s="2">
        <v>2009</v>
      </c>
      <c r="B6736" s="2" t="s">
        <v>10597</v>
      </c>
      <c r="C6736" s="2" t="s">
        <v>13</v>
      </c>
      <c r="D6736" s="2" t="s">
        <v>10598</v>
      </c>
      <c r="E6736" s="2" t="s">
        <v>10599</v>
      </c>
      <c r="F6736" s="2" t="s">
        <v>71</v>
      </c>
      <c r="G6736" s="2" t="s">
        <v>1405</v>
      </c>
      <c r="H6736" s="2"/>
      <c r="I6736" s="2"/>
      <c r="J6736" s="2"/>
      <c r="K6736" s="2"/>
      <c r="L6736" s="2"/>
      <c r="M6736" s="2"/>
      <c r="N6736" s="2"/>
      <c r="O6736" s="2"/>
      <c r="P6736" s="2"/>
      <c r="Q6736" s="2"/>
      <c r="R6736" s="2"/>
      <c r="S6736" s="2"/>
      <c r="T6736" s="2"/>
      <c r="U6736" s="2"/>
      <c r="V6736" s="2"/>
      <c r="W6736" s="2"/>
      <c r="X6736" s="2"/>
      <c r="Y6736" s="2"/>
    </row>
    <row r="6737" spans="1:25" x14ac:dyDescent="0.2">
      <c r="A6737">
        <v>2010</v>
      </c>
      <c r="B6737" t="s">
        <v>10597</v>
      </c>
      <c r="C6737" t="s">
        <v>18</v>
      </c>
      <c r="D6737" t="s">
        <v>10600</v>
      </c>
      <c r="E6737" t="s">
        <v>10601</v>
      </c>
      <c r="F6737" t="s">
        <v>71</v>
      </c>
      <c r="G6737" t="s">
        <v>1406</v>
      </c>
      <c r="J6737" t="b">
        <v>1</v>
      </c>
      <c r="K6737" t="b">
        <v>1</v>
      </c>
      <c r="L6737" t="b">
        <v>1</v>
      </c>
      <c r="M6737" t="str">
        <f>HYPERLINK("https://arizona.app.box.com/file/386221009053")</f>
        <v>https://arizona.app.box.com/file/386221009053</v>
      </c>
      <c r="N6737" t="str">
        <f>HYPERLINK("https://arizona.app.box.com/file/389165162532")</f>
        <v>https://arizona.app.box.com/file/389165162532</v>
      </c>
    </row>
    <row r="6738" spans="1:25" x14ac:dyDescent="0.2">
      <c r="A6738">
        <v>2011</v>
      </c>
      <c r="B6738" t="s">
        <v>10597</v>
      </c>
      <c r="C6738" t="s">
        <v>18</v>
      </c>
      <c r="D6738" t="s">
        <v>10602</v>
      </c>
      <c r="E6738" t="s">
        <v>10603</v>
      </c>
      <c r="F6738" t="s">
        <v>87</v>
      </c>
      <c r="G6738" t="s">
        <v>1406</v>
      </c>
      <c r="J6738" t="b">
        <v>0</v>
      </c>
      <c r="K6738" t="b">
        <v>0</v>
      </c>
      <c r="L6738" t="b">
        <v>0</v>
      </c>
      <c r="M6738" t="str">
        <f>HYPERLINK("https://arizona.app.box.com/file/386218759517")</f>
        <v>https://arizona.app.box.com/file/386218759517</v>
      </c>
      <c r="N6738" t="str">
        <f>HYPERLINK("https://arizona.app.box.com/file/386231324579")</f>
        <v>https://arizona.app.box.com/file/386231324579</v>
      </c>
    </row>
    <row r="6739" spans="1:25" x14ac:dyDescent="0.2">
      <c r="A6739">
        <v>2012</v>
      </c>
      <c r="B6739" t="s">
        <v>10597</v>
      </c>
      <c r="C6739" t="s">
        <v>18</v>
      </c>
      <c r="D6739" t="s">
        <v>10604</v>
      </c>
      <c r="E6739" t="s">
        <v>7070</v>
      </c>
      <c r="F6739" t="s">
        <v>616</v>
      </c>
      <c r="G6739" t="s">
        <v>1406</v>
      </c>
      <c r="J6739" t="b">
        <v>0</v>
      </c>
      <c r="K6739" t="b">
        <v>0</v>
      </c>
      <c r="L6739" t="b">
        <v>0</v>
      </c>
      <c r="M6739" t="str">
        <f>HYPERLINK("https://arizona.app.box.com/file/389172352388")</f>
        <v>https://arizona.app.box.com/file/389172352388</v>
      </c>
      <c r="N6739" t="str">
        <f>HYPERLINK("https://arizona.app.box.com/file/386241067108")</f>
        <v>https://arizona.app.box.com/file/386241067108</v>
      </c>
    </row>
    <row r="6740" spans="1:25" x14ac:dyDescent="0.2">
      <c r="A6740">
        <v>2013</v>
      </c>
      <c r="B6740" t="s">
        <v>10597</v>
      </c>
      <c r="C6740" t="s">
        <v>18</v>
      </c>
      <c r="D6740" t="s">
        <v>1415</v>
      </c>
      <c r="E6740" t="s">
        <v>1416</v>
      </c>
      <c r="F6740" t="s">
        <v>316</v>
      </c>
      <c r="G6740" t="s">
        <v>1406</v>
      </c>
      <c r="J6740" t="b">
        <v>0</v>
      </c>
      <c r="K6740" t="b">
        <v>0</v>
      </c>
      <c r="L6740" t="b">
        <v>0</v>
      </c>
      <c r="M6740" t="str">
        <f>HYPERLINK("https://arizona.app.box.com/file/386219264299")</f>
        <v>https://arizona.app.box.com/file/386219264299</v>
      </c>
      <c r="N6740" t="str">
        <f>HYPERLINK("https://arizona.app.box.com/file/386249452534")</f>
        <v>https://arizona.app.box.com/file/386249452534</v>
      </c>
    </row>
    <row r="6741" spans="1:25" x14ac:dyDescent="0.2">
      <c r="A6741">
        <v>2014</v>
      </c>
      <c r="B6741" t="s">
        <v>10597</v>
      </c>
      <c r="C6741" t="s">
        <v>18</v>
      </c>
      <c r="D6741" t="s">
        <v>10605</v>
      </c>
      <c r="E6741" t="s">
        <v>10606</v>
      </c>
      <c r="F6741" t="s">
        <v>1153</v>
      </c>
      <c r="G6741" t="s">
        <v>1406</v>
      </c>
      <c r="J6741" t="b">
        <v>0</v>
      </c>
      <c r="K6741" t="b">
        <v>0</v>
      </c>
      <c r="L6741" t="b">
        <v>0</v>
      </c>
    </row>
    <row r="6743" spans="1:25" x14ac:dyDescent="0.2">
      <c r="A6743" s="2">
        <v>2016</v>
      </c>
      <c r="B6743" s="2" t="s">
        <v>10607</v>
      </c>
      <c r="C6743" s="2" t="s">
        <v>13</v>
      </c>
      <c r="D6743" s="2" t="s">
        <v>10608</v>
      </c>
      <c r="E6743" s="2" t="s">
        <v>10609</v>
      </c>
      <c r="F6743" s="2" t="s">
        <v>78</v>
      </c>
      <c r="G6743" s="2" t="s">
        <v>1752</v>
      </c>
      <c r="H6743" s="2"/>
      <c r="I6743" s="2"/>
      <c r="J6743" s="2"/>
      <c r="K6743" s="2"/>
      <c r="L6743" s="2"/>
      <c r="M6743" s="2"/>
      <c r="N6743" s="2"/>
      <c r="O6743" s="2"/>
      <c r="P6743" s="2"/>
      <c r="Q6743" s="2"/>
      <c r="R6743" s="2"/>
      <c r="S6743" s="2"/>
      <c r="T6743" s="2"/>
      <c r="U6743" s="2"/>
      <c r="V6743" s="2"/>
      <c r="W6743" s="2"/>
      <c r="X6743" s="2"/>
      <c r="Y6743" s="2"/>
    </row>
    <row r="6744" spans="1:25" x14ac:dyDescent="0.2">
      <c r="A6744">
        <v>2017</v>
      </c>
      <c r="B6744" t="s">
        <v>10607</v>
      </c>
      <c r="C6744" t="s">
        <v>18</v>
      </c>
      <c r="D6744" t="s">
        <v>10608</v>
      </c>
      <c r="E6744" t="s">
        <v>10609</v>
      </c>
      <c r="F6744" t="s">
        <v>78</v>
      </c>
      <c r="G6744" t="s">
        <v>917</v>
      </c>
      <c r="J6744" t="b">
        <v>1</v>
      </c>
      <c r="K6744" t="b">
        <v>1</v>
      </c>
      <c r="L6744" t="b">
        <v>1</v>
      </c>
      <c r="M6744" t="str">
        <f>HYPERLINK("https://arizona.app.box.com/file/386239325843")</f>
        <v>https://arizona.app.box.com/file/386239325843</v>
      </c>
      <c r="N6744" t="str">
        <f>HYPERLINK("https://arizona.app.box.com/file/386241113911")</f>
        <v>https://arizona.app.box.com/file/386241113911</v>
      </c>
    </row>
    <row r="6745" spans="1:25" x14ac:dyDescent="0.2">
      <c r="A6745">
        <v>2018</v>
      </c>
      <c r="B6745" t="s">
        <v>10607</v>
      </c>
      <c r="C6745" t="s">
        <v>18</v>
      </c>
      <c r="D6745" t="s">
        <v>1763</v>
      </c>
      <c r="E6745" t="s">
        <v>1764</v>
      </c>
      <c r="F6745" t="s">
        <v>78</v>
      </c>
      <c r="G6745" t="s">
        <v>917</v>
      </c>
      <c r="J6745" t="b">
        <v>0</v>
      </c>
      <c r="K6745" t="b">
        <v>0</v>
      </c>
      <c r="L6745" t="b">
        <v>0</v>
      </c>
      <c r="M6745" t="str">
        <f>HYPERLINK("https://arizona.app.box.com/file/386245140110")</f>
        <v>https://arizona.app.box.com/file/386245140110</v>
      </c>
      <c r="N6745" t="str">
        <f>HYPERLINK("https://arizona.app.box.com/file/386216775615")</f>
        <v>https://arizona.app.box.com/file/386216775615</v>
      </c>
    </row>
    <row r="6746" spans="1:25" x14ac:dyDescent="0.2">
      <c r="A6746">
        <v>2019</v>
      </c>
      <c r="B6746" t="s">
        <v>10607</v>
      </c>
      <c r="C6746" t="s">
        <v>18</v>
      </c>
      <c r="D6746" t="s">
        <v>1750</v>
      </c>
      <c r="E6746" t="s">
        <v>1751</v>
      </c>
      <c r="F6746" t="s">
        <v>78</v>
      </c>
      <c r="G6746" t="s">
        <v>917</v>
      </c>
      <c r="J6746" t="b">
        <v>0</v>
      </c>
      <c r="K6746" t="b">
        <v>0</v>
      </c>
      <c r="L6746" t="b">
        <v>0</v>
      </c>
      <c r="M6746" t="str">
        <f>HYPERLINK("https://arizona.app.box.com/file/389163500984")</f>
        <v>https://arizona.app.box.com/file/389163500984</v>
      </c>
      <c r="N6746" t="str">
        <f>HYPERLINK("https://arizona.app.box.com/file/386216552746")</f>
        <v>https://arizona.app.box.com/file/386216552746</v>
      </c>
      <c r="O6746" t="str">
        <f>HYPERLINK("https://arizona.app.box.com/file/386215347199")</f>
        <v>https://arizona.app.box.com/file/386215347199</v>
      </c>
    </row>
    <row r="6747" spans="1:25" x14ac:dyDescent="0.2">
      <c r="A6747">
        <v>2020</v>
      </c>
      <c r="B6747" t="s">
        <v>10607</v>
      </c>
      <c r="C6747" t="s">
        <v>18</v>
      </c>
      <c r="D6747" t="s">
        <v>5774</v>
      </c>
      <c r="E6747" t="s">
        <v>5776</v>
      </c>
      <c r="F6747" t="s">
        <v>596</v>
      </c>
      <c r="G6747" t="s">
        <v>917</v>
      </c>
      <c r="J6747" t="b">
        <v>0</v>
      </c>
      <c r="K6747" t="b">
        <v>0</v>
      </c>
      <c r="L6747" t="b">
        <v>0</v>
      </c>
      <c r="M6747" t="str">
        <f>HYPERLINK("https://arizona.app.box.com/file/389266557295")</f>
        <v>https://arizona.app.box.com/file/389266557295</v>
      </c>
      <c r="N6747" t="str">
        <f>HYPERLINK("https://arizona.app.box.com/file/389164081606")</f>
        <v>https://arizona.app.box.com/file/389164081606</v>
      </c>
    </row>
    <row r="6748" spans="1:25" x14ac:dyDescent="0.2">
      <c r="A6748">
        <v>2021</v>
      </c>
      <c r="B6748" t="s">
        <v>10607</v>
      </c>
      <c r="C6748" t="s">
        <v>18</v>
      </c>
      <c r="D6748" t="s">
        <v>5779</v>
      </c>
      <c r="E6748" t="s">
        <v>1170</v>
      </c>
      <c r="F6748" t="s">
        <v>596</v>
      </c>
      <c r="G6748" t="s">
        <v>917</v>
      </c>
      <c r="J6748" t="b">
        <v>0</v>
      </c>
      <c r="K6748" t="b">
        <v>0</v>
      </c>
      <c r="L6748" t="b">
        <v>0</v>
      </c>
      <c r="M6748" t="str">
        <f>HYPERLINK("https://arizona.app.box.com/file/389264505617")</f>
        <v>https://arizona.app.box.com/file/389264505617</v>
      </c>
      <c r="N6748" t="str">
        <f>HYPERLINK("https://arizona.app.box.com/file/389162628217")</f>
        <v>https://arizona.app.box.com/file/389162628217</v>
      </c>
    </row>
    <row r="6750" spans="1:25" x14ac:dyDescent="0.2">
      <c r="A6750" s="2">
        <v>2030</v>
      </c>
      <c r="B6750" s="2" t="s">
        <v>10610</v>
      </c>
      <c r="C6750" s="2" t="s">
        <v>13</v>
      </c>
      <c r="D6750" s="2" t="s">
        <v>10611</v>
      </c>
      <c r="E6750" s="2" t="s">
        <v>10612</v>
      </c>
      <c r="F6750" s="2" t="s">
        <v>78</v>
      </c>
      <c r="G6750" s="2" t="s">
        <v>62</v>
      </c>
      <c r="H6750" s="2"/>
      <c r="I6750" s="2"/>
      <c r="J6750" s="2"/>
      <c r="K6750" s="2"/>
      <c r="L6750" s="2"/>
      <c r="M6750" s="2"/>
      <c r="N6750" s="2"/>
      <c r="O6750" s="2"/>
      <c r="P6750" s="2"/>
      <c r="Q6750" s="2"/>
      <c r="R6750" s="2"/>
      <c r="S6750" s="2"/>
      <c r="T6750" s="2"/>
      <c r="U6750" s="2"/>
      <c r="V6750" s="2"/>
      <c r="W6750" s="2"/>
      <c r="X6750" s="2"/>
      <c r="Y6750" s="2"/>
    </row>
    <row r="6751" spans="1:25" x14ac:dyDescent="0.2">
      <c r="A6751">
        <v>2031</v>
      </c>
      <c r="B6751" t="s">
        <v>10610</v>
      </c>
      <c r="C6751" t="s">
        <v>18</v>
      </c>
      <c r="D6751" t="s">
        <v>10613</v>
      </c>
      <c r="E6751" t="s">
        <v>7805</v>
      </c>
      <c r="F6751" t="s">
        <v>78</v>
      </c>
      <c r="G6751" t="s">
        <v>62</v>
      </c>
      <c r="J6751" t="b">
        <v>1</v>
      </c>
      <c r="K6751" t="b">
        <v>0</v>
      </c>
      <c r="L6751" t="b">
        <v>1</v>
      </c>
      <c r="M6751" t="str">
        <f>HYPERLINK("https://arizona.app.box.com/file/386247433649")</f>
        <v>https://arizona.app.box.com/file/386247433649</v>
      </c>
    </row>
    <row r="6752" spans="1:25" x14ac:dyDescent="0.2">
      <c r="A6752">
        <v>2032</v>
      </c>
      <c r="B6752" t="s">
        <v>10610</v>
      </c>
      <c r="C6752" t="s">
        <v>18</v>
      </c>
      <c r="D6752" t="s">
        <v>10614</v>
      </c>
      <c r="E6752" t="s">
        <v>10615</v>
      </c>
      <c r="F6752" t="s">
        <v>3988</v>
      </c>
      <c r="G6752" t="s">
        <v>62</v>
      </c>
      <c r="J6752" t="b">
        <v>0</v>
      </c>
      <c r="K6752" t="b">
        <v>0</v>
      </c>
      <c r="L6752" t="b">
        <v>0</v>
      </c>
    </row>
    <row r="6753" spans="1:25" x14ac:dyDescent="0.2">
      <c r="A6753">
        <v>2033</v>
      </c>
      <c r="B6753" t="s">
        <v>10610</v>
      </c>
      <c r="C6753" t="s">
        <v>18</v>
      </c>
      <c r="D6753" t="s">
        <v>10616</v>
      </c>
      <c r="E6753" t="s">
        <v>10617</v>
      </c>
      <c r="F6753" t="s">
        <v>78</v>
      </c>
      <c r="G6753" t="s">
        <v>24</v>
      </c>
      <c r="J6753" t="b">
        <v>0</v>
      </c>
      <c r="K6753" t="b">
        <v>0</v>
      </c>
      <c r="L6753" t="b">
        <v>0</v>
      </c>
    </row>
    <row r="6754" spans="1:25" x14ac:dyDescent="0.2">
      <c r="A6754">
        <v>2034</v>
      </c>
      <c r="B6754" t="s">
        <v>10610</v>
      </c>
      <c r="C6754" t="s">
        <v>18</v>
      </c>
      <c r="D6754" t="s">
        <v>5755</v>
      </c>
      <c r="E6754" t="s">
        <v>5756</v>
      </c>
      <c r="F6754" t="s">
        <v>717</v>
      </c>
      <c r="G6754" t="s">
        <v>62</v>
      </c>
      <c r="J6754" t="b">
        <v>0</v>
      </c>
      <c r="K6754" t="b">
        <v>0</v>
      </c>
      <c r="L6754" t="b">
        <v>0</v>
      </c>
      <c r="M6754" t="str">
        <f>HYPERLINK("https://arizona.app.box.com/file/389263265511")</f>
        <v>https://arizona.app.box.com/file/389263265511</v>
      </c>
      <c r="N6754" t="str">
        <f>HYPERLINK("https://arizona.app.box.com/file/389152353219")</f>
        <v>https://arizona.app.box.com/file/389152353219</v>
      </c>
      <c r="O6754" t="str">
        <f>HYPERLINK("https://arizona.app.box.com/file/389267561267")</f>
        <v>https://arizona.app.box.com/file/389267561267</v>
      </c>
      <c r="P6754" t="str">
        <f>HYPERLINK("https://arizona.app.box.com/file/389164892937")</f>
        <v>https://arizona.app.box.com/file/389164892937</v>
      </c>
    </row>
    <row r="6755" spans="1:25" x14ac:dyDescent="0.2">
      <c r="A6755">
        <v>2035</v>
      </c>
      <c r="B6755" t="s">
        <v>10610</v>
      </c>
      <c r="C6755" t="s">
        <v>18</v>
      </c>
      <c r="D6755" t="s">
        <v>10618</v>
      </c>
      <c r="E6755" t="s">
        <v>10619</v>
      </c>
      <c r="F6755" t="s">
        <v>78</v>
      </c>
      <c r="G6755" t="s">
        <v>24</v>
      </c>
      <c r="J6755" t="b">
        <v>0</v>
      </c>
      <c r="K6755" t="b">
        <v>0</v>
      </c>
      <c r="L6755" t="b">
        <v>0</v>
      </c>
    </row>
    <row r="6757" spans="1:25" x14ac:dyDescent="0.2">
      <c r="A6757" s="2">
        <v>2072</v>
      </c>
      <c r="B6757" s="2" t="s">
        <v>10620</v>
      </c>
      <c r="C6757" s="2" t="s">
        <v>13</v>
      </c>
      <c r="D6757" s="2" t="s">
        <v>10621</v>
      </c>
      <c r="E6757" s="2" t="s">
        <v>10622</v>
      </c>
      <c r="F6757" s="2" t="s">
        <v>78</v>
      </c>
      <c r="G6757" s="2" t="s">
        <v>252</v>
      </c>
      <c r="H6757" s="2"/>
      <c r="I6757" s="2"/>
      <c r="J6757" s="2"/>
      <c r="K6757" s="2"/>
      <c r="L6757" s="2"/>
      <c r="M6757" s="2"/>
      <c r="N6757" s="2"/>
      <c r="O6757" s="2"/>
      <c r="P6757" s="2"/>
      <c r="Q6757" s="2"/>
      <c r="R6757" s="2"/>
      <c r="S6757" s="2"/>
      <c r="T6757" s="2"/>
      <c r="U6757" s="2"/>
      <c r="V6757" s="2"/>
      <c r="W6757" s="2"/>
      <c r="X6757" s="2"/>
      <c r="Y6757" s="2"/>
    </row>
    <row r="6758" spans="1:25" x14ac:dyDescent="0.2">
      <c r="A6758">
        <v>2073</v>
      </c>
      <c r="B6758" t="s">
        <v>10620</v>
      </c>
      <c r="C6758" t="s">
        <v>18</v>
      </c>
      <c r="D6758" t="s">
        <v>10621</v>
      </c>
      <c r="E6758" t="s">
        <v>10623</v>
      </c>
      <c r="F6758" t="s">
        <v>78</v>
      </c>
      <c r="G6758" t="s">
        <v>252</v>
      </c>
      <c r="J6758" t="b">
        <v>1</v>
      </c>
      <c r="K6758" t="b">
        <v>1</v>
      </c>
      <c r="L6758" t="b">
        <v>1</v>
      </c>
    </row>
    <row r="6759" spans="1:25" x14ac:dyDescent="0.2">
      <c r="A6759">
        <v>2074</v>
      </c>
      <c r="B6759" t="s">
        <v>10620</v>
      </c>
      <c r="C6759" t="s">
        <v>18</v>
      </c>
      <c r="D6759" t="s">
        <v>10624</v>
      </c>
      <c r="E6759" t="s">
        <v>4558</v>
      </c>
      <c r="F6759" t="s">
        <v>78</v>
      </c>
      <c r="G6759" t="s">
        <v>252</v>
      </c>
      <c r="J6759" t="b">
        <v>1</v>
      </c>
      <c r="K6759" t="b">
        <v>1</v>
      </c>
      <c r="L6759" t="b">
        <v>1</v>
      </c>
      <c r="M6759" t="str">
        <f>HYPERLINK("https://arizona.app.box.com/file/386263947036")</f>
        <v>https://arizona.app.box.com/file/386263947036</v>
      </c>
    </row>
    <row r="6760" spans="1:25" x14ac:dyDescent="0.2">
      <c r="A6760">
        <v>2075</v>
      </c>
      <c r="B6760" t="s">
        <v>10620</v>
      </c>
      <c r="C6760" t="s">
        <v>18</v>
      </c>
      <c r="D6760" t="s">
        <v>2177</v>
      </c>
      <c r="E6760" t="s">
        <v>2178</v>
      </c>
      <c r="F6760" t="s">
        <v>78</v>
      </c>
      <c r="G6760" t="s">
        <v>252</v>
      </c>
      <c r="J6760" t="b">
        <v>0</v>
      </c>
      <c r="K6760" t="b">
        <v>0</v>
      </c>
      <c r="L6760" t="b">
        <v>0</v>
      </c>
      <c r="M6760" t="str">
        <f>HYPERLINK("https://arizona.app.box.com/file/386218758668")</f>
        <v>https://arizona.app.box.com/file/386218758668</v>
      </c>
      <c r="N6760" t="str">
        <f>HYPERLINK("https://arizona.app.box.com/file/386241113911")</f>
        <v>https://arizona.app.box.com/file/386241113911</v>
      </c>
    </row>
    <row r="6761" spans="1:25" x14ac:dyDescent="0.2">
      <c r="A6761">
        <v>2076</v>
      </c>
      <c r="B6761" t="s">
        <v>10620</v>
      </c>
      <c r="C6761" t="s">
        <v>18</v>
      </c>
      <c r="D6761" t="s">
        <v>10625</v>
      </c>
      <c r="E6761" t="s">
        <v>8002</v>
      </c>
      <c r="F6761" t="s">
        <v>78</v>
      </c>
      <c r="G6761" t="s">
        <v>252</v>
      </c>
      <c r="J6761" t="b">
        <v>0</v>
      </c>
      <c r="K6761" t="b">
        <v>0</v>
      </c>
      <c r="L6761" t="b">
        <v>0</v>
      </c>
      <c r="M6761" t="str">
        <f>HYPERLINK("https://arizona.app.box.com/file/386263924034")</f>
        <v>https://arizona.app.box.com/file/386263924034</v>
      </c>
    </row>
    <row r="6762" spans="1:25" x14ac:dyDescent="0.2">
      <c r="A6762">
        <v>2077</v>
      </c>
      <c r="B6762" t="s">
        <v>10620</v>
      </c>
      <c r="C6762" t="s">
        <v>18</v>
      </c>
      <c r="D6762" t="s">
        <v>4073</v>
      </c>
      <c r="E6762" t="s">
        <v>4074</v>
      </c>
      <c r="F6762" t="s">
        <v>78</v>
      </c>
      <c r="G6762" t="s">
        <v>252</v>
      </c>
      <c r="J6762" t="b">
        <v>0</v>
      </c>
      <c r="K6762" t="b">
        <v>0</v>
      </c>
      <c r="L6762" t="b">
        <v>0</v>
      </c>
    </row>
    <row r="6764" spans="1:25" x14ac:dyDescent="0.2">
      <c r="A6764" s="2">
        <v>2086</v>
      </c>
      <c r="B6764" s="2" t="s">
        <v>10626</v>
      </c>
      <c r="C6764" s="2" t="s">
        <v>13</v>
      </c>
      <c r="D6764" s="2" t="s">
        <v>10627</v>
      </c>
      <c r="E6764" s="2" t="s">
        <v>10628</v>
      </c>
      <c r="F6764" s="2" t="s">
        <v>420</v>
      </c>
      <c r="G6764" s="2" t="s">
        <v>1867</v>
      </c>
      <c r="H6764" s="2"/>
      <c r="I6764" s="2"/>
      <c r="J6764" s="2"/>
      <c r="K6764" s="2"/>
      <c r="L6764" s="2"/>
      <c r="M6764" s="2"/>
      <c r="N6764" s="2"/>
      <c r="O6764" s="2"/>
      <c r="P6764" s="2"/>
      <c r="Q6764" s="2"/>
      <c r="R6764" s="2"/>
      <c r="S6764" s="2"/>
      <c r="T6764" s="2"/>
      <c r="U6764" s="2"/>
      <c r="V6764" s="2"/>
      <c r="W6764" s="2"/>
      <c r="X6764" s="2"/>
      <c r="Y6764" s="2"/>
    </row>
    <row r="6765" spans="1:25" x14ac:dyDescent="0.2">
      <c r="A6765">
        <v>2087</v>
      </c>
      <c r="B6765" t="s">
        <v>10626</v>
      </c>
      <c r="C6765" t="s">
        <v>18</v>
      </c>
      <c r="D6765" t="s">
        <v>3467</v>
      </c>
      <c r="E6765" t="s">
        <v>3468</v>
      </c>
      <c r="F6765" t="s">
        <v>420</v>
      </c>
      <c r="G6765" t="s">
        <v>1867</v>
      </c>
      <c r="J6765" t="b">
        <v>1</v>
      </c>
      <c r="K6765" t="b">
        <v>1</v>
      </c>
      <c r="L6765" t="b">
        <v>1</v>
      </c>
      <c r="M6765" t="str">
        <f>HYPERLINK("https://arizona.app.box.com/file/389265296116")</f>
        <v>https://arizona.app.box.com/file/389265296116</v>
      </c>
      <c r="N6765" t="str">
        <f>HYPERLINK("https://arizona.app.box.com/file/389138387799")</f>
        <v>https://arizona.app.box.com/file/389138387799</v>
      </c>
      <c r="O6765" t="str">
        <f>HYPERLINK("https://arizona.app.box.com/file/389256105862")</f>
        <v>https://arizona.app.box.com/file/389256105862</v>
      </c>
      <c r="P6765" t="str">
        <f>HYPERLINK("https://arizona.app.box.com/file/389162267153")</f>
        <v>https://arizona.app.box.com/file/389162267153</v>
      </c>
    </row>
    <row r="6766" spans="1:25" x14ac:dyDescent="0.2">
      <c r="A6766">
        <v>2088</v>
      </c>
      <c r="B6766" t="s">
        <v>10626</v>
      </c>
      <c r="C6766" t="s">
        <v>18</v>
      </c>
      <c r="D6766" t="s">
        <v>3548</v>
      </c>
      <c r="E6766" t="s">
        <v>3549</v>
      </c>
      <c r="F6766" t="s">
        <v>248</v>
      </c>
      <c r="G6766" t="s">
        <v>1867</v>
      </c>
      <c r="J6766" t="b">
        <v>0</v>
      </c>
      <c r="K6766" t="b">
        <v>0</v>
      </c>
      <c r="L6766" t="b">
        <v>0</v>
      </c>
      <c r="M6766" t="str">
        <f>HYPERLINK("https://arizona.app.box.com/file/389167105258")</f>
        <v>https://arizona.app.box.com/file/389167105258</v>
      </c>
      <c r="N6766" t="str">
        <f>HYPERLINK("https://arizona.app.box.com/file/386212126032")</f>
        <v>https://arizona.app.box.com/file/386212126032</v>
      </c>
    </row>
    <row r="6767" spans="1:25" x14ac:dyDescent="0.2">
      <c r="A6767">
        <v>2089</v>
      </c>
      <c r="B6767" t="s">
        <v>10626</v>
      </c>
      <c r="C6767" t="s">
        <v>18</v>
      </c>
      <c r="D6767" t="s">
        <v>3769</v>
      </c>
      <c r="E6767" t="s">
        <v>3770</v>
      </c>
      <c r="F6767" t="s">
        <v>420</v>
      </c>
      <c r="G6767" t="s">
        <v>1867</v>
      </c>
      <c r="J6767" t="b">
        <v>0</v>
      </c>
      <c r="K6767" t="b">
        <v>0</v>
      </c>
      <c r="L6767" t="b">
        <v>0</v>
      </c>
      <c r="M6767" t="str">
        <f>HYPERLINK("https://arizona.app.box.com/file/386244410770")</f>
        <v>https://arizona.app.box.com/file/386244410770</v>
      </c>
      <c r="N6767" t="str">
        <f>HYPERLINK("https://arizona.app.box.com/file/386247473253")</f>
        <v>https://arizona.app.box.com/file/386247473253</v>
      </c>
    </row>
    <row r="6768" spans="1:25" x14ac:dyDescent="0.2">
      <c r="A6768">
        <v>2090</v>
      </c>
      <c r="B6768" t="s">
        <v>10626</v>
      </c>
      <c r="C6768" t="s">
        <v>18</v>
      </c>
      <c r="D6768" t="s">
        <v>9685</v>
      </c>
      <c r="E6768" t="s">
        <v>2903</v>
      </c>
      <c r="F6768" t="s">
        <v>248</v>
      </c>
      <c r="G6768" t="s">
        <v>1867</v>
      </c>
      <c r="J6768" t="b">
        <v>0</v>
      </c>
      <c r="K6768" t="b">
        <v>0</v>
      </c>
      <c r="L6768" t="b">
        <v>0</v>
      </c>
      <c r="M6768" t="str">
        <f>HYPERLINK("https://arizona.app.box.com/file/389164007181")</f>
        <v>https://arizona.app.box.com/file/389164007181</v>
      </c>
      <c r="N6768" t="str">
        <f>HYPERLINK("https://arizona.app.box.com/file/386237785594")</f>
        <v>https://arizona.app.box.com/file/386237785594</v>
      </c>
    </row>
    <row r="6769" spans="1:25" x14ac:dyDescent="0.2">
      <c r="A6769">
        <v>2091</v>
      </c>
      <c r="B6769" t="s">
        <v>10626</v>
      </c>
      <c r="C6769" t="s">
        <v>18</v>
      </c>
      <c r="D6769" t="s">
        <v>3542</v>
      </c>
      <c r="E6769" t="s">
        <v>3539</v>
      </c>
      <c r="F6769" t="s">
        <v>151</v>
      </c>
      <c r="G6769" t="s">
        <v>1867</v>
      </c>
      <c r="J6769" t="b">
        <v>0</v>
      </c>
      <c r="K6769" t="b">
        <v>0</v>
      </c>
      <c r="L6769" t="b">
        <v>0</v>
      </c>
      <c r="M6769" t="str">
        <f>HYPERLINK("https://arizona.app.box.com/file/386251914624")</f>
        <v>https://arizona.app.box.com/file/386251914624</v>
      </c>
      <c r="N6769" t="str">
        <f>HYPERLINK("https://arizona.app.box.com/file/386269814787")</f>
        <v>https://arizona.app.box.com/file/386269814787</v>
      </c>
    </row>
    <row r="6771" spans="1:25" x14ac:dyDescent="0.2">
      <c r="A6771" s="2">
        <v>2149</v>
      </c>
      <c r="B6771" s="2" t="s">
        <v>10629</v>
      </c>
      <c r="C6771" s="2" t="s">
        <v>13</v>
      </c>
      <c r="D6771" s="2" t="s">
        <v>10630</v>
      </c>
      <c r="E6771" s="2" t="s">
        <v>10631</v>
      </c>
      <c r="F6771" s="2" t="s">
        <v>8527</v>
      </c>
      <c r="G6771" s="2" t="s">
        <v>8528</v>
      </c>
      <c r="H6771" s="2"/>
      <c r="I6771" s="2"/>
      <c r="J6771" s="2"/>
      <c r="K6771" s="2"/>
      <c r="L6771" s="2"/>
      <c r="M6771" s="2"/>
      <c r="N6771" s="2"/>
      <c r="O6771" s="2"/>
      <c r="P6771" s="2"/>
      <c r="Q6771" s="2"/>
      <c r="R6771" s="2"/>
      <c r="S6771" s="2"/>
      <c r="T6771" s="2"/>
      <c r="U6771" s="2"/>
      <c r="V6771" s="2"/>
      <c r="W6771" s="2"/>
      <c r="X6771" s="2"/>
      <c r="Y6771" s="2"/>
    </row>
    <row r="6772" spans="1:25" x14ac:dyDescent="0.2">
      <c r="A6772">
        <v>2150</v>
      </c>
      <c r="B6772" t="s">
        <v>10629</v>
      </c>
      <c r="C6772" t="s">
        <v>18</v>
      </c>
      <c r="D6772" t="s">
        <v>10630</v>
      </c>
      <c r="E6772" t="s">
        <v>5793</v>
      </c>
      <c r="F6772" t="s">
        <v>8527</v>
      </c>
      <c r="G6772" t="s">
        <v>8528</v>
      </c>
      <c r="J6772" t="b">
        <v>1</v>
      </c>
      <c r="K6772" t="b">
        <v>1</v>
      </c>
      <c r="L6772" t="b">
        <v>1</v>
      </c>
      <c r="M6772" t="str">
        <f>HYPERLINK("https://arizona.app.box.com/file/389172820244")</f>
        <v>https://arizona.app.box.com/file/389172820244</v>
      </c>
    </row>
    <row r="6773" spans="1:25" x14ac:dyDescent="0.2">
      <c r="A6773">
        <v>2151</v>
      </c>
      <c r="B6773" t="s">
        <v>10629</v>
      </c>
      <c r="C6773" t="s">
        <v>18</v>
      </c>
      <c r="D6773" t="s">
        <v>10632</v>
      </c>
      <c r="E6773" t="s">
        <v>1202</v>
      </c>
      <c r="F6773" t="s">
        <v>82</v>
      </c>
      <c r="G6773" t="s">
        <v>8528</v>
      </c>
      <c r="J6773" t="b">
        <v>1</v>
      </c>
      <c r="K6773" t="b">
        <v>1</v>
      </c>
      <c r="L6773" t="b">
        <v>1</v>
      </c>
      <c r="M6773" t="str">
        <f>HYPERLINK("https://arizona.app.box.com/file/389272248225")</f>
        <v>https://arizona.app.box.com/file/389272248225</v>
      </c>
      <c r="N6773" t="str">
        <f>HYPERLINK("https://arizona.app.box.com/file/389167401389")</f>
        <v>https://arizona.app.box.com/file/389167401389</v>
      </c>
    </row>
    <row r="6774" spans="1:25" x14ac:dyDescent="0.2">
      <c r="A6774">
        <v>2152</v>
      </c>
      <c r="B6774" t="s">
        <v>10629</v>
      </c>
      <c r="C6774" t="s">
        <v>18</v>
      </c>
      <c r="D6774" t="s">
        <v>10633</v>
      </c>
      <c r="E6774" t="s">
        <v>10634</v>
      </c>
      <c r="F6774" t="s">
        <v>82</v>
      </c>
      <c r="G6774" t="s">
        <v>8528</v>
      </c>
      <c r="J6774" t="b">
        <v>0</v>
      </c>
      <c r="K6774" t="b">
        <v>0</v>
      </c>
      <c r="L6774" t="b">
        <v>0</v>
      </c>
    </row>
    <row r="6775" spans="1:25" x14ac:dyDescent="0.2">
      <c r="A6775">
        <v>2153</v>
      </c>
      <c r="B6775" t="s">
        <v>10629</v>
      </c>
      <c r="C6775" t="s">
        <v>18</v>
      </c>
      <c r="D6775" t="s">
        <v>10635</v>
      </c>
      <c r="E6775" t="s">
        <v>10636</v>
      </c>
      <c r="F6775" t="s">
        <v>82</v>
      </c>
      <c r="G6775" t="s">
        <v>8528</v>
      </c>
      <c r="J6775" t="b">
        <v>0</v>
      </c>
      <c r="K6775" t="b">
        <v>0</v>
      </c>
      <c r="L6775" t="b">
        <v>0</v>
      </c>
    </row>
    <row r="6776" spans="1:25" x14ac:dyDescent="0.2">
      <c r="A6776">
        <v>2154</v>
      </c>
      <c r="B6776" t="s">
        <v>10629</v>
      </c>
      <c r="C6776" t="s">
        <v>18</v>
      </c>
      <c r="D6776" t="s">
        <v>10637</v>
      </c>
      <c r="E6776" t="s">
        <v>10638</v>
      </c>
      <c r="F6776" t="s">
        <v>82</v>
      </c>
      <c r="G6776" t="s">
        <v>17</v>
      </c>
      <c r="J6776" t="b">
        <v>0</v>
      </c>
      <c r="K6776" t="b">
        <v>0</v>
      </c>
      <c r="L6776" t="b">
        <v>0</v>
      </c>
    </row>
    <row r="6778" spans="1:25" x14ac:dyDescent="0.2">
      <c r="A6778" s="2">
        <v>2163</v>
      </c>
      <c r="B6778" s="2" t="s">
        <v>10639</v>
      </c>
      <c r="C6778" s="2" t="s">
        <v>13</v>
      </c>
      <c r="D6778" s="2" t="s">
        <v>10640</v>
      </c>
      <c r="E6778" s="2" t="s">
        <v>10641</v>
      </c>
      <c r="F6778" s="2" t="s">
        <v>260</v>
      </c>
      <c r="G6778" s="2" t="s">
        <v>17</v>
      </c>
      <c r="H6778" s="2"/>
      <c r="I6778" s="2"/>
      <c r="J6778" s="2"/>
      <c r="K6778" s="2"/>
      <c r="L6778" s="2"/>
      <c r="M6778" s="2"/>
      <c r="N6778" s="2"/>
      <c r="O6778" s="2"/>
      <c r="P6778" s="2"/>
      <c r="Q6778" s="2"/>
      <c r="R6778" s="2"/>
      <c r="S6778" s="2"/>
      <c r="T6778" s="2"/>
      <c r="U6778" s="2"/>
      <c r="V6778" s="2"/>
      <c r="W6778" s="2"/>
      <c r="X6778" s="2"/>
      <c r="Y6778" s="2"/>
    </row>
    <row r="6779" spans="1:25" x14ac:dyDescent="0.2">
      <c r="A6779">
        <v>2164</v>
      </c>
      <c r="B6779" t="s">
        <v>10639</v>
      </c>
      <c r="C6779" t="s">
        <v>18</v>
      </c>
      <c r="D6779" t="s">
        <v>10640</v>
      </c>
      <c r="E6779" t="s">
        <v>10641</v>
      </c>
      <c r="F6779" t="s">
        <v>260</v>
      </c>
      <c r="G6779" t="s">
        <v>17</v>
      </c>
      <c r="J6779" t="b">
        <v>1</v>
      </c>
      <c r="K6779" t="b">
        <v>1</v>
      </c>
      <c r="L6779" t="b">
        <v>1</v>
      </c>
      <c r="M6779" t="str">
        <f>HYPERLINK("https://arizona.app.box.com/file/389137805230")</f>
        <v>https://arizona.app.box.com/file/389137805230</v>
      </c>
      <c r="N6779" t="str">
        <f>HYPERLINK("https://arizona.app.box.com/file/389164133813")</f>
        <v>https://arizona.app.box.com/file/389164133813</v>
      </c>
    </row>
    <row r="6780" spans="1:25" x14ac:dyDescent="0.2">
      <c r="A6780">
        <v>2165</v>
      </c>
      <c r="B6780" t="s">
        <v>10639</v>
      </c>
      <c r="C6780" t="s">
        <v>18</v>
      </c>
      <c r="D6780" t="s">
        <v>10642</v>
      </c>
      <c r="E6780" t="s">
        <v>10643</v>
      </c>
      <c r="F6780" t="s">
        <v>260</v>
      </c>
      <c r="G6780" t="s">
        <v>17</v>
      </c>
      <c r="J6780" t="b">
        <v>0</v>
      </c>
      <c r="K6780" t="b">
        <v>0</v>
      </c>
      <c r="L6780" t="b">
        <v>0</v>
      </c>
      <c r="M6780" t="str">
        <f>HYPERLINK("https://arizona.app.box.com/file/389161670467")</f>
        <v>https://arizona.app.box.com/file/389161670467</v>
      </c>
    </row>
    <row r="6781" spans="1:25" x14ac:dyDescent="0.2">
      <c r="A6781">
        <v>2166</v>
      </c>
      <c r="B6781" t="s">
        <v>10639</v>
      </c>
      <c r="C6781" t="s">
        <v>18</v>
      </c>
      <c r="D6781" t="s">
        <v>10644</v>
      </c>
      <c r="E6781" t="s">
        <v>9737</v>
      </c>
      <c r="F6781" t="s">
        <v>260</v>
      </c>
      <c r="G6781" t="s">
        <v>17</v>
      </c>
      <c r="J6781" t="b">
        <v>0</v>
      </c>
      <c r="K6781" t="b">
        <v>0</v>
      </c>
      <c r="L6781" t="b">
        <v>0</v>
      </c>
      <c r="M6781" t="str">
        <f>HYPERLINK("https://arizona.app.box.com/file/386249574071")</f>
        <v>https://arizona.app.box.com/file/386249574071</v>
      </c>
    </row>
    <row r="6782" spans="1:25" x14ac:dyDescent="0.2">
      <c r="A6782">
        <v>2167</v>
      </c>
      <c r="B6782" t="s">
        <v>10639</v>
      </c>
      <c r="C6782" t="s">
        <v>18</v>
      </c>
      <c r="D6782" t="s">
        <v>2623</v>
      </c>
      <c r="E6782" t="s">
        <v>2624</v>
      </c>
      <c r="F6782" t="s">
        <v>260</v>
      </c>
      <c r="G6782" t="s">
        <v>17</v>
      </c>
      <c r="J6782" t="b">
        <v>0</v>
      </c>
      <c r="K6782" t="b">
        <v>0</v>
      </c>
      <c r="L6782" t="b">
        <v>0</v>
      </c>
      <c r="M6782" t="str">
        <f>HYPERLINK("https://arizona.app.box.com/file/386266156440")</f>
        <v>https://arizona.app.box.com/file/386266156440</v>
      </c>
      <c r="N6782" t="str">
        <f>HYPERLINK("https://arizona.app.box.com/file/386241113911")</f>
        <v>https://arizona.app.box.com/file/386241113911</v>
      </c>
    </row>
    <row r="6783" spans="1:25" x14ac:dyDescent="0.2">
      <c r="A6783">
        <v>2168</v>
      </c>
      <c r="B6783" t="s">
        <v>10639</v>
      </c>
      <c r="C6783" t="s">
        <v>18</v>
      </c>
      <c r="D6783" t="s">
        <v>10645</v>
      </c>
      <c r="E6783" t="s">
        <v>10646</v>
      </c>
      <c r="F6783" t="s">
        <v>260</v>
      </c>
      <c r="G6783" t="s">
        <v>17</v>
      </c>
      <c r="J6783" t="b">
        <v>0</v>
      </c>
      <c r="K6783" t="b">
        <v>0</v>
      </c>
      <c r="L6783" t="b">
        <v>0</v>
      </c>
      <c r="M6783" t="str">
        <f>HYPERLINK("https://arizona.app.box.com/file/389172916987")</f>
        <v>https://arizona.app.box.com/file/389172916987</v>
      </c>
      <c r="N6783" t="str">
        <f>HYPERLINK("https://arizona.app.box.com/file/386230829740")</f>
        <v>https://arizona.app.box.com/file/386230829740</v>
      </c>
    </row>
    <row r="6785" spans="1:25" x14ac:dyDescent="0.2">
      <c r="A6785" s="2">
        <v>217</v>
      </c>
      <c r="B6785" s="2" t="s">
        <v>10647</v>
      </c>
      <c r="C6785" s="2" t="s">
        <v>13</v>
      </c>
      <c r="D6785" s="2" t="s">
        <v>2726</v>
      </c>
      <c r="E6785" s="2" t="s">
        <v>2727</v>
      </c>
      <c r="F6785" s="2" t="s">
        <v>2122</v>
      </c>
      <c r="G6785" s="2" t="s">
        <v>265</v>
      </c>
      <c r="H6785" s="2"/>
      <c r="I6785" s="2"/>
      <c r="J6785" s="2"/>
      <c r="K6785" s="2"/>
      <c r="L6785" s="2"/>
      <c r="M6785" s="2"/>
      <c r="N6785" s="2"/>
      <c r="O6785" s="2"/>
      <c r="P6785" s="2"/>
      <c r="Q6785" s="2"/>
      <c r="R6785" s="2"/>
      <c r="S6785" s="2"/>
      <c r="T6785" s="2"/>
      <c r="U6785" s="2"/>
      <c r="V6785" s="2"/>
      <c r="W6785" s="2"/>
      <c r="X6785" s="2"/>
      <c r="Y6785" s="2"/>
    </row>
    <row r="6786" spans="1:25" x14ac:dyDescent="0.2">
      <c r="A6786">
        <v>218</v>
      </c>
      <c r="B6786" t="s">
        <v>10647</v>
      </c>
      <c r="C6786" t="s">
        <v>18</v>
      </c>
      <c r="D6786" t="s">
        <v>2726</v>
      </c>
      <c r="E6786" t="s">
        <v>2727</v>
      </c>
      <c r="F6786" t="s">
        <v>2728</v>
      </c>
      <c r="G6786" t="s">
        <v>265</v>
      </c>
      <c r="J6786" t="b">
        <v>1</v>
      </c>
      <c r="K6786" t="b">
        <v>1</v>
      </c>
      <c r="L6786" t="b">
        <v>1</v>
      </c>
      <c r="M6786" t="str">
        <f>HYPERLINK("https://arizona.app.box.com/file/386214233232")</f>
        <v>https://arizona.app.box.com/file/386214233232</v>
      </c>
      <c r="N6786" t="str">
        <f>HYPERLINK("https://arizona.app.box.com/file/386241113911")</f>
        <v>https://arizona.app.box.com/file/386241113911</v>
      </c>
    </row>
    <row r="6787" spans="1:25" x14ac:dyDescent="0.2">
      <c r="A6787">
        <v>219</v>
      </c>
      <c r="B6787" t="s">
        <v>10647</v>
      </c>
      <c r="C6787" t="s">
        <v>18</v>
      </c>
      <c r="D6787" t="s">
        <v>2719</v>
      </c>
      <c r="E6787" t="s">
        <v>2720</v>
      </c>
      <c r="F6787" t="s">
        <v>82</v>
      </c>
      <c r="G6787" t="s">
        <v>265</v>
      </c>
      <c r="J6787" t="b">
        <v>0</v>
      </c>
      <c r="K6787" t="b">
        <v>0</v>
      </c>
      <c r="L6787" t="b">
        <v>0</v>
      </c>
      <c r="M6787" t="str">
        <f>HYPERLINK("https://arizona.app.box.com/file/386246161351")</f>
        <v>https://arizona.app.box.com/file/386246161351</v>
      </c>
      <c r="N6787" t="str">
        <f>HYPERLINK("https://arizona.app.box.com/file/386241113911")</f>
        <v>https://arizona.app.box.com/file/386241113911</v>
      </c>
    </row>
    <row r="6788" spans="1:25" x14ac:dyDescent="0.2">
      <c r="A6788">
        <v>220</v>
      </c>
      <c r="B6788" t="s">
        <v>10647</v>
      </c>
      <c r="C6788" t="s">
        <v>18</v>
      </c>
      <c r="D6788" t="s">
        <v>2730</v>
      </c>
      <c r="E6788" t="s">
        <v>2731</v>
      </c>
      <c r="F6788" t="s">
        <v>82</v>
      </c>
      <c r="G6788" t="s">
        <v>265</v>
      </c>
      <c r="J6788" t="b">
        <v>0</v>
      </c>
      <c r="K6788" t="b">
        <v>0</v>
      </c>
      <c r="L6788" t="b">
        <v>0</v>
      </c>
      <c r="M6788" t="str">
        <f>HYPERLINK("https://arizona.app.box.com/file/386218747670")</f>
        <v>https://arizona.app.box.com/file/386218747670</v>
      </c>
    </row>
    <row r="6789" spans="1:25" x14ac:dyDescent="0.2">
      <c r="A6789">
        <v>221</v>
      </c>
      <c r="B6789" t="s">
        <v>10647</v>
      </c>
      <c r="C6789" t="s">
        <v>18</v>
      </c>
      <c r="D6789" t="s">
        <v>2733</v>
      </c>
      <c r="E6789" t="s">
        <v>2734</v>
      </c>
      <c r="F6789" t="s">
        <v>2122</v>
      </c>
      <c r="G6789" t="s">
        <v>265</v>
      </c>
      <c r="J6789" t="b">
        <v>0</v>
      </c>
      <c r="K6789" t="b">
        <v>0</v>
      </c>
      <c r="L6789" t="b">
        <v>0</v>
      </c>
    </row>
    <row r="6790" spans="1:25" x14ac:dyDescent="0.2">
      <c r="A6790">
        <v>222</v>
      </c>
      <c r="B6790" t="s">
        <v>10647</v>
      </c>
      <c r="C6790" t="s">
        <v>18</v>
      </c>
      <c r="D6790" t="s">
        <v>5994</v>
      </c>
      <c r="E6790" t="s">
        <v>5996</v>
      </c>
      <c r="F6790" t="s">
        <v>82</v>
      </c>
      <c r="G6790" t="s">
        <v>265</v>
      </c>
      <c r="J6790" t="b">
        <v>0</v>
      </c>
      <c r="K6790" t="b">
        <v>0</v>
      </c>
      <c r="L6790" t="b">
        <v>0</v>
      </c>
      <c r="M6790" t="str">
        <f>HYPERLINK("https://arizona.app.box.com/file/386214269712")</f>
        <v>https://arizona.app.box.com/file/386214269712</v>
      </c>
    </row>
    <row r="6792" spans="1:25" x14ac:dyDescent="0.2">
      <c r="A6792" s="2">
        <v>2170</v>
      </c>
      <c r="B6792" s="2" t="s">
        <v>10648</v>
      </c>
      <c r="C6792" s="2" t="s">
        <v>13</v>
      </c>
      <c r="D6792" s="2" t="s">
        <v>3790</v>
      </c>
      <c r="E6792" s="2" t="s">
        <v>10649</v>
      </c>
      <c r="F6792" s="2" t="s">
        <v>159</v>
      </c>
      <c r="G6792" s="2" t="s">
        <v>265</v>
      </c>
      <c r="H6792" s="2"/>
      <c r="I6792" s="2"/>
      <c r="J6792" s="2"/>
      <c r="K6792" s="2"/>
      <c r="L6792" s="2"/>
      <c r="M6792" s="2"/>
      <c r="N6792" s="2"/>
      <c r="O6792" s="2"/>
      <c r="P6792" s="2"/>
      <c r="Q6792" s="2"/>
      <c r="R6792" s="2"/>
      <c r="S6792" s="2"/>
      <c r="T6792" s="2"/>
      <c r="U6792" s="2"/>
      <c r="V6792" s="2"/>
      <c r="W6792" s="2"/>
      <c r="X6792" s="2"/>
      <c r="Y6792" s="2"/>
    </row>
    <row r="6793" spans="1:25" x14ac:dyDescent="0.2">
      <c r="A6793">
        <v>2171</v>
      </c>
      <c r="B6793" t="s">
        <v>10648</v>
      </c>
      <c r="C6793" t="s">
        <v>18</v>
      </c>
      <c r="D6793" t="s">
        <v>3790</v>
      </c>
      <c r="E6793" t="s">
        <v>3791</v>
      </c>
      <c r="F6793" t="s">
        <v>159</v>
      </c>
      <c r="G6793" t="s">
        <v>265</v>
      </c>
      <c r="J6793" t="b">
        <v>1</v>
      </c>
      <c r="K6793" t="b">
        <v>1</v>
      </c>
      <c r="L6793" t="b">
        <v>1</v>
      </c>
      <c r="M6793" t="str">
        <f>HYPERLINK("https://arizona.app.box.com/file/389176078159")</f>
        <v>https://arizona.app.box.com/file/389176078159</v>
      </c>
      <c r="N6793" t="str">
        <f>HYPERLINK("https://arizona.app.box.com/file/386226347009")</f>
        <v>https://arizona.app.box.com/file/386226347009</v>
      </c>
    </row>
    <row r="6794" spans="1:25" x14ac:dyDescent="0.2">
      <c r="A6794">
        <v>2172</v>
      </c>
      <c r="B6794" t="s">
        <v>10648</v>
      </c>
      <c r="C6794" t="s">
        <v>18</v>
      </c>
      <c r="D6794" t="s">
        <v>3786</v>
      </c>
      <c r="E6794" t="s">
        <v>3787</v>
      </c>
      <c r="F6794" t="s">
        <v>159</v>
      </c>
      <c r="G6794" t="s">
        <v>265</v>
      </c>
      <c r="J6794" t="b">
        <v>1</v>
      </c>
      <c r="K6794" t="b">
        <v>1</v>
      </c>
      <c r="L6794" t="b">
        <v>1</v>
      </c>
      <c r="M6794" t="str">
        <f>HYPERLINK("https://arizona.app.box.com/file/389170042484")</f>
        <v>https://arizona.app.box.com/file/389170042484</v>
      </c>
      <c r="N6794" t="str">
        <f>HYPERLINK("https://arizona.app.box.com/file/386225918791")</f>
        <v>https://arizona.app.box.com/file/386225918791</v>
      </c>
    </row>
    <row r="6795" spans="1:25" x14ac:dyDescent="0.2">
      <c r="A6795">
        <v>2173</v>
      </c>
      <c r="B6795" t="s">
        <v>10648</v>
      </c>
      <c r="C6795" t="s">
        <v>18</v>
      </c>
      <c r="D6795" t="s">
        <v>3782</v>
      </c>
      <c r="E6795" t="s">
        <v>3783</v>
      </c>
      <c r="F6795" t="s">
        <v>82</v>
      </c>
      <c r="G6795" t="s">
        <v>265</v>
      </c>
      <c r="J6795" t="b">
        <v>0</v>
      </c>
      <c r="K6795" t="b">
        <v>0</v>
      </c>
      <c r="L6795" t="b">
        <v>0</v>
      </c>
      <c r="M6795" t="str">
        <f>HYPERLINK("https://arizona.app.box.com/file/389267505766")</f>
        <v>https://arizona.app.box.com/file/389267505766</v>
      </c>
      <c r="N6795" t="str">
        <f>HYPERLINK("https://arizona.app.box.com/file/389171801862")</f>
        <v>https://arizona.app.box.com/file/389171801862</v>
      </c>
    </row>
    <row r="6796" spans="1:25" x14ac:dyDescent="0.2">
      <c r="A6796">
        <v>2174</v>
      </c>
      <c r="B6796" t="s">
        <v>10648</v>
      </c>
      <c r="C6796" t="s">
        <v>18</v>
      </c>
      <c r="D6796" t="s">
        <v>4093</v>
      </c>
      <c r="E6796" t="s">
        <v>170</v>
      </c>
      <c r="F6796" t="s">
        <v>159</v>
      </c>
      <c r="G6796" t="s">
        <v>265</v>
      </c>
      <c r="J6796" t="b">
        <v>0</v>
      </c>
      <c r="K6796" t="b">
        <v>0</v>
      </c>
      <c r="L6796" t="b">
        <v>0</v>
      </c>
      <c r="M6796" t="str">
        <f>HYPERLINK("https://arizona.app.box.com/file/389267332405")</f>
        <v>https://arizona.app.box.com/file/389267332405</v>
      </c>
      <c r="N6796" t="str">
        <f>HYPERLINK("https://arizona.app.box.com/file/389164845550")</f>
        <v>https://arizona.app.box.com/file/389164845550</v>
      </c>
    </row>
    <row r="6797" spans="1:25" x14ac:dyDescent="0.2">
      <c r="A6797">
        <v>2175</v>
      </c>
      <c r="B6797" t="s">
        <v>10648</v>
      </c>
      <c r="C6797" t="s">
        <v>18</v>
      </c>
      <c r="D6797" t="s">
        <v>4096</v>
      </c>
      <c r="E6797" t="s">
        <v>4097</v>
      </c>
      <c r="F6797" t="s">
        <v>82</v>
      </c>
      <c r="G6797" t="s">
        <v>265</v>
      </c>
      <c r="J6797" t="b">
        <v>0</v>
      </c>
      <c r="K6797" t="b">
        <v>0</v>
      </c>
      <c r="L6797" t="b">
        <v>0</v>
      </c>
      <c r="M6797" t="str">
        <f>HYPERLINK("https://arizona.app.box.com/file/389185034593")</f>
        <v>https://arizona.app.box.com/file/389185034593</v>
      </c>
      <c r="N6797" t="str">
        <f>HYPERLINK("https://arizona.app.box.com/file/386247621334")</f>
        <v>https://arizona.app.box.com/file/386247621334</v>
      </c>
    </row>
    <row r="6799" spans="1:25" x14ac:dyDescent="0.2">
      <c r="A6799" s="2">
        <v>2191</v>
      </c>
      <c r="B6799" s="2" t="s">
        <v>10650</v>
      </c>
      <c r="C6799" s="2" t="s">
        <v>13</v>
      </c>
      <c r="D6799" s="2" t="s">
        <v>10651</v>
      </c>
      <c r="E6799" s="2" t="s">
        <v>10652</v>
      </c>
      <c r="F6799" s="2" t="s">
        <v>78</v>
      </c>
      <c r="G6799" s="2" t="s">
        <v>24</v>
      </c>
      <c r="H6799" s="2"/>
      <c r="I6799" s="2"/>
      <c r="J6799" s="2"/>
      <c r="K6799" s="2"/>
      <c r="L6799" s="2"/>
      <c r="M6799" s="2"/>
      <c r="N6799" s="2"/>
      <c r="O6799" s="2"/>
      <c r="P6799" s="2"/>
      <c r="Q6799" s="2"/>
      <c r="R6799" s="2"/>
      <c r="S6799" s="2"/>
      <c r="T6799" s="2"/>
      <c r="U6799" s="2"/>
      <c r="V6799" s="2"/>
      <c r="W6799" s="2"/>
      <c r="X6799" s="2"/>
      <c r="Y6799" s="2"/>
    </row>
    <row r="6800" spans="1:25" x14ac:dyDescent="0.2">
      <c r="A6800">
        <v>2192</v>
      </c>
      <c r="B6800" t="s">
        <v>10650</v>
      </c>
      <c r="C6800" t="s">
        <v>18</v>
      </c>
      <c r="D6800" t="s">
        <v>10653</v>
      </c>
      <c r="E6800" t="s">
        <v>10652</v>
      </c>
      <c r="F6800" t="s">
        <v>78</v>
      </c>
      <c r="G6800" t="s">
        <v>24</v>
      </c>
      <c r="J6800" t="b">
        <v>1</v>
      </c>
      <c r="K6800" t="b">
        <v>1</v>
      </c>
      <c r="L6800" t="b">
        <v>1</v>
      </c>
      <c r="M6800" t="str">
        <f>HYPERLINK("https://arizona.app.box.com/file/386243078345")</f>
        <v>https://arizona.app.box.com/file/386243078345</v>
      </c>
      <c r="N6800" t="str">
        <f>HYPERLINK("https://arizona.app.box.com/file/386240136502")</f>
        <v>https://arizona.app.box.com/file/386240136502</v>
      </c>
    </row>
    <row r="6801" spans="1:25" x14ac:dyDescent="0.2">
      <c r="A6801">
        <v>2193</v>
      </c>
      <c r="B6801" t="s">
        <v>10650</v>
      </c>
      <c r="C6801" t="s">
        <v>18</v>
      </c>
      <c r="D6801" t="s">
        <v>3131</v>
      </c>
      <c r="E6801" t="s">
        <v>3132</v>
      </c>
      <c r="F6801" t="s">
        <v>78</v>
      </c>
      <c r="G6801" t="s">
        <v>24</v>
      </c>
      <c r="J6801" t="b">
        <v>0</v>
      </c>
      <c r="K6801" t="b">
        <v>0</v>
      </c>
      <c r="L6801" t="b">
        <v>0</v>
      </c>
      <c r="M6801" t="str">
        <f>HYPERLINK("https://arizona.app.box.com/file/386238876998")</f>
        <v>https://arizona.app.box.com/file/386238876998</v>
      </c>
      <c r="N6801" t="str">
        <f>HYPERLINK("https://arizona.app.box.com/file/389179245044")</f>
        <v>https://arizona.app.box.com/file/389179245044</v>
      </c>
      <c r="O6801" t="str">
        <f>HYPERLINK("https://arizona.app.box.com/file/386213019406")</f>
        <v>https://arizona.app.box.com/file/386213019406</v>
      </c>
    </row>
    <row r="6802" spans="1:25" x14ac:dyDescent="0.2">
      <c r="A6802">
        <v>2194</v>
      </c>
      <c r="B6802" t="s">
        <v>10650</v>
      </c>
      <c r="C6802" t="s">
        <v>18</v>
      </c>
      <c r="D6802" t="s">
        <v>1252</v>
      </c>
      <c r="E6802" t="s">
        <v>1253</v>
      </c>
      <c r="F6802" t="s">
        <v>78</v>
      </c>
      <c r="G6802" t="s">
        <v>24</v>
      </c>
      <c r="J6802" t="b">
        <v>0</v>
      </c>
      <c r="K6802" t="b">
        <v>0</v>
      </c>
      <c r="L6802" t="b">
        <v>0</v>
      </c>
      <c r="M6802" t="str">
        <f>HYPERLINK("https://arizona.app.box.com/file/386246480342")</f>
        <v>https://arizona.app.box.com/file/386246480342</v>
      </c>
      <c r="N6802" t="str">
        <f>HYPERLINK("https://arizona.app.box.com/file/386217107389")</f>
        <v>https://arizona.app.box.com/file/386217107389</v>
      </c>
    </row>
    <row r="6803" spans="1:25" x14ac:dyDescent="0.2">
      <c r="A6803">
        <v>2195</v>
      </c>
      <c r="B6803" t="s">
        <v>10650</v>
      </c>
      <c r="C6803" t="s">
        <v>18</v>
      </c>
      <c r="D6803" t="s">
        <v>10654</v>
      </c>
      <c r="E6803" t="s">
        <v>10655</v>
      </c>
      <c r="F6803" t="s">
        <v>78</v>
      </c>
      <c r="G6803" t="s">
        <v>24</v>
      </c>
      <c r="J6803" t="b">
        <v>0</v>
      </c>
      <c r="K6803" t="b">
        <v>0</v>
      </c>
      <c r="L6803" t="b">
        <v>0</v>
      </c>
      <c r="M6803" t="str">
        <f>HYPERLINK("https://arizona.app.box.com/file/386238475612")</f>
        <v>https://arizona.app.box.com/file/386238475612</v>
      </c>
    </row>
    <row r="6804" spans="1:25" x14ac:dyDescent="0.2">
      <c r="A6804">
        <v>2196</v>
      </c>
      <c r="B6804" t="s">
        <v>10650</v>
      </c>
      <c r="C6804" t="s">
        <v>18</v>
      </c>
      <c r="D6804" t="s">
        <v>2370</v>
      </c>
      <c r="E6804" t="s">
        <v>2371</v>
      </c>
      <c r="F6804" t="s">
        <v>78</v>
      </c>
      <c r="G6804" t="s">
        <v>24</v>
      </c>
      <c r="J6804" t="b">
        <v>0</v>
      </c>
      <c r="K6804" t="b">
        <v>0</v>
      </c>
      <c r="L6804" t="b">
        <v>0</v>
      </c>
      <c r="M6804" t="str">
        <f>HYPERLINK("https://arizona.app.box.com/file/386242508328")</f>
        <v>https://arizona.app.box.com/file/386242508328</v>
      </c>
      <c r="N6804" t="str">
        <f>HYPERLINK("https://arizona.app.box.com/file/386239963539")</f>
        <v>https://arizona.app.box.com/file/386239963539</v>
      </c>
    </row>
    <row r="6806" spans="1:25" x14ac:dyDescent="0.2">
      <c r="A6806" s="2">
        <v>2219</v>
      </c>
      <c r="B6806" s="2" t="s">
        <v>10656</v>
      </c>
      <c r="C6806" s="2" t="s">
        <v>13</v>
      </c>
      <c r="D6806" s="2" t="s">
        <v>10657</v>
      </c>
      <c r="E6806" s="2" t="s">
        <v>10658</v>
      </c>
      <c r="F6806" s="2" t="s">
        <v>31</v>
      </c>
      <c r="G6806" s="2" t="s">
        <v>17</v>
      </c>
      <c r="H6806" s="2"/>
      <c r="I6806" s="2"/>
      <c r="J6806" s="2"/>
      <c r="K6806" s="2"/>
      <c r="L6806" s="2"/>
      <c r="M6806" s="2"/>
      <c r="N6806" s="2"/>
      <c r="O6806" s="2"/>
      <c r="P6806" s="2"/>
      <c r="Q6806" s="2"/>
      <c r="R6806" s="2"/>
      <c r="S6806" s="2"/>
      <c r="T6806" s="2"/>
      <c r="U6806" s="2"/>
      <c r="V6806" s="2"/>
      <c r="W6806" s="2"/>
      <c r="X6806" s="2"/>
      <c r="Y6806" s="2"/>
    </row>
    <row r="6807" spans="1:25" x14ac:dyDescent="0.2">
      <c r="A6807">
        <v>2220</v>
      </c>
      <c r="B6807" t="s">
        <v>10656</v>
      </c>
      <c r="C6807" t="s">
        <v>18</v>
      </c>
      <c r="D6807" t="s">
        <v>10657</v>
      </c>
      <c r="E6807" t="s">
        <v>1100</v>
      </c>
      <c r="F6807" t="s">
        <v>31</v>
      </c>
      <c r="G6807" t="s">
        <v>17</v>
      </c>
      <c r="J6807" t="b">
        <v>1</v>
      </c>
      <c r="K6807" t="b">
        <v>1</v>
      </c>
      <c r="L6807" t="b">
        <v>1</v>
      </c>
      <c r="M6807" t="str">
        <f>HYPERLINK("https://arizona.app.box.com/file/389164216988")</f>
        <v>https://arizona.app.box.com/file/389164216988</v>
      </c>
    </row>
    <row r="6808" spans="1:25" x14ac:dyDescent="0.2">
      <c r="A6808">
        <v>2221</v>
      </c>
      <c r="B6808" t="s">
        <v>10656</v>
      </c>
      <c r="C6808" t="s">
        <v>18</v>
      </c>
      <c r="D6808" t="s">
        <v>10659</v>
      </c>
      <c r="E6808" t="s">
        <v>1558</v>
      </c>
      <c r="F6808" t="s">
        <v>31</v>
      </c>
      <c r="G6808" t="s">
        <v>17</v>
      </c>
      <c r="J6808" t="b">
        <v>1</v>
      </c>
      <c r="K6808" t="b">
        <v>1</v>
      </c>
      <c r="L6808" t="b">
        <v>1</v>
      </c>
      <c r="M6808" t="str">
        <f>HYPERLINK("https://arizona.app.box.com/file/389259327739")</f>
        <v>https://arizona.app.box.com/file/389259327739</v>
      </c>
      <c r="N6808" t="str">
        <f>HYPERLINK("https://arizona.app.box.com/file/389158691267")</f>
        <v>https://arizona.app.box.com/file/389158691267</v>
      </c>
    </row>
    <row r="6809" spans="1:25" x14ac:dyDescent="0.2">
      <c r="A6809">
        <v>2222</v>
      </c>
      <c r="B6809" t="s">
        <v>10656</v>
      </c>
      <c r="C6809" t="s">
        <v>18</v>
      </c>
      <c r="D6809" t="s">
        <v>547</v>
      </c>
      <c r="E6809" t="s">
        <v>548</v>
      </c>
      <c r="F6809" t="s">
        <v>78</v>
      </c>
      <c r="G6809" t="s">
        <v>17</v>
      </c>
      <c r="J6809" t="b">
        <v>0</v>
      </c>
      <c r="K6809" t="b">
        <v>0</v>
      </c>
      <c r="L6809" t="b">
        <v>0</v>
      </c>
      <c r="M6809" t="str">
        <f>HYPERLINK("https://arizona.app.box.com/file/389267170499")</f>
        <v>https://arizona.app.box.com/file/389267170499</v>
      </c>
      <c r="N6809" t="str">
        <f>HYPERLINK("https://arizona.app.box.com/file/389265433672")</f>
        <v>https://arizona.app.box.com/file/389265433672</v>
      </c>
      <c r="O6809" t="str">
        <f>HYPERLINK("https://arizona.app.box.com/file/389152970720")</f>
        <v>https://arizona.app.box.com/file/389152970720</v>
      </c>
    </row>
    <row r="6810" spans="1:25" x14ac:dyDescent="0.2">
      <c r="A6810">
        <v>2223</v>
      </c>
      <c r="B6810" t="s">
        <v>10656</v>
      </c>
      <c r="C6810" t="s">
        <v>18</v>
      </c>
      <c r="D6810" t="s">
        <v>555</v>
      </c>
      <c r="E6810" t="s">
        <v>556</v>
      </c>
      <c r="F6810" t="s">
        <v>78</v>
      </c>
      <c r="G6810" t="s">
        <v>17</v>
      </c>
      <c r="J6810" t="b">
        <v>0</v>
      </c>
      <c r="K6810" t="b">
        <v>0</v>
      </c>
      <c r="L6810" t="b">
        <v>0</v>
      </c>
      <c r="M6810" t="str">
        <f>HYPERLINK("https://arizona.app.box.com/file/389263138828")</f>
        <v>https://arizona.app.box.com/file/389263138828</v>
      </c>
    </row>
    <row r="6811" spans="1:25" x14ac:dyDescent="0.2">
      <c r="A6811">
        <v>2224</v>
      </c>
      <c r="B6811" t="s">
        <v>10656</v>
      </c>
      <c r="C6811" t="s">
        <v>18</v>
      </c>
      <c r="D6811" t="s">
        <v>552</v>
      </c>
      <c r="E6811" t="s">
        <v>553</v>
      </c>
      <c r="F6811" t="s">
        <v>174</v>
      </c>
      <c r="G6811" t="s">
        <v>17</v>
      </c>
      <c r="J6811" t="b">
        <v>0</v>
      </c>
      <c r="K6811" t="b">
        <v>0</v>
      </c>
      <c r="L6811" t="b">
        <v>0</v>
      </c>
      <c r="M6811" t="str">
        <f>HYPERLINK("https://arizona.app.box.com/file/389266797751")</f>
        <v>https://arizona.app.box.com/file/389266797751</v>
      </c>
    </row>
    <row r="6813" spans="1:25" x14ac:dyDescent="0.2">
      <c r="A6813" s="2">
        <v>2226</v>
      </c>
      <c r="B6813" s="2" t="s">
        <v>10660</v>
      </c>
      <c r="C6813" s="2" t="s">
        <v>13</v>
      </c>
      <c r="D6813" s="2" t="s">
        <v>10661</v>
      </c>
      <c r="E6813" s="2" t="s">
        <v>10662</v>
      </c>
      <c r="F6813" s="2" t="s">
        <v>45</v>
      </c>
      <c r="G6813" s="2" t="s">
        <v>1405</v>
      </c>
      <c r="H6813" s="2"/>
      <c r="I6813" s="2"/>
      <c r="J6813" s="2"/>
      <c r="K6813" s="2"/>
      <c r="L6813" s="2"/>
      <c r="M6813" s="2"/>
      <c r="N6813" s="2"/>
      <c r="O6813" s="2"/>
      <c r="P6813" s="2"/>
      <c r="Q6813" s="2"/>
      <c r="R6813" s="2"/>
      <c r="S6813" s="2"/>
      <c r="T6813" s="2"/>
      <c r="U6813" s="2"/>
      <c r="V6813" s="2"/>
      <c r="W6813" s="2"/>
      <c r="X6813" s="2"/>
      <c r="Y6813" s="2"/>
    </row>
    <row r="6814" spans="1:25" x14ac:dyDescent="0.2">
      <c r="A6814">
        <v>2227</v>
      </c>
      <c r="B6814" t="s">
        <v>10660</v>
      </c>
      <c r="C6814" t="s">
        <v>18</v>
      </c>
      <c r="D6814" t="s">
        <v>10661</v>
      </c>
      <c r="E6814" t="s">
        <v>10662</v>
      </c>
      <c r="F6814" t="s">
        <v>45</v>
      </c>
      <c r="G6814" t="s">
        <v>1406</v>
      </c>
      <c r="J6814" t="b">
        <v>1</v>
      </c>
      <c r="K6814" t="b">
        <v>1</v>
      </c>
      <c r="L6814" t="b">
        <v>1</v>
      </c>
      <c r="M6814" t="str">
        <f>HYPERLINK("https://arizona.app.box.com/file/386231338334")</f>
        <v>https://arizona.app.box.com/file/386231338334</v>
      </c>
      <c r="N6814" t="str">
        <f>HYPERLINK("https://arizona.app.box.com/file/386247145905")</f>
        <v>https://arizona.app.box.com/file/386247145905</v>
      </c>
    </row>
    <row r="6815" spans="1:25" x14ac:dyDescent="0.2">
      <c r="A6815">
        <v>2228</v>
      </c>
      <c r="B6815" t="s">
        <v>10660</v>
      </c>
      <c r="C6815" t="s">
        <v>18</v>
      </c>
      <c r="D6815" t="s">
        <v>3313</v>
      </c>
      <c r="E6815" t="s">
        <v>3314</v>
      </c>
      <c r="F6815" t="s">
        <v>45</v>
      </c>
      <c r="G6815" t="s">
        <v>1406</v>
      </c>
      <c r="J6815" t="b">
        <v>0</v>
      </c>
      <c r="K6815" t="b">
        <v>0</v>
      </c>
      <c r="L6815" t="b">
        <v>0</v>
      </c>
      <c r="M6815" t="str">
        <f>HYPERLINK("https://arizona.app.box.com/file/386244019539")</f>
        <v>https://arizona.app.box.com/file/386244019539</v>
      </c>
    </row>
    <row r="6816" spans="1:25" x14ac:dyDescent="0.2">
      <c r="A6816">
        <v>2229</v>
      </c>
      <c r="B6816" t="s">
        <v>10660</v>
      </c>
      <c r="C6816" t="s">
        <v>18</v>
      </c>
      <c r="D6816" t="s">
        <v>10663</v>
      </c>
      <c r="E6816" t="s">
        <v>10152</v>
      </c>
      <c r="F6816" t="s">
        <v>45</v>
      </c>
      <c r="G6816" t="s">
        <v>1406</v>
      </c>
      <c r="J6816" t="b">
        <v>0</v>
      </c>
      <c r="K6816" t="b">
        <v>0</v>
      </c>
      <c r="L6816" t="b">
        <v>0</v>
      </c>
      <c r="M6816" t="str">
        <f>HYPERLINK("https://arizona.app.box.com/file/386264411632")</f>
        <v>https://arizona.app.box.com/file/386264411632</v>
      </c>
    </row>
    <row r="6817" spans="1:25" x14ac:dyDescent="0.2">
      <c r="A6817">
        <v>2230</v>
      </c>
      <c r="B6817" t="s">
        <v>10660</v>
      </c>
      <c r="C6817" t="s">
        <v>18</v>
      </c>
      <c r="D6817" t="s">
        <v>3309</v>
      </c>
      <c r="E6817" t="s">
        <v>1214</v>
      </c>
      <c r="F6817" t="s">
        <v>654</v>
      </c>
      <c r="G6817" t="s">
        <v>1406</v>
      </c>
      <c r="J6817" t="b">
        <v>0</v>
      </c>
      <c r="K6817" t="b">
        <v>0</v>
      </c>
      <c r="L6817" t="b">
        <v>0</v>
      </c>
      <c r="M6817" t="str">
        <f>HYPERLINK("https://arizona.app.box.com/file/386245260353")</f>
        <v>https://arizona.app.box.com/file/386245260353</v>
      </c>
    </row>
    <row r="6818" spans="1:25" x14ac:dyDescent="0.2">
      <c r="A6818">
        <v>2231</v>
      </c>
      <c r="B6818" t="s">
        <v>10660</v>
      </c>
      <c r="C6818" t="s">
        <v>18</v>
      </c>
      <c r="D6818" t="s">
        <v>9441</v>
      </c>
      <c r="E6818" t="s">
        <v>9442</v>
      </c>
      <c r="F6818" t="s">
        <v>1077</v>
      </c>
      <c r="G6818" t="s">
        <v>1406</v>
      </c>
      <c r="J6818" t="b">
        <v>0</v>
      </c>
      <c r="K6818" t="b">
        <v>0</v>
      </c>
      <c r="L6818" t="b">
        <v>0</v>
      </c>
      <c r="M6818" t="str">
        <f>HYPERLINK("https://arizona.app.box.com/file/386245048950")</f>
        <v>https://arizona.app.box.com/file/386245048950</v>
      </c>
      <c r="N6818" t="str">
        <f>HYPERLINK("https://arizona.app.box.com/file/386248877661")</f>
        <v>https://arizona.app.box.com/file/386248877661</v>
      </c>
    </row>
    <row r="6820" spans="1:25" x14ac:dyDescent="0.2">
      <c r="A6820" s="2">
        <v>224</v>
      </c>
      <c r="B6820" s="2" t="s">
        <v>10664</v>
      </c>
      <c r="C6820" s="2" t="s">
        <v>13</v>
      </c>
      <c r="D6820" s="2" t="s">
        <v>9076</v>
      </c>
      <c r="E6820" s="2" t="s">
        <v>9077</v>
      </c>
      <c r="F6820" s="2" t="s">
        <v>159</v>
      </c>
      <c r="G6820" s="2" t="s">
        <v>265</v>
      </c>
      <c r="H6820" s="2"/>
      <c r="I6820" s="2"/>
      <c r="J6820" s="2"/>
      <c r="K6820" s="2"/>
      <c r="L6820" s="2"/>
      <c r="M6820" s="2"/>
      <c r="N6820" s="2"/>
      <c r="O6820" s="2"/>
      <c r="P6820" s="2"/>
      <c r="Q6820" s="2"/>
      <c r="R6820" s="2"/>
      <c r="S6820" s="2"/>
      <c r="T6820" s="2"/>
      <c r="U6820" s="2"/>
      <c r="V6820" s="2"/>
      <c r="W6820" s="2"/>
      <c r="X6820" s="2"/>
      <c r="Y6820" s="2"/>
    </row>
    <row r="6821" spans="1:25" x14ac:dyDescent="0.2">
      <c r="A6821">
        <v>225</v>
      </c>
      <c r="B6821" t="s">
        <v>10664</v>
      </c>
      <c r="C6821" t="s">
        <v>18</v>
      </c>
      <c r="D6821" t="s">
        <v>9076</v>
      </c>
      <c r="E6821" t="s">
        <v>9077</v>
      </c>
      <c r="F6821" t="s">
        <v>1837</v>
      </c>
      <c r="G6821" t="s">
        <v>265</v>
      </c>
      <c r="J6821" t="b">
        <v>1</v>
      </c>
      <c r="K6821" t="b">
        <v>1</v>
      </c>
      <c r="L6821" t="b">
        <v>1</v>
      </c>
      <c r="M6821" t="str">
        <f>HYPERLINK("https://arizona.app.box.com/file/386228485174")</f>
        <v>https://arizona.app.box.com/file/386228485174</v>
      </c>
      <c r="N6821" t="str">
        <f>HYPERLINK("https://arizona.app.box.com/file/386241113911")</f>
        <v>https://arizona.app.box.com/file/386241113911</v>
      </c>
    </row>
    <row r="6822" spans="1:25" x14ac:dyDescent="0.2">
      <c r="A6822">
        <v>226</v>
      </c>
      <c r="B6822" t="s">
        <v>10664</v>
      </c>
      <c r="C6822" t="s">
        <v>18</v>
      </c>
      <c r="D6822" t="s">
        <v>7181</v>
      </c>
      <c r="E6822" t="s">
        <v>7182</v>
      </c>
      <c r="F6822" t="s">
        <v>82</v>
      </c>
      <c r="G6822" t="s">
        <v>265</v>
      </c>
      <c r="J6822" t="b">
        <v>0</v>
      </c>
      <c r="K6822" t="b">
        <v>0</v>
      </c>
      <c r="L6822" t="b">
        <v>0</v>
      </c>
    </row>
    <row r="6823" spans="1:25" x14ac:dyDescent="0.2">
      <c r="A6823">
        <v>227</v>
      </c>
      <c r="B6823" t="s">
        <v>10664</v>
      </c>
      <c r="C6823" t="s">
        <v>18</v>
      </c>
      <c r="D6823" t="s">
        <v>4460</v>
      </c>
      <c r="E6823" t="s">
        <v>1319</v>
      </c>
      <c r="F6823" t="s">
        <v>159</v>
      </c>
      <c r="G6823" t="s">
        <v>265</v>
      </c>
      <c r="J6823" t="b">
        <v>0</v>
      </c>
      <c r="K6823" t="b">
        <v>0</v>
      </c>
      <c r="L6823" t="b">
        <v>0</v>
      </c>
      <c r="M6823" t="str">
        <f>HYPERLINK("https://arizona.app.box.com/file/389257237779")</f>
        <v>https://arizona.app.box.com/file/389257237779</v>
      </c>
      <c r="N6823" t="str">
        <f>HYPERLINK("https://arizona.app.box.com/file/386249679772")</f>
        <v>https://arizona.app.box.com/file/386249679772</v>
      </c>
    </row>
    <row r="6824" spans="1:25" x14ac:dyDescent="0.2">
      <c r="A6824">
        <v>228</v>
      </c>
      <c r="B6824" t="s">
        <v>10664</v>
      </c>
      <c r="C6824" t="s">
        <v>18</v>
      </c>
      <c r="D6824" t="s">
        <v>7185</v>
      </c>
      <c r="E6824" t="s">
        <v>7186</v>
      </c>
      <c r="F6824" t="s">
        <v>82</v>
      </c>
      <c r="G6824" t="s">
        <v>265</v>
      </c>
      <c r="J6824" t="b">
        <v>0</v>
      </c>
      <c r="K6824" t="b">
        <v>0</v>
      </c>
      <c r="L6824" t="b">
        <v>0</v>
      </c>
    </row>
    <row r="6825" spans="1:25" x14ac:dyDescent="0.2">
      <c r="A6825">
        <v>229</v>
      </c>
      <c r="B6825" t="s">
        <v>10664</v>
      </c>
      <c r="C6825" t="s">
        <v>18</v>
      </c>
      <c r="D6825" t="s">
        <v>4463</v>
      </c>
      <c r="E6825" t="s">
        <v>339</v>
      </c>
      <c r="F6825" t="s">
        <v>159</v>
      </c>
      <c r="G6825" t="s">
        <v>265</v>
      </c>
      <c r="J6825" t="b">
        <v>0</v>
      </c>
      <c r="K6825" t="b">
        <v>0</v>
      </c>
      <c r="L6825" t="b">
        <v>0</v>
      </c>
      <c r="M6825" t="str">
        <f>HYPERLINK("https://arizona.app.box.com/file/389263745615")</f>
        <v>https://arizona.app.box.com/file/389263745615</v>
      </c>
      <c r="N6825" t="str">
        <f>HYPERLINK("https://arizona.app.box.com/file/386242202843")</f>
        <v>https://arizona.app.box.com/file/386242202843</v>
      </c>
    </row>
    <row r="6827" spans="1:25" x14ac:dyDescent="0.2">
      <c r="A6827" s="2">
        <v>2247</v>
      </c>
      <c r="B6827" s="2" t="s">
        <v>10665</v>
      </c>
      <c r="C6827" s="2" t="s">
        <v>13</v>
      </c>
      <c r="D6827" s="2" t="s">
        <v>10666</v>
      </c>
      <c r="E6827" s="2" t="s">
        <v>10667</v>
      </c>
      <c r="F6827" s="2" t="s">
        <v>23</v>
      </c>
      <c r="G6827" s="2" t="s">
        <v>17</v>
      </c>
      <c r="H6827" s="2"/>
      <c r="I6827" s="2"/>
      <c r="J6827" s="2"/>
      <c r="K6827" s="2"/>
      <c r="L6827" s="2"/>
      <c r="M6827" s="2"/>
      <c r="N6827" s="2"/>
      <c r="O6827" s="2"/>
      <c r="P6827" s="2"/>
      <c r="Q6827" s="2"/>
      <c r="R6827" s="2"/>
      <c r="S6827" s="2"/>
      <c r="T6827" s="2"/>
      <c r="U6827" s="2"/>
      <c r="V6827" s="2"/>
      <c r="W6827" s="2"/>
      <c r="X6827" s="2"/>
      <c r="Y6827" s="2"/>
    </row>
    <row r="6828" spans="1:25" x14ac:dyDescent="0.2">
      <c r="A6828">
        <v>2248</v>
      </c>
      <c r="B6828" t="s">
        <v>10665</v>
      </c>
      <c r="C6828" t="s">
        <v>18</v>
      </c>
      <c r="D6828" t="s">
        <v>6077</v>
      </c>
      <c r="E6828" t="s">
        <v>935</v>
      </c>
      <c r="F6828" t="s">
        <v>174</v>
      </c>
      <c r="G6828" t="s">
        <v>17</v>
      </c>
      <c r="J6828" t="b">
        <v>0</v>
      </c>
      <c r="K6828" t="b">
        <v>0</v>
      </c>
      <c r="L6828" t="b">
        <v>0</v>
      </c>
      <c r="M6828" t="str">
        <f>HYPERLINK("https://arizona.app.box.com/file/389153457316")</f>
        <v>https://arizona.app.box.com/file/389153457316</v>
      </c>
      <c r="N6828" t="str">
        <f>HYPERLINK("https://arizona.app.box.com/file/386214388398")</f>
        <v>https://arizona.app.box.com/file/386214388398</v>
      </c>
    </row>
    <row r="6829" spans="1:25" x14ac:dyDescent="0.2">
      <c r="A6829">
        <v>2249</v>
      </c>
      <c r="B6829" t="s">
        <v>10665</v>
      </c>
      <c r="C6829" t="s">
        <v>18</v>
      </c>
      <c r="D6829" t="s">
        <v>1471</v>
      </c>
      <c r="E6829" t="s">
        <v>1472</v>
      </c>
      <c r="F6829" t="s">
        <v>174</v>
      </c>
      <c r="G6829" t="s">
        <v>17</v>
      </c>
      <c r="J6829" t="b">
        <v>0</v>
      </c>
      <c r="K6829" t="b">
        <v>0</v>
      </c>
      <c r="L6829" t="b">
        <v>0</v>
      </c>
      <c r="M6829" t="str">
        <f>HYPERLINK("https://arizona.app.box.com/file/389255639972")</f>
        <v>https://arizona.app.box.com/file/389255639972</v>
      </c>
      <c r="N6829" t="str">
        <f>HYPERLINK("https://arizona.app.box.com/file/389154291106")</f>
        <v>https://arizona.app.box.com/file/389154291106</v>
      </c>
    </row>
    <row r="6830" spans="1:25" x14ac:dyDescent="0.2">
      <c r="A6830">
        <v>2250</v>
      </c>
      <c r="B6830" t="s">
        <v>10665</v>
      </c>
      <c r="C6830" t="s">
        <v>18</v>
      </c>
      <c r="D6830" t="s">
        <v>1966</v>
      </c>
      <c r="E6830" t="s">
        <v>297</v>
      </c>
      <c r="F6830" t="s">
        <v>23</v>
      </c>
      <c r="G6830" t="s">
        <v>17</v>
      </c>
      <c r="J6830" t="b">
        <v>0</v>
      </c>
      <c r="K6830" t="b">
        <v>0</v>
      </c>
      <c r="L6830" t="b">
        <v>0</v>
      </c>
      <c r="M6830" t="str">
        <f>HYPERLINK("https://arizona.app.box.com/file/389262059256")</f>
        <v>https://arizona.app.box.com/file/389262059256</v>
      </c>
      <c r="N6830" t="str">
        <f>HYPERLINK("https://arizona.app.box.com/file/389152895438")</f>
        <v>https://arizona.app.box.com/file/389152895438</v>
      </c>
    </row>
    <row r="6831" spans="1:25" x14ac:dyDescent="0.2">
      <c r="A6831">
        <v>2251</v>
      </c>
      <c r="B6831" t="s">
        <v>10665</v>
      </c>
      <c r="C6831" t="s">
        <v>18</v>
      </c>
      <c r="D6831" t="s">
        <v>10668</v>
      </c>
      <c r="E6831" t="s">
        <v>1208</v>
      </c>
      <c r="F6831" t="s">
        <v>23</v>
      </c>
      <c r="G6831" t="s">
        <v>17</v>
      </c>
      <c r="J6831" t="b">
        <v>0</v>
      </c>
      <c r="K6831" t="b">
        <v>0</v>
      </c>
      <c r="L6831" t="b">
        <v>0</v>
      </c>
      <c r="M6831" t="str">
        <f>HYPERLINK("https://arizona.app.box.com/file/389150189457")</f>
        <v>https://arizona.app.box.com/file/389150189457</v>
      </c>
    </row>
    <row r="6832" spans="1:25" x14ac:dyDescent="0.2">
      <c r="A6832">
        <v>2252</v>
      </c>
      <c r="B6832" t="s">
        <v>10665</v>
      </c>
      <c r="C6832" t="s">
        <v>18</v>
      </c>
      <c r="D6832" t="s">
        <v>6379</v>
      </c>
      <c r="E6832" t="s">
        <v>6380</v>
      </c>
      <c r="F6832" t="s">
        <v>174</v>
      </c>
      <c r="G6832" t="s">
        <v>17</v>
      </c>
      <c r="J6832" t="b">
        <v>0</v>
      </c>
      <c r="K6832" t="b">
        <v>0</v>
      </c>
      <c r="L6832" t="b">
        <v>0</v>
      </c>
      <c r="M6832" t="str">
        <f>HYPERLINK("https://arizona.app.box.com/file/389150480670")</f>
        <v>https://arizona.app.box.com/file/389150480670</v>
      </c>
      <c r="N6832" t="str">
        <f>HYPERLINK("https://arizona.app.box.com/file/389163126905")</f>
        <v>https://arizona.app.box.com/file/389163126905</v>
      </c>
    </row>
    <row r="6834" spans="1:25" x14ac:dyDescent="0.2">
      <c r="A6834" s="2">
        <v>2254</v>
      </c>
      <c r="B6834" s="2" t="s">
        <v>10669</v>
      </c>
      <c r="C6834" s="2" t="s">
        <v>13</v>
      </c>
      <c r="D6834" s="2" t="s">
        <v>6800</v>
      </c>
      <c r="E6834" s="2" t="s">
        <v>10670</v>
      </c>
      <c r="F6834" s="2" t="s">
        <v>87</v>
      </c>
      <c r="G6834" s="2" t="s">
        <v>638</v>
      </c>
      <c r="H6834" s="2"/>
      <c r="I6834" s="2"/>
      <c r="J6834" s="2"/>
      <c r="K6834" s="2"/>
      <c r="L6834" s="2"/>
      <c r="M6834" s="2"/>
      <c r="N6834" s="2"/>
      <c r="O6834" s="2"/>
      <c r="P6834" s="2"/>
      <c r="Q6834" s="2"/>
      <c r="R6834" s="2"/>
      <c r="S6834" s="2"/>
      <c r="T6834" s="2"/>
      <c r="U6834" s="2"/>
      <c r="V6834" s="2"/>
      <c r="W6834" s="2"/>
      <c r="X6834" s="2"/>
      <c r="Y6834" s="2"/>
    </row>
    <row r="6835" spans="1:25" x14ac:dyDescent="0.2">
      <c r="A6835">
        <v>2255</v>
      </c>
      <c r="B6835" t="s">
        <v>10669</v>
      </c>
      <c r="C6835" t="s">
        <v>18</v>
      </c>
      <c r="D6835" t="s">
        <v>6800</v>
      </c>
      <c r="E6835" t="s">
        <v>435</v>
      </c>
      <c r="F6835" t="s">
        <v>87</v>
      </c>
      <c r="G6835" t="s">
        <v>638</v>
      </c>
      <c r="J6835" t="b">
        <v>1</v>
      </c>
      <c r="K6835" t="b">
        <v>1</v>
      </c>
      <c r="L6835" t="b">
        <v>1</v>
      </c>
      <c r="M6835" t="str">
        <f>HYPERLINK("https://arizona.app.box.com/file/389163251017")</f>
        <v>https://arizona.app.box.com/file/389163251017</v>
      </c>
      <c r="N6835" t="str">
        <f>HYPERLINK("https://arizona.app.box.com/file/386216149882")</f>
        <v>https://arizona.app.box.com/file/386216149882</v>
      </c>
    </row>
    <row r="6836" spans="1:25" x14ac:dyDescent="0.2">
      <c r="A6836">
        <v>2256</v>
      </c>
      <c r="B6836" t="s">
        <v>10669</v>
      </c>
      <c r="C6836" t="s">
        <v>18</v>
      </c>
      <c r="D6836" t="s">
        <v>6794</v>
      </c>
      <c r="E6836" t="s">
        <v>2267</v>
      </c>
      <c r="F6836" t="s">
        <v>78</v>
      </c>
      <c r="G6836" t="s">
        <v>638</v>
      </c>
      <c r="J6836" t="b">
        <v>0</v>
      </c>
      <c r="K6836" t="b">
        <v>0</v>
      </c>
      <c r="L6836" t="b">
        <v>0</v>
      </c>
      <c r="M6836" t="str">
        <f>HYPERLINK("https://arizona.app.box.com/file/389261800493")</f>
        <v>https://arizona.app.box.com/file/389261800493</v>
      </c>
    </row>
    <row r="6837" spans="1:25" x14ac:dyDescent="0.2">
      <c r="A6837">
        <v>2257</v>
      </c>
      <c r="B6837" t="s">
        <v>10669</v>
      </c>
      <c r="C6837" t="s">
        <v>18</v>
      </c>
      <c r="D6837" t="s">
        <v>6797</v>
      </c>
      <c r="E6837" t="s">
        <v>6798</v>
      </c>
      <c r="F6837" t="s">
        <v>78</v>
      </c>
      <c r="G6837" t="s">
        <v>638</v>
      </c>
      <c r="J6837" t="b">
        <v>0</v>
      </c>
      <c r="K6837" t="b">
        <v>0</v>
      </c>
      <c r="L6837" t="b">
        <v>0</v>
      </c>
      <c r="M6837" t="str">
        <f>HYPERLINK("https://arizona.app.box.com/file/386249922103")</f>
        <v>https://arizona.app.box.com/file/386249922103</v>
      </c>
    </row>
    <row r="6838" spans="1:25" x14ac:dyDescent="0.2">
      <c r="A6838">
        <v>2258</v>
      </c>
      <c r="B6838" t="s">
        <v>10669</v>
      </c>
      <c r="C6838" t="s">
        <v>18</v>
      </c>
      <c r="D6838" t="s">
        <v>6803</v>
      </c>
      <c r="E6838" t="s">
        <v>6804</v>
      </c>
      <c r="F6838" t="s">
        <v>670</v>
      </c>
      <c r="G6838" t="s">
        <v>638</v>
      </c>
      <c r="J6838" t="b">
        <v>0</v>
      </c>
      <c r="K6838" t="b">
        <v>0</v>
      </c>
      <c r="L6838" t="b">
        <v>0</v>
      </c>
    </row>
    <row r="6839" spans="1:25" x14ac:dyDescent="0.2">
      <c r="A6839">
        <v>2259</v>
      </c>
      <c r="B6839" t="s">
        <v>10669</v>
      </c>
      <c r="C6839" t="s">
        <v>18</v>
      </c>
      <c r="D6839" t="s">
        <v>3731</v>
      </c>
      <c r="E6839" t="s">
        <v>3732</v>
      </c>
      <c r="F6839" t="s">
        <v>82</v>
      </c>
      <c r="G6839" t="s">
        <v>88</v>
      </c>
      <c r="J6839" t="b">
        <v>0</v>
      </c>
      <c r="K6839" t="b">
        <v>0</v>
      </c>
      <c r="L6839" t="b">
        <v>0</v>
      </c>
    </row>
    <row r="6841" spans="1:25" x14ac:dyDescent="0.2">
      <c r="A6841" s="2">
        <v>2289</v>
      </c>
      <c r="B6841" s="2" t="s">
        <v>10671</v>
      </c>
      <c r="C6841" s="2" t="s">
        <v>13</v>
      </c>
      <c r="D6841" s="2" t="s">
        <v>10131</v>
      </c>
      <c r="E6841" s="2" t="s">
        <v>10132</v>
      </c>
      <c r="F6841" s="2" t="s">
        <v>451</v>
      </c>
      <c r="G6841" s="2" t="s">
        <v>638</v>
      </c>
      <c r="H6841" s="2"/>
      <c r="I6841" s="2"/>
      <c r="J6841" s="2"/>
      <c r="K6841" s="2"/>
      <c r="L6841" s="2"/>
      <c r="M6841" s="2"/>
      <c r="N6841" s="2"/>
      <c r="O6841" s="2"/>
      <c r="P6841" s="2"/>
      <c r="Q6841" s="2"/>
      <c r="R6841" s="2"/>
      <c r="S6841" s="2"/>
      <c r="T6841" s="2"/>
      <c r="U6841" s="2"/>
      <c r="V6841" s="2"/>
      <c r="W6841" s="2"/>
      <c r="X6841" s="2"/>
      <c r="Y6841" s="2"/>
    </row>
    <row r="6842" spans="1:25" x14ac:dyDescent="0.2">
      <c r="A6842">
        <v>2290</v>
      </c>
      <c r="B6842" t="s">
        <v>10671</v>
      </c>
      <c r="C6842" t="s">
        <v>18</v>
      </c>
      <c r="D6842" t="s">
        <v>10131</v>
      </c>
      <c r="E6842" t="s">
        <v>10132</v>
      </c>
      <c r="F6842" t="s">
        <v>451</v>
      </c>
      <c r="G6842" t="s">
        <v>88</v>
      </c>
      <c r="J6842" t="b">
        <v>1</v>
      </c>
      <c r="K6842" t="b">
        <v>1</v>
      </c>
      <c r="L6842" t="b">
        <v>1</v>
      </c>
      <c r="M6842" t="str">
        <f>HYPERLINK("https://arizona.app.box.com/file/386243129582")</f>
        <v>https://arizona.app.box.com/file/386243129582</v>
      </c>
      <c r="N6842" t="str">
        <f>HYPERLINK("https://arizona.app.box.com/file/386265332083")</f>
        <v>https://arizona.app.box.com/file/386265332083</v>
      </c>
    </row>
    <row r="6843" spans="1:25" x14ac:dyDescent="0.2">
      <c r="A6843">
        <v>2291</v>
      </c>
      <c r="B6843" t="s">
        <v>10671</v>
      </c>
      <c r="C6843" t="s">
        <v>18</v>
      </c>
      <c r="D6843" t="s">
        <v>10672</v>
      </c>
      <c r="E6843" t="s">
        <v>10673</v>
      </c>
      <c r="F6843" t="s">
        <v>451</v>
      </c>
      <c r="G6843" t="s">
        <v>62</v>
      </c>
      <c r="J6843" t="b">
        <v>0</v>
      </c>
      <c r="K6843" t="b">
        <v>0</v>
      </c>
      <c r="L6843" t="b">
        <v>0</v>
      </c>
    </row>
    <row r="6844" spans="1:25" x14ac:dyDescent="0.2">
      <c r="A6844">
        <v>2292</v>
      </c>
      <c r="B6844" t="s">
        <v>10671</v>
      </c>
      <c r="C6844" t="s">
        <v>18</v>
      </c>
      <c r="D6844" t="s">
        <v>7256</v>
      </c>
      <c r="E6844" t="s">
        <v>7257</v>
      </c>
      <c r="F6844" t="s">
        <v>451</v>
      </c>
      <c r="G6844" t="s">
        <v>1290</v>
      </c>
      <c r="J6844" t="b">
        <v>0</v>
      </c>
      <c r="K6844" t="b">
        <v>0</v>
      </c>
      <c r="L6844" t="b">
        <v>0</v>
      </c>
    </row>
    <row r="6845" spans="1:25" x14ac:dyDescent="0.2">
      <c r="A6845">
        <v>2293</v>
      </c>
      <c r="B6845" t="s">
        <v>10671</v>
      </c>
      <c r="C6845" t="s">
        <v>18</v>
      </c>
      <c r="D6845" t="s">
        <v>10129</v>
      </c>
      <c r="E6845" t="s">
        <v>10130</v>
      </c>
      <c r="F6845" t="s">
        <v>451</v>
      </c>
      <c r="G6845" t="s">
        <v>417</v>
      </c>
      <c r="J6845" t="b">
        <v>0</v>
      </c>
      <c r="K6845" t="b">
        <v>0</v>
      </c>
      <c r="L6845" t="b">
        <v>0</v>
      </c>
      <c r="M6845" t="str">
        <f>HYPERLINK("https://arizona.app.box.com/file/386247978934")</f>
        <v>https://arizona.app.box.com/file/386247978934</v>
      </c>
      <c r="N6845" t="str">
        <f>HYPERLINK("https://arizona.app.box.com/file/386243161660")</f>
        <v>https://arizona.app.box.com/file/386243161660</v>
      </c>
    </row>
    <row r="6846" spans="1:25" x14ac:dyDescent="0.2">
      <c r="A6846">
        <v>2294</v>
      </c>
      <c r="B6846" t="s">
        <v>10671</v>
      </c>
      <c r="C6846" t="s">
        <v>18</v>
      </c>
      <c r="D6846" t="s">
        <v>10674</v>
      </c>
      <c r="E6846" t="s">
        <v>10675</v>
      </c>
      <c r="F6846" t="s">
        <v>785</v>
      </c>
      <c r="G6846" t="s">
        <v>638</v>
      </c>
      <c r="J6846" t="b">
        <v>0</v>
      </c>
      <c r="K6846" t="b">
        <v>0</v>
      </c>
      <c r="L6846" t="b">
        <v>0</v>
      </c>
    </row>
    <row r="6848" spans="1:25" x14ac:dyDescent="0.2">
      <c r="A6848" s="2">
        <v>2317</v>
      </c>
      <c r="B6848" s="2" t="s">
        <v>10676</v>
      </c>
      <c r="C6848" s="2" t="s">
        <v>13</v>
      </c>
      <c r="D6848" s="2" t="s">
        <v>7065</v>
      </c>
      <c r="E6848" s="2" t="s">
        <v>7066</v>
      </c>
      <c r="F6848" s="2" t="s">
        <v>451</v>
      </c>
      <c r="G6848" s="2" t="s">
        <v>638</v>
      </c>
      <c r="H6848" s="2"/>
      <c r="I6848" s="2"/>
      <c r="J6848" s="2"/>
      <c r="K6848" s="2"/>
      <c r="L6848" s="2"/>
      <c r="M6848" s="2"/>
      <c r="N6848" s="2"/>
      <c r="O6848" s="2"/>
      <c r="P6848" s="2"/>
      <c r="Q6848" s="2"/>
      <c r="R6848" s="2"/>
      <c r="S6848" s="2"/>
      <c r="T6848" s="2"/>
      <c r="U6848" s="2"/>
      <c r="V6848" s="2"/>
      <c r="W6848" s="2"/>
      <c r="X6848" s="2"/>
      <c r="Y6848" s="2"/>
    </row>
    <row r="6849" spans="1:25" x14ac:dyDescent="0.2">
      <c r="A6849">
        <v>2318</v>
      </c>
      <c r="B6849" t="s">
        <v>10676</v>
      </c>
      <c r="C6849" t="s">
        <v>18</v>
      </c>
      <c r="D6849" t="s">
        <v>7065</v>
      </c>
      <c r="E6849" t="s">
        <v>7066</v>
      </c>
      <c r="F6849" t="s">
        <v>451</v>
      </c>
      <c r="G6849" t="s">
        <v>638</v>
      </c>
      <c r="J6849" t="b">
        <v>1</v>
      </c>
      <c r="K6849" t="b">
        <v>1</v>
      </c>
      <c r="L6849" t="b">
        <v>1</v>
      </c>
      <c r="M6849" t="str">
        <f>HYPERLINK("https://arizona.app.box.com/file/386219061643")</f>
        <v>https://arizona.app.box.com/file/386219061643</v>
      </c>
      <c r="N6849" t="str">
        <f>HYPERLINK("https://arizona.app.box.com/file/386231083960")</f>
        <v>https://arizona.app.box.com/file/386231083960</v>
      </c>
    </row>
    <row r="6850" spans="1:25" x14ac:dyDescent="0.2">
      <c r="A6850">
        <v>2319</v>
      </c>
      <c r="B6850" t="s">
        <v>10676</v>
      </c>
      <c r="C6850" t="s">
        <v>18</v>
      </c>
      <c r="D6850" t="s">
        <v>7060</v>
      </c>
      <c r="E6850" t="s">
        <v>7062</v>
      </c>
      <c r="F6850" t="s">
        <v>159</v>
      </c>
      <c r="G6850" t="s">
        <v>638</v>
      </c>
      <c r="J6850" t="b">
        <v>0</v>
      </c>
      <c r="K6850" t="b">
        <v>0</v>
      </c>
      <c r="L6850" t="b">
        <v>0</v>
      </c>
      <c r="M6850" t="str">
        <f>HYPERLINK("https://arizona.app.box.com/file/389172248074")</f>
        <v>https://arizona.app.box.com/file/389172248074</v>
      </c>
      <c r="N6850" t="str">
        <f>HYPERLINK("https://arizona.app.box.com/file/386238519687")</f>
        <v>https://arizona.app.box.com/file/386238519687</v>
      </c>
    </row>
    <row r="6851" spans="1:25" x14ac:dyDescent="0.2">
      <c r="A6851">
        <v>2320</v>
      </c>
      <c r="B6851" t="s">
        <v>10676</v>
      </c>
      <c r="C6851" t="s">
        <v>18</v>
      </c>
      <c r="D6851" t="s">
        <v>10677</v>
      </c>
      <c r="E6851" t="s">
        <v>10678</v>
      </c>
      <c r="F6851" t="s">
        <v>148</v>
      </c>
      <c r="G6851" t="s">
        <v>638</v>
      </c>
      <c r="J6851" t="b">
        <v>0</v>
      </c>
      <c r="K6851" t="b">
        <v>0</v>
      </c>
      <c r="L6851" t="b">
        <v>0</v>
      </c>
    </row>
    <row r="6852" spans="1:25" x14ac:dyDescent="0.2">
      <c r="A6852">
        <v>2321</v>
      </c>
      <c r="B6852" t="s">
        <v>10676</v>
      </c>
      <c r="C6852" t="s">
        <v>18</v>
      </c>
      <c r="D6852" t="s">
        <v>5863</v>
      </c>
      <c r="E6852" t="s">
        <v>2408</v>
      </c>
      <c r="F6852" t="s">
        <v>561</v>
      </c>
      <c r="G6852" t="s">
        <v>638</v>
      </c>
      <c r="J6852" t="b">
        <v>0</v>
      </c>
      <c r="K6852" t="b">
        <v>0</v>
      </c>
      <c r="L6852" t="b">
        <v>0</v>
      </c>
      <c r="M6852" t="str">
        <f>HYPERLINK("https://arizona.app.box.com/file/389262506781")</f>
        <v>https://arizona.app.box.com/file/389262506781</v>
      </c>
      <c r="N6852" t="str">
        <f>HYPERLINK("https://arizona.app.box.com/file/389164914801")</f>
        <v>https://arizona.app.box.com/file/389164914801</v>
      </c>
    </row>
    <row r="6853" spans="1:25" x14ac:dyDescent="0.2">
      <c r="A6853">
        <v>2322</v>
      </c>
      <c r="B6853" t="s">
        <v>10676</v>
      </c>
      <c r="C6853" t="s">
        <v>18</v>
      </c>
      <c r="D6853" t="s">
        <v>9357</v>
      </c>
      <c r="E6853" t="s">
        <v>9358</v>
      </c>
      <c r="F6853" t="s">
        <v>159</v>
      </c>
      <c r="G6853" t="s">
        <v>280</v>
      </c>
      <c r="J6853" t="b">
        <v>0</v>
      </c>
      <c r="K6853" t="b">
        <v>0</v>
      </c>
      <c r="L6853" t="b">
        <v>0</v>
      </c>
      <c r="M6853" t="str">
        <f>HYPERLINK("https://arizona.app.box.com/file/389167115585")</f>
        <v>https://arizona.app.box.com/file/389167115585</v>
      </c>
      <c r="N6853" t="str">
        <f>HYPERLINK("https://arizona.app.box.com/file/389164742487")</f>
        <v>https://arizona.app.box.com/file/389164742487</v>
      </c>
    </row>
    <row r="6855" spans="1:25" x14ac:dyDescent="0.2">
      <c r="A6855" s="2">
        <v>2408</v>
      </c>
      <c r="B6855" s="2" t="s">
        <v>10679</v>
      </c>
      <c r="C6855" s="2" t="s">
        <v>13</v>
      </c>
      <c r="D6855" s="2" t="s">
        <v>1325</v>
      </c>
      <c r="E6855" s="2" t="s">
        <v>10680</v>
      </c>
      <c r="F6855" s="2" t="s">
        <v>174</v>
      </c>
      <c r="G6855" s="2" t="s">
        <v>17</v>
      </c>
      <c r="H6855" s="2"/>
      <c r="I6855" s="2"/>
      <c r="J6855" s="2"/>
      <c r="K6855" s="2"/>
      <c r="L6855" s="2"/>
      <c r="M6855" s="2"/>
      <c r="N6855" s="2"/>
      <c r="O6855" s="2"/>
      <c r="P6855" s="2"/>
      <c r="Q6855" s="2"/>
      <c r="R6855" s="2"/>
      <c r="S6855" s="2"/>
      <c r="T6855" s="2"/>
      <c r="U6855" s="2"/>
      <c r="V6855" s="2"/>
      <c r="W6855" s="2"/>
      <c r="X6855" s="2"/>
      <c r="Y6855" s="2"/>
    </row>
    <row r="6856" spans="1:25" x14ac:dyDescent="0.2">
      <c r="A6856">
        <v>2409</v>
      </c>
      <c r="B6856" t="s">
        <v>10679</v>
      </c>
      <c r="C6856" t="s">
        <v>18</v>
      </c>
      <c r="D6856" t="s">
        <v>1325</v>
      </c>
      <c r="E6856" t="s">
        <v>1326</v>
      </c>
      <c r="F6856" t="s">
        <v>174</v>
      </c>
      <c r="G6856" t="s">
        <v>17</v>
      </c>
      <c r="J6856" t="b">
        <v>1</v>
      </c>
      <c r="K6856" t="b">
        <v>1</v>
      </c>
      <c r="L6856" t="b">
        <v>1</v>
      </c>
      <c r="M6856" t="str">
        <f>HYPERLINK("https://arizona.app.box.com/file/389170151327")</f>
        <v>https://arizona.app.box.com/file/389170151327</v>
      </c>
      <c r="N6856" t="str">
        <f>HYPERLINK("https://arizona.app.box.com/file/386237581247")</f>
        <v>https://arizona.app.box.com/file/386237581247</v>
      </c>
    </row>
    <row r="6857" spans="1:25" x14ac:dyDescent="0.2">
      <c r="A6857">
        <v>2410</v>
      </c>
      <c r="B6857" t="s">
        <v>10679</v>
      </c>
      <c r="C6857" t="s">
        <v>18</v>
      </c>
      <c r="D6857" t="s">
        <v>4218</v>
      </c>
      <c r="E6857" t="s">
        <v>4219</v>
      </c>
      <c r="F6857" t="s">
        <v>31</v>
      </c>
      <c r="G6857" t="s">
        <v>17</v>
      </c>
      <c r="J6857" t="b">
        <v>0</v>
      </c>
      <c r="K6857" t="b">
        <v>0</v>
      </c>
      <c r="L6857" t="b">
        <v>0</v>
      </c>
      <c r="M6857" t="str">
        <f>HYPERLINK("https://arizona.app.box.com/file/389174554307")</f>
        <v>https://arizona.app.box.com/file/389174554307</v>
      </c>
      <c r="N6857" t="str">
        <f>HYPERLINK("https://arizona.app.box.com/file/386244012142")</f>
        <v>https://arizona.app.box.com/file/386244012142</v>
      </c>
      <c r="O6857" t="str">
        <f>HYPERLINK("https://arizona.app.box.com/file/389170584146")</f>
        <v>https://arizona.app.box.com/file/389170584146</v>
      </c>
    </row>
    <row r="6858" spans="1:25" x14ac:dyDescent="0.2">
      <c r="A6858">
        <v>2411</v>
      </c>
      <c r="B6858" t="s">
        <v>10679</v>
      </c>
      <c r="C6858" t="s">
        <v>18</v>
      </c>
      <c r="D6858" t="s">
        <v>1329</v>
      </c>
      <c r="E6858" t="s">
        <v>1330</v>
      </c>
      <c r="F6858" t="s">
        <v>369</v>
      </c>
      <c r="G6858" t="s">
        <v>17</v>
      </c>
      <c r="J6858" t="b">
        <v>0</v>
      </c>
      <c r="K6858" t="b">
        <v>0</v>
      </c>
      <c r="L6858" t="b">
        <v>0</v>
      </c>
      <c r="M6858" t="str">
        <f>HYPERLINK("https://arizona.app.box.com/file/389168126825")</f>
        <v>https://arizona.app.box.com/file/389168126825</v>
      </c>
      <c r="N6858" t="str">
        <f>HYPERLINK("https://arizona.app.box.com/file/386244367824")</f>
        <v>https://arizona.app.box.com/file/386244367824</v>
      </c>
    </row>
    <row r="6859" spans="1:25" x14ac:dyDescent="0.2">
      <c r="A6859">
        <v>2412</v>
      </c>
      <c r="B6859" t="s">
        <v>10679</v>
      </c>
      <c r="C6859" t="s">
        <v>18</v>
      </c>
      <c r="D6859" t="s">
        <v>5568</v>
      </c>
      <c r="E6859" t="s">
        <v>5569</v>
      </c>
      <c r="F6859" t="s">
        <v>168</v>
      </c>
      <c r="G6859" t="s">
        <v>17</v>
      </c>
      <c r="J6859" t="b">
        <v>0</v>
      </c>
      <c r="K6859" t="b">
        <v>0</v>
      </c>
      <c r="L6859" t="b">
        <v>0</v>
      </c>
      <c r="M6859" t="str">
        <f>HYPERLINK("https://arizona.app.box.com/file/389267161342")</f>
        <v>https://arizona.app.box.com/file/389267161342</v>
      </c>
      <c r="N6859" t="str">
        <f>HYPERLINK("https://arizona.app.box.com/file/389167073061")</f>
        <v>https://arizona.app.box.com/file/389167073061</v>
      </c>
      <c r="O6859" t="str">
        <f>HYPERLINK("https://arizona.app.box.com/file/389265119737")</f>
        <v>https://arizona.app.box.com/file/389265119737</v>
      </c>
    </row>
    <row r="6860" spans="1:25" x14ac:dyDescent="0.2">
      <c r="A6860">
        <v>2413</v>
      </c>
      <c r="B6860" t="s">
        <v>10679</v>
      </c>
      <c r="C6860" t="s">
        <v>18</v>
      </c>
      <c r="D6860" t="s">
        <v>10557</v>
      </c>
      <c r="E6860" t="s">
        <v>9681</v>
      </c>
      <c r="F6860" t="s">
        <v>31</v>
      </c>
      <c r="G6860" t="s">
        <v>17</v>
      </c>
      <c r="J6860" t="b">
        <v>0</v>
      </c>
      <c r="K6860" t="b">
        <v>0</v>
      </c>
      <c r="L6860" t="b">
        <v>0</v>
      </c>
    </row>
    <row r="6862" spans="1:25" x14ac:dyDescent="0.2">
      <c r="A6862" s="2">
        <v>2415</v>
      </c>
      <c r="B6862" s="2" t="s">
        <v>10681</v>
      </c>
      <c r="C6862" s="2" t="s">
        <v>13</v>
      </c>
      <c r="D6862" s="2" t="s">
        <v>5252</v>
      </c>
      <c r="E6862" s="2" t="s">
        <v>10682</v>
      </c>
      <c r="F6862" s="2" t="s">
        <v>16</v>
      </c>
      <c r="G6862" s="2" t="s">
        <v>24</v>
      </c>
      <c r="H6862" s="2"/>
      <c r="I6862" s="2"/>
      <c r="J6862" s="2"/>
      <c r="K6862" s="2"/>
      <c r="L6862" s="2"/>
      <c r="M6862" s="2"/>
      <c r="N6862" s="2"/>
      <c r="O6862" s="2"/>
      <c r="P6862" s="2"/>
      <c r="Q6862" s="2"/>
      <c r="R6862" s="2"/>
      <c r="S6862" s="2"/>
      <c r="T6862" s="2"/>
      <c r="U6862" s="2"/>
      <c r="V6862" s="2"/>
      <c r="W6862" s="2"/>
      <c r="X6862" s="2"/>
      <c r="Y6862" s="2"/>
    </row>
    <row r="6863" spans="1:25" x14ac:dyDescent="0.2">
      <c r="A6863">
        <v>2416</v>
      </c>
      <c r="B6863" t="s">
        <v>10681</v>
      </c>
      <c r="C6863" t="s">
        <v>18</v>
      </c>
      <c r="D6863" t="s">
        <v>5252</v>
      </c>
      <c r="E6863" t="s">
        <v>5253</v>
      </c>
      <c r="F6863" t="s">
        <v>16</v>
      </c>
      <c r="G6863" t="s">
        <v>24</v>
      </c>
      <c r="J6863" t="b">
        <v>1</v>
      </c>
      <c r="K6863" t="b">
        <v>1</v>
      </c>
      <c r="L6863" t="b">
        <v>1</v>
      </c>
      <c r="M6863" t="str">
        <f>HYPERLINK("https://arizona.app.box.com/file/389262987081")</f>
        <v>https://arizona.app.box.com/file/389262987081</v>
      </c>
      <c r="N6863" t="str">
        <f>HYPERLINK("https://arizona.app.box.com/file/389153999622")</f>
        <v>https://arizona.app.box.com/file/389153999622</v>
      </c>
    </row>
    <row r="6864" spans="1:25" x14ac:dyDescent="0.2">
      <c r="A6864">
        <v>2417</v>
      </c>
      <c r="B6864" t="s">
        <v>10681</v>
      </c>
      <c r="C6864" t="s">
        <v>18</v>
      </c>
      <c r="D6864" t="s">
        <v>10683</v>
      </c>
      <c r="E6864" t="s">
        <v>10387</v>
      </c>
      <c r="F6864" t="s">
        <v>16</v>
      </c>
      <c r="G6864" t="s">
        <v>24</v>
      </c>
      <c r="J6864" t="b">
        <v>1</v>
      </c>
      <c r="K6864" t="b">
        <v>1</v>
      </c>
      <c r="L6864" t="b">
        <v>1</v>
      </c>
      <c r="M6864" t="str">
        <f>HYPERLINK("https://arizona.app.box.com/file/389178293425")</f>
        <v>https://arizona.app.box.com/file/389178293425</v>
      </c>
      <c r="N6864" t="str">
        <f>HYPERLINK("https://arizona.app.box.com/file/386237855025")</f>
        <v>https://arizona.app.box.com/file/386237855025</v>
      </c>
    </row>
    <row r="6865" spans="1:25" x14ac:dyDescent="0.2">
      <c r="A6865">
        <v>2418</v>
      </c>
      <c r="B6865" t="s">
        <v>10681</v>
      </c>
      <c r="C6865" t="s">
        <v>18</v>
      </c>
      <c r="D6865" t="s">
        <v>5551</v>
      </c>
      <c r="E6865" t="s">
        <v>5552</v>
      </c>
      <c r="F6865" t="s">
        <v>16</v>
      </c>
      <c r="G6865" t="s">
        <v>24</v>
      </c>
      <c r="J6865" t="b">
        <v>0</v>
      </c>
      <c r="K6865" t="b">
        <v>0</v>
      </c>
      <c r="L6865" t="b">
        <v>0</v>
      </c>
      <c r="M6865" t="str">
        <f>HYPERLINK("https://arizona.app.box.com/file/389172060957")</f>
        <v>https://arizona.app.box.com/file/389172060957</v>
      </c>
      <c r="N6865" t="str">
        <f>HYPERLINK("https://arizona.app.box.com/file/386238109543")</f>
        <v>https://arizona.app.box.com/file/386238109543</v>
      </c>
    </row>
    <row r="6866" spans="1:25" x14ac:dyDescent="0.2">
      <c r="A6866">
        <v>2419</v>
      </c>
      <c r="B6866" t="s">
        <v>10681</v>
      </c>
      <c r="C6866" t="s">
        <v>18</v>
      </c>
      <c r="D6866" t="s">
        <v>5555</v>
      </c>
      <c r="E6866" t="s">
        <v>2504</v>
      </c>
      <c r="F6866" t="s">
        <v>16</v>
      </c>
      <c r="G6866" t="s">
        <v>1406</v>
      </c>
      <c r="J6866" t="b">
        <v>0</v>
      </c>
      <c r="K6866" t="b">
        <v>0</v>
      </c>
      <c r="L6866" t="b">
        <v>0</v>
      </c>
      <c r="M6866" t="str">
        <f>HYPERLINK("https://arizona.app.box.com/file/389175408876")</f>
        <v>https://arizona.app.box.com/file/389175408876</v>
      </c>
    </row>
    <row r="6867" spans="1:25" x14ac:dyDescent="0.2">
      <c r="A6867">
        <v>2420</v>
      </c>
      <c r="B6867" t="s">
        <v>10681</v>
      </c>
      <c r="C6867" t="s">
        <v>18</v>
      </c>
      <c r="D6867" t="s">
        <v>5561</v>
      </c>
      <c r="E6867" t="s">
        <v>5562</v>
      </c>
      <c r="F6867" t="s">
        <v>16</v>
      </c>
      <c r="G6867" t="s">
        <v>1406</v>
      </c>
      <c r="J6867" t="b">
        <v>0</v>
      </c>
      <c r="K6867" t="b">
        <v>0</v>
      </c>
      <c r="L6867" t="b">
        <v>0</v>
      </c>
      <c r="M6867" t="str">
        <f>HYPERLINK("https://arizona.app.box.com/file/389267841877")</f>
        <v>https://arizona.app.box.com/file/389267841877</v>
      </c>
      <c r="N6867" t="str">
        <f>HYPERLINK("https://arizona.app.box.com/file/389161525400")</f>
        <v>https://arizona.app.box.com/file/389161525400</v>
      </c>
      <c r="O6867" t="str">
        <f>HYPERLINK("https://arizona.app.box.com/file/389266135939")</f>
        <v>https://arizona.app.box.com/file/389266135939</v>
      </c>
      <c r="P6867" t="str">
        <f>HYPERLINK("https://arizona.app.box.com/file/389153216580")</f>
        <v>https://arizona.app.box.com/file/389153216580</v>
      </c>
    </row>
    <row r="6869" spans="1:25" x14ac:dyDescent="0.2">
      <c r="A6869" s="2">
        <v>2429</v>
      </c>
      <c r="B6869" s="2" t="s">
        <v>10684</v>
      </c>
      <c r="C6869" s="2" t="s">
        <v>13</v>
      </c>
      <c r="D6869" s="2" t="s">
        <v>6046</v>
      </c>
      <c r="E6869" s="2" t="s">
        <v>10685</v>
      </c>
      <c r="F6869" s="2" t="s">
        <v>148</v>
      </c>
      <c r="G6869" s="2" t="s">
        <v>252</v>
      </c>
      <c r="H6869" s="2"/>
      <c r="I6869" s="2"/>
      <c r="J6869" s="2"/>
      <c r="K6869" s="2"/>
      <c r="L6869" s="2"/>
      <c r="M6869" s="2"/>
      <c r="N6869" s="2"/>
      <c r="O6869" s="2"/>
      <c r="P6869" s="2"/>
      <c r="Q6869" s="2"/>
      <c r="R6869" s="2"/>
      <c r="S6869" s="2"/>
      <c r="T6869" s="2"/>
      <c r="U6869" s="2"/>
      <c r="V6869" s="2"/>
      <c r="W6869" s="2"/>
      <c r="X6869" s="2"/>
      <c r="Y6869" s="2"/>
    </row>
    <row r="6870" spans="1:25" x14ac:dyDescent="0.2">
      <c r="A6870">
        <v>2430</v>
      </c>
      <c r="B6870" t="s">
        <v>10684</v>
      </c>
      <c r="C6870" t="s">
        <v>18</v>
      </c>
      <c r="D6870" t="s">
        <v>6046</v>
      </c>
      <c r="E6870" t="s">
        <v>2082</v>
      </c>
      <c r="F6870" t="s">
        <v>148</v>
      </c>
      <c r="G6870" t="s">
        <v>252</v>
      </c>
      <c r="J6870" t="b">
        <v>1</v>
      </c>
      <c r="K6870" t="b">
        <v>1</v>
      </c>
      <c r="L6870" t="b">
        <v>1</v>
      </c>
      <c r="M6870" t="str">
        <f>HYPERLINK("https://arizona.app.box.com/file/389267469582")</f>
        <v>https://arizona.app.box.com/file/389267469582</v>
      </c>
    </row>
    <row r="6871" spans="1:25" x14ac:dyDescent="0.2">
      <c r="A6871">
        <v>2431</v>
      </c>
      <c r="B6871" t="s">
        <v>10684</v>
      </c>
      <c r="C6871" t="s">
        <v>18</v>
      </c>
      <c r="D6871" t="s">
        <v>3703</v>
      </c>
      <c r="E6871" t="s">
        <v>3704</v>
      </c>
      <c r="F6871" t="s">
        <v>148</v>
      </c>
      <c r="G6871" t="s">
        <v>252</v>
      </c>
      <c r="J6871" t="b">
        <v>1</v>
      </c>
      <c r="K6871" t="b">
        <v>1</v>
      </c>
      <c r="L6871" t="b">
        <v>1</v>
      </c>
      <c r="M6871" t="str">
        <f>HYPERLINK("https://arizona.app.box.com/file/389261766473")</f>
        <v>https://arizona.app.box.com/file/389261766473</v>
      </c>
      <c r="N6871" t="str">
        <f>HYPERLINK("https://arizona.app.box.com/file/389153400320")</f>
        <v>https://arizona.app.box.com/file/389153400320</v>
      </c>
    </row>
    <row r="6872" spans="1:25" x14ac:dyDescent="0.2">
      <c r="A6872">
        <v>2432</v>
      </c>
      <c r="B6872" t="s">
        <v>10684</v>
      </c>
      <c r="C6872" t="s">
        <v>18</v>
      </c>
      <c r="D6872" t="s">
        <v>3698</v>
      </c>
      <c r="E6872" t="s">
        <v>3699</v>
      </c>
      <c r="F6872" t="s">
        <v>23</v>
      </c>
      <c r="G6872" t="s">
        <v>252</v>
      </c>
      <c r="J6872" t="b">
        <v>0</v>
      </c>
      <c r="K6872" t="b">
        <v>0</v>
      </c>
      <c r="L6872" t="b">
        <v>0</v>
      </c>
    </row>
    <row r="6873" spans="1:25" x14ac:dyDescent="0.2">
      <c r="A6873">
        <v>2433</v>
      </c>
      <c r="B6873" t="s">
        <v>10684</v>
      </c>
      <c r="C6873" t="s">
        <v>18</v>
      </c>
      <c r="D6873" t="s">
        <v>4307</v>
      </c>
      <c r="E6873" t="s">
        <v>4308</v>
      </c>
      <c r="F6873" t="s">
        <v>420</v>
      </c>
      <c r="G6873" t="s">
        <v>252</v>
      </c>
      <c r="J6873" t="b">
        <v>0</v>
      </c>
      <c r="K6873" t="b">
        <v>0</v>
      </c>
      <c r="L6873" t="b">
        <v>0</v>
      </c>
      <c r="M6873" t="str">
        <f>HYPERLINK("https://arizona.app.box.com/file/389154072848")</f>
        <v>https://arizona.app.box.com/file/389154072848</v>
      </c>
      <c r="N6873" t="str">
        <f>HYPERLINK("https://arizona.app.box.com/file/386225521097")</f>
        <v>https://arizona.app.box.com/file/386225521097</v>
      </c>
    </row>
    <row r="6874" spans="1:25" x14ac:dyDescent="0.2">
      <c r="A6874">
        <v>2434</v>
      </c>
      <c r="B6874" t="s">
        <v>10684</v>
      </c>
      <c r="C6874" t="s">
        <v>18</v>
      </c>
      <c r="D6874" t="s">
        <v>4060</v>
      </c>
      <c r="E6874" t="s">
        <v>2043</v>
      </c>
      <c r="F6874" t="s">
        <v>78</v>
      </c>
      <c r="G6874" t="s">
        <v>252</v>
      </c>
      <c r="J6874" t="b">
        <v>0</v>
      </c>
      <c r="K6874" t="b">
        <v>0</v>
      </c>
      <c r="L6874" t="b">
        <v>0</v>
      </c>
      <c r="M6874" t="str">
        <f>HYPERLINK("https://arizona.app.box.com/file/389263109905")</f>
        <v>https://arizona.app.box.com/file/389263109905</v>
      </c>
    </row>
    <row r="6876" spans="1:25" x14ac:dyDescent="0.2">
      <c r="A6876" s="2">
        <v>245</v>
      </c>
      <c r="B6876" s="2" t="s">
        <v>10686</v>
      </c>
      <c r="C6876" s="2" t="s">
        <v>13</v>
      </c>
      <c r="D6876" s="2" t="s">
        <v>10687</v>
      </c>
      <c r="E6876" s="2" t="s">
        <v>10688</v>
      </c>
      <c r="F6876" s="2" t="s">
        <v>159</v>
      </c>
      <c r="G6876" s="2" t="s">
        <v>265</v>
      </c>
      <c r="H6876" s="2"/>
      <c r="I6876" s="2"/>
      <c r="J6876" s="2"/>
      <c r="K6876" s="2"/>
      <c r="L6876" s="2"/>
      <c r="M6876" s="2"/>
      <c r="N6876" s="2"/>
      <c r="O6876" s="2"/>
      <c r="P6876" s="2"/>
      <c r="Q6876" s="2"/>
      <c r="R6876" s="2"/>
      <c r="S6876" s="2"/>
      <c r="T6876" s="2"/>
      <c r="U6876" s="2"/>
      <c r="V6876" s="2"/>
      <c r="W6876" s="2"/>
      <c r="X6876" s="2"/>
      <c r="Y6876" s="2"/>
    </row>
    <row r="6877" spans="1:25" x14ac:dyDescent="0.2">
      <c r="A6877">
        <v>246</v>
      </c>
      <c r="B6877" t="s">
        <v>10686</v>
      </c>
      <c r="C6877" t="s">
        <v>18</v>
      </c>
      <c r="D6877" t="s">
        <v>10687</v>
      </c>
      <c r="E6877" t="s">
        <v>10689</v>
      </c>
      <c r="F6877" t="s">
        <v>159</v>
      </c>
      <c r="G6877" t="s">
        <v>265</v>
      </c>
      <c r="J6877" t="b">
        <v>1</v>
      </c>
      <c r="K6877" t="b">
        <v>1</v>
      </c>
      <c r="L6877" t="b">
        <v>1</v>
      </c>
      <c r="M6877" t="str">
        <f>HYPERLINK("https://arizona.app.box.com/file/389166880511")</f>
        <v>https://arizona.app.box.com/file/389166880511</v>
      </c>
      <c r="N6877" t="str">
        <f>HYPERLINK("https://arizona.app.box.com/file/386216820926")</f>
        <v>https://arizona.app.box.com/file/386216820926</v>
      </c>
    </row>
    <row r="6878" spans="1:25" x14ac:dyDescent="0.2">
      <c r="A6878">
        <v>247</v>
      </c>
      <c r="B6878" t="s">
        <v>10686</v>
      </c>
      <c r="C6878" t="s">
        <v>18</v>
      </c>
      <c r="D6878" t="s">
        <v>3429</v>
      </c>
      <c r="E6878" t="s">
        <v>3430</v>
      </c>
      <c r="F6878" t="s">
        <v>159</v>
      </c>
      <c r="G6878" t="s">
        <v>265</v>
      </c>
      <c r="J6878" t="b">
        <v>0</v>
      </c>
      <c r="K6878" t="b">
        <v>0</v>
      </c>
      <c r="L6878" t="b">
        <v>0</v>
      </c>
      <c r="M6878" t="str">
        <f>HYPERLINK("https://arizona.app.box.com/file/389163366317")</f>
        <v>https://arizona.app.box.com/file/389163366317</v>
      </c>
      <c r="N6878" t="str">
        <f>HYPERLINK("https://arizona.app.box.com/file/386240798930")</f>
        <v>https://arizona.app.box.com/file/386240798930</v>
      </c>
    </row>
    <row r="6879" spans="1:25" x14ac:dyDescent="0.2">
      <c r="A6879">
        <v>248</v>
      </c>
      <c r="B6879" t="s">
        <v>10686</v>
      </c>
      <c r="C6879" t="s">
        <v>18</v>
      </c>
      <c r="D6879" t="s">
        <v>3422</v>
      </c>
      <c r="E6879" t="s">
        <v>3423</v>
      </c>
      <c r="F6879" t="s">
        <v>82</v>
      </c>
      <c r="G6879" t="s">
        <v>265</v>
      </c>
      <c r="J6879" t="b">
        <v>0</v>
      </c>
      <c r="K6879" t="b">
        <v>0</v>
      </c>
      <c r="L6879" t="b">
        <v>0</v>
      </c>
      <c r="M6879" t="str">
        <f>HYPERLINK("https://arizona.app.box.com/file/386242040713")</f>
        <v>https://arizona.app.box.com/file/386242040713</v>
      </c>
      <c r="N6879" t="str">
        <f>HYPERLINK("https://arizona.app.box.com/file/386241931345")</f>
        <v>https://arizona.app.box.com/file/386241931345</v>
      </c>
    </row>
    <row r="6880" spans="1:25" x14ac:dyDescent="0.2">
      <c r="A6880">
        <v>249</v>
      </c>
      <c r="B6880" t="s">
        <v>10686</v>
      </c>
      <c r="C6880" t="s">
        <v>18</v>
      </c>
      <c r="D6880" t="s">
        <v>3433</v>
      </c>
      <c r="E6880" t="s">
        <v>3434</v>
      </c>
      <c r="F6880" t="s">
        <v>82</v>
      </c>
      <c r="G6880" t="s">
        <v>265</v>
      </c>
      <c r="J6880" t="b">
        <v>0</v>
      </c>
      <c r="K6880" t="b">
        <v>0</v>
      </c>
      <c r="L6880" t="b">
        <v>0</v>
      </c>
    </row>
    <row r="6881" spans="1:25" x14ac:dyDescent="0.2">
      <c r="A6881">
        <v>250</v>
      </c>
      <c r="B6881" t="s">
        <v>10686</v>
      </c>
      <c r="C6881" t="s">
        <v>18</v>
      </c>
      <c r="D6881" t="s">
        <v>3435</v>
      </c>
      <c r="E6881" t="s">
        <v>3436</v>
      </c>
      <c r="F6881" t="s">
        <v>82</v>
      </c>
      <c r="G6881" t="s">
        <v>265</v>
      </c>
      <c r="J6881" t="b">
        <v>0</v>
      </c>
      <c r="K6881" t="b">
        <v>0</v>
      </c>
      <c r="L6881" t="b">
        <v>0</v>
      </c>
      <c r="M6881" t="str">
        <f>HYPERLINK("https://arizona.app.box.com/file/386218722417")</f>
        <v>https://arizona.app.box.com/file/386218722417</v>
      </c>
    </row>
    <row r="6883" spans="1:25" x14ac:dyDescent="0.2">
      <c r="A6883" s="2">
        <v>2478</v>
      </c>
      <c r="B6883" s="2" t="s">
        <v>10690</v>
      </c>
      <c r="C6883" s="2" t="s">
        <v>13</v>
      </c>
      <c r="D6883" s="2" t="s">
        <v>10691</v>
      </c>
      <c r="E6883" s="2" t="s">
        <v>10692</v>
      </c>
      <c r="F6883" s="2" t="s">
        <v>2738</v>
      </c>
      <c r="G6883" s="2" t="s">
        <v>1405</v>
      </c>
      <c r="H6883" s="2"/>
      <c r="I6883" s="2"/>
      <c r="J6883" s="2"/>
      <c r="K6883" s="2"/>
      <c r="L6883" s="2"/>
      <c r="M6883" s="2"/>
      <c r="N6883" s="2"/>
      <c r="O6883" s="2"/>
      <c r="P6883" s="2"/>
      <c r="Q6883" s="2"/>
      <c r="R6883" s="2"/>
      <c r="S6883" s="2"/>
      <c r="T6883" s="2"/>
      <c r="U6883" s="2"/>
      <c r="V6883" s="2"/>
      <c r="W6883" s="2"/>
      <c r="X6883" s="2"/>
      <c r="Y6883" s="2"/>
    </row>
    <row r="6884" spans="1:25" x14ac:dyDescent="0.2">
      <c r="A6884">
        <v>2479</v>
      </c>
      <c r="B6884" t="s">
        <v>10690</v>
      </c>
      <c r="C6884" t="s">
        <v>18</v>
      </c>
      <c r="D6884" t="s">
        <v>10691</v>
      </c>
      <c r="E6884" t="s">
        <v>10692</v>
      </c>
      <c r="F6884" t="s">
        <v>2738</v>
      </c>
      <c r="G6884" t="s">
        <v>1406</v>
      </c>
      <c r="J6884" t="b">
        <v>1</v>
      </c>
      <c r="K6884" t="b">
        <v>1</v>
      </c>
      <c r="L6884" t="b">
        <v>1</v>
      </c>
      <c r="M6884" t="str">
        <f>HYPERLINK("https://arizona.app.box.com/file/386240905594")</f>
        <v>https://arizona.app.box.com/file/386240905594</v>
      </c>
      <c r="N6884" t="str">
        <f>HYPERLINK("https://arizona.app.box.com/file/386264006112")</f>
        <v>https://arizona.app.box.com/file/386264006112</v>
      </c>
    </row>
    <row r="6885" spans="1:25" x14ac:dyDescent="0.2">
      <c r="A6885">
        <v>2480</v>
      </c>
      <c r="B6885" t="s">
        <v>10690</v>
      </c>
      <c r="C6885" t="s">
        <v>18</v>
      </c>
      <c r="D6885" t="s">
        <v>3971</v>
      </c>
      <c r="E6885" t="s">
        <v>2608</v>
      </c>
      <c r="F6885" t="s">
        <v>82</v>
      </c>
      <c r="G6885" t="s">
        <v>1406</v>
      </c>
      <c r="J6885" t="b">
        <v>0</v>
      </c>
      <c r="K6885" t="b">
        <v>0</v>
      </c>
      <c r="L6885" t="b">
        <v>0</v>
      </c>
      <c r="M6885" t="str">
        <f>HYPERLINK("https://arizona.app.box.com/file/389267219327")</f>
        <v>https://arizona.app.box.com/file/389267219327</v>
      </c>
    </row>
    <row r="6886" spans="1:25" x14ac:dyDescent="0.2">
      <c r="A6886">
        <v>2481</v>
      </c>
      <c r="B6886" t="s">
        <v>10690</v>
      </c>
      <c r="C6886" t="s">
        <v>18</v>
      </c>
      <c r="D6886" t="s">
        <v>10693</v>
      </c>
      <c r="E6886" t="s">
        <v>10694</v>
      </c>
      <c r="F6886" t="s">
        <v>616</v>
      </c>
      <c r="G6886" t="s">
        <v>1406</v>
      </c>
      <c r="J6886" t="b">
        <v>0</v>
      </c>
      <c r="K6886" t="b">
        <v>0</v>
      </c>
      <c r="L6886" t="b">
        <v>0</v>
      </c>
      <c r="M6886" t="str">
        <f>HYPERLINK("https://arizona.app.box.com/file/386248721077")</f>
        <v>https://arizona.app.box.com/file/386248721077</v>
      </c>
    </row>
    <row r="6887" spans="1:25" x14ac:dyDescent="0.2">
      <c r="A6887">
        <v>2482</v>
      </c>
      <c r="B6887" t="s">
        <v>10690</v>
      </c>
      <c r="C6887" t="s">
        <v>18</v>
      </c>
      <c r="D6887" t="s">
        <v>3961</v>
      </c>
      <c r="E6887" t="s">
        <v>3962</v>
      </c>
      <c r="F6887" t="s">
        <v>456</v>
      </c>
      <c r="G6887" t="s">
        <v>1406</v>
      </c>
      <c r="J6887" t="b">
        <v>0</v>
      </c>
      <c r="K6887" t="b">
        <v>0</v>
      </c>
      <c r="L6887" t="b">
        <v>0</v>
      </c>
      <c r="M6887" t="str">
        <f>HYPERLINK("https://arizona.app.box.com/file/389262469258")</f>
        <v>https://arizona.app.box.com/file/389262469258</v>
      </c>
      <c r="N6887" t="str">
        <f>HYPERLINK("https://arizona.app.box.com/file/389161568144")</f>
        <v>https://arizona.app.box.com/file/389161568144</v>
      </c>
      <c r="O6887" t="str">
        <f>HYPERLINK("https://arizona.app.box.com/file/389263327802")</f>
        <v>https://arizona.app.box.com/file/389263327802</v>
      </c>
      <c r="P6887" t="str">
        <f>HYPERLINK("https://arizona.app.box.com/file/389168232799")</f>
        <v>https://arizona.app.box.com/file/389168232799</v>
      </c>
    </row>
    <row r="6888" spans="1:25" x14ac:dyDescent="0.2">
      <c r="A6888">
        <v>2483</v>
      </c>
      <c r="B6888" t="s">
        <v>10690</v>
      </c>
      <c r="C6888" t="s">
        <v>18</v>
      </c>
      <c r="D6888" t="s">
        <v>3986</v>
      </c>
      <c r="E6888" t="s">
        <v>3987</v>
      </c>
      <c r="F6888" t="s">
        <v>3988</v>
      </c>
      <c r="G6888" t="s">
        <v>1406</v>
      </c>
      <c r="J6888" t="b">
        <v>0</v>
      </c>
      <c r="K6888" t="b">
        <v>0</v>
      </c>
      <c r="L6888" t="b">
        <v>0</v>
      </c>
      <c r="M6888" t="str">
        <f>HYPERLINK("https://arizona.app.box.com/file/389263701217")</f>
        <v>https://arizona.app.box.com/file/389263701217</v>
      </c>
      <c r="N6888" t="str">
        <f>HYPERLINK("https://arizona.app.box.com/file/389171442397")</f>
        <v>https://arizona.app.box.com/file/389171442397</v>
      </c>
    </row>
    <row r="6890" spans="1:25" x14ac:dyDescent="0.2">
      <c r="A6890" s="2">
        <v>2492</v>
      </c>
      <c r="B6890" s="2" t="s">
        <v>10695</v>
      </c>
      <c r="C6890" s="2" t="s">
        <v>13</v>
      </c>
      <c r="D6890" s="2" t="s">
        <v>10696</v>
      </c>
      <c r="E6890" s="2" t="s">
        <v>10697</v>
      </c>
      <c r="F6890" s="2" t="s">
        <v>2388</v>
      </c>
      <c r="G6890" s="2" t="s">
        <v>1405</v>
      </c>
      <c r="H6890" s="2"/>
      <c r="I6890" s="2"/>
      <c r="J6890" s="2"/>
      <c r="K6890" s="2"/>
      <c r="L6890" s="2"/>
      <c r="M6890" s="2"/>
      <c r="N6890" s="2"/>
      <c r="O6890" s="2"/>
      <c r="P6890" s="2"/>
      <c r="Q6890" s="2"/>
      <c r="R6890" s="2"/>
      <c r="S6890" s="2"/>
      <c r="T6890" s="2"/>
      <c r="U6890" s="2"/>
      <c r="V6890" s="2"/>
      <c r="W6890" s="2"/>
      <c r="X6890" s="2"/>
      <c r="Y6890" s="2"/>
    </row>
    <row r="6891" spans="1:25" x14ac:dyDescent="0.2">
      <c r="A6891">
        <v>2493</v>
      </c>
      <c r="B6891" t="s">
        <v>10695</v>
      </c>
      <c r="C6891" t="s">
        <v>18</v>
      </c>
      <c r="D6891" t="s">
        <v>10696</v>
      </c>
      <c r="E6891" t="s">
        <v>486</v>
      </c>
      <c r="F6891" t="s">
        <v>2388</v>
      </c>
      <c r="G6891" t="s">
        <v>1406</v>
      </c>
      <c r="J6891" t="b">
        <v>1</v>
      </c>
      <c r="K6891" t="b">
        <v>1</v>
      </c>
      <c r="L6891" t="b">
        <v>1</v>
      </c>
      <c r="M6891" t="str">
        <f>HYPERLINK("https://arizona.app.box.com/file/386248945472")</f>
        <v>https://arizona.app.box.com/file/386248945472</v>
      </c>
    </row>
    <row r="6892" spans="1:25" x14ac:dyDescent="0.2">
      <c r="A6892">
        <v>2494</v>
      </c>
      <c r="B6892" t="s">
        <v>10695</v>
      </c>
      <c r="C6892" t="s">
        <v>18</v>
      </c>
      <c r="D6892" t="s">
        <v>10698</v>
      </c>
      <c r="E6892" t="s">
        <v>10699</v>
      </c>
      <c r="F6892" t="s">
        <v>2388</v>
      </c>
      <c r="G6892" t="s">
        <v>1406</v>
      </c>
      <c r="J6892" t="b">
        <v>1</v>
      </c>
      <c r="K6892" t="b">
        <v>1</v>
      </c>
      <c r="L6892" t="b">
        <v>1</v>
      </c>
      <c r="M6892" t="str">
        <f>HYPERLINK("https://arizona.app.box.com/file/386247364991")</f>
        <v>https://arizona.app.box.com/file/386247364991</v>
      </c>
    </row>
    <row r="6893" spans="1:25" x14ac:dyDescent="0.2">
      <c r="A6893">
        <v>2495</v>
      </c>
      <c r="B6893" t="s">
        <v>10695</v>
      </c>
      <c r="C6893" t="s">
        <v>18</v>
      </c>
      <c r="D6893" t="s">
        <v>3971</v>
      </c>
      <c r="E6893" t="s">
        <v>2608</v>
      </c>
      <c r="F6893" t="s">
        <v>82</v>
      </c>
      <c r="G6893" t="s">
        <v>1406</v>
      </c>
      <c r="J6893" t="b">
        <v>0</v>
      </c>
      <c r="K6893" t="b">
        <v>0</v>
      </c>
      <c r="L6893" t="b">
        <v>0</v>
      </c>
      <c r="M6893" t="str">
        <f>HYPERLINK("https://arizona.app.box.com/file/389267219327")</f>
        <v>https://arizona.app.box.com/file/389267219327</v>
      </c>
    </row>
    <row r="6894" spans="1:25" x14ac:dyDescent="0.2">
      <c r="A6894">
        <v>2496</v>
      </c>
      <c r="B6894" t="s">
        <v>10695</v>
      </c>
      <c r="C6894" t="s">
        <v>18</v>
      </c>
      <c r="D6894" t="s">
        <v>3977</v>
      </c>
      <c r="E6894" t="s">
        <v>3978</v>
      </c>
      <c r="F6894" t="s">
        <v>670</v>
      </c>
      <c r="G6894" t="s">
        <v>1406</v>
      </c>
      <c r="J6894" t="b">
        <v>0</v>
      </c>
      <c r="K6894" t="b">
        <v>0</v>
      </c>
      <c r="L6894" t="b">
        <v>0</v>
      </c>
      <c r="M6894" t="str">
        <f>HYPERLINK("https://arizona.app.box.com/file/386250193303")</f>
        <v>https://arizona.app.box.com/file/386250193303</v>
      </c>
      <c r="N6894" t="str">
        <f>HYPERLINK("https://arizona.app.box.com/file/386219078432")</f>
        <v>https://arizona.app.box.com/file/386219078432</v>
      </c>
    </row>
    <row r="6895" spans="1:25" x14ac:dyDescent="0.2">
      <c r="A6895">
        <v>2497</v>
      </c>
      <c r="B6895" t="s">
        <v>10695</v>
      </c>
      <c r="C6895" t="s">
        <v>18</v>
      </c>
      <c r="D6895" t="s">
        <v>10700</v>
      </c>
      <c r="E6895" t="s">
        <v>10701</v>
      </c>
      <c r="F6895" t="s">
        <v>596</v>
      </c>
      <c r="G6895" t="s">
        <v>1406</v>
      </c>
      <c r="J6895" t="b">
        <v>0</v>
      </c>
      <c r="K6895" t="b">
        <v>0</v>
      </c>
      <c r="L6895" t="b">
        <v>0</v>
      </c>
      <c r="M6895" t="str">
        <f>HYPERLINK("https://arizona.app.box.com/file/386247307810")</f>
        <v>https://arizona.app.box.com/file/386247307810</v>
      </c>
      <c r="N6895" t="str">
        <f>HYPERLINK("https://arizona.app.box.com/file/386243066441")</f>
        <v>https://arizona.app.box.com/file/386243066441</v>
      </c>
    </row>
    <row r="6897" spans="1:25" x14ac:dyDescent="0.2">
      <c r="A6897" s="2">
        <v>2513</v>
      </c>
      <c r="B6897" s="2" t="s">
        <v>10702</v>
      </c>
      <c r="C6897" s="2" t="s">
        <v>13</v>
      </c>
      <c r="D6897" s="2" t="s">
        <v>10703</v>
      </c>
      <c r="E6897" s="2" t="s">
        <v>10704</v>
      </c>
      <c r="F6897" s="2" t="s">
        <v>23</v>
      </c>
      <c r="G6897" s="2" t="s">
        <v>1405</v>
      </c>
      <c r="H6897" s="2"/>
      <c r="I6897" s="2"/>
      <c r="J6897" s="2"/>
      <c r="K6897" s="2"/>
      <c r="L6897" s="2"/>
      <c r="M6897" s="2"/>
      <c r="N6897" s="2"/>
      <c r="O6897" s="2"/>
      <c r="P6897" s="2"/>
      <c r="Q6897" s="2"/>
      <c r="R6897" s="2"/>
      <c r="S6897" s="2"/>
      <c r="T6897" s="2"/>
      <c r="U6897" s="2"/>
      <c r="V6897" s="2"/>
      <c r="W6897" s="2"/>
      <c r="X6897" s="2"/>
      <c r="Y6897" s="2"/>
    </row>
    <row r="6898" spans="1:25" x14ac:dyDescent="0.2">
      <c r="A6898">
        <v>2514</v>
      </c>
      <c r="B6898" t="s">
        <v>10702</v>
      </c>
      <c r="C6898" t="s">
        <v>18</v>
      </c>
      <c r="D6898" t="s">
        <v>10703</v>
      </c>
      <c r="E6898" t="s">
        <v>10705</v>
      </c>
      <c r="F6898" t="s">
        <v>23</v>
      </c>
      <c r="G6898" t="s">
        <v>1406</v>
      </c>
      <c r="J6898" t="b">
        <v>1</v>
      </c>
      <c r="K6898" t="b">
        <v>1</v>
      </c>
      <c r="L6898" t="b">
        <v>1</v>
      </c>
      <c r="M6898" t="str">
        <f>HYPERLINK("https://arizona.app.box.com/file/386240490965")</f>
        <v>https://arizona.app.box.com/file/386240490965</v>
      </c>
    </row>
    <row r="6899" spans="1:25" x14ac:dyDescent="0.2">
      <c r="A6899">
        <v>2515</v>
      </c>
      <c r="B6899" t="s">
        <v>10702</v>
      </c>
      <c r="C6899" t="s">
        <v>18</v>
      </c>
      <c r="D6899" t="s">
        <v>3983</v>
      </c>
      <c r="E6899" t="s">
        <v>3984</v>
      </c>
      <c r="F6899" t="s">
        <v>23</v>
      </c>
      <c r="G6899" t="s">
        <v>1406</v>
      </c>
      <c r="J6899" t="b">
        <v>1</v>
      </c>
      <c r="K6899" t="b">
        <v>1</v>
      </c>
      <c r="L6899" t="b">
        <v>1</v>
      </c>
      <c r="M6899" t="str">
        <f>HYPERLINK("https://arizona.app.box.com/file/386242824635")</f>
        <v>https://arizona.app.box.com/file/386242824635</v>
      </c>
    </row>
    <row r="6900" spans="1:25" x14ac:dyDescent="0.2">
      <c r="A6900">
        <v>2516</v>
      </c>
      <c r="B6900" t="s">
        <v>10702</v>
      </c>
      <c r="C6900" t="s">
        <v>18</v>
      </c>
      <c r="D6900" t="s">
        <v>10706</v>
      </c>
      <c r="E6900" t="s">
        <v>10707</v>
      </c>
      <c r="F6900" t="s">
        <v>616</v>
      </c>
      <c r="G6900" t="s">
        <v>1406</v>
      </c>
      <c r="J6900" t="b">
        <v>0</v>
      </c>
      <c r="K6900" t="b">
        <v>0</v>
      </c>
      <c r="L6900" t="b">
        <v>0</v>
      </c>
      <c r="M6900" t="str">
        <f>HYPERLINK("https://arizona.app.box.com/file/386244254958")</f>
        <v>https://arizona.app.box.com/file/386244254958</v>
      </c>
      <c r="N6900" t="str">
        <f>HYPERLINK("https://arizona.app.box.com/file/386247263168")</f>
        <v>https://arizona.app.box.com/file/386247263168</v>
      </c>
    </row>
    <row r="6901" spans="1:25" x14ac:dyDescent="0.2">
      <c r="A6901">
        <v>2517</v>
      </c>
      <c r="B6901" t="s">
        <v>10702</v>
      </c>
      <c r="C6901" t="s">
        <v>18</v>
      </c>
      <c r="D6901" t="s">
        <v>3971</v>
      </c>
      <c r="E6901" t="s">
        <v>2608</v>
      </c>
      <c r="F6901" t="s">
        <v>82</v>
      </c>
      <c r="G6901" t="s">
        <v>1406</v>
      </c>
      <c r="J6901" t="b">
        <v>0</v>
      </c>
      <c r="K6901" t="b">
        <v>0</v>
      </c>
      <c r="L6901" t="b">
        <v>0</v>
      </c>
      <c r="M6901" t="str">
        <f>HYPERLINK("https://arizona.app.box.com/file/389267219327")</f>
        <v>https://arizona.app.box.com/file/389267219327</v>
      </c>
    </row>
    <row r="6902" spans="1:25" x14ac:dyDescent="0.2">
      <c r="A6902">
        <v>2518</v>
      </c>
      <c r="B6902" t="s">
        <v>10702</v>
      </c>
      <c r="C6902" t="s">
        <v>18</v>
      </c>
      <c r="D6902" t="s">
        <v>10708</v>
      </c>
      <c r="E6902" t="s">
        <v>10709</v>
      </c>
      <c r="F6902" t="s">
        <v>27</v>
      </c>
      <c r="G6902" t="s">
        <v>1406</v>
      </c>
      <c r="J6902" t="b">
        <v>0</v>
      </c>
      <c r="K6902" t="b">
        <v>0</v>
      </c>
      <c r="L6902" t="b">
        <v>0</v>
      </c>
      <c r="M6902" t="str">
        <f>HYPERLINK("https://arizona.app.box.com/file/386240564168")</f>
        <v>https://arizona.app.box.com/file/386240564168</v>
      </c>
    </row>
    <row r="6904" spans="1:25" x14ac:dyDescent="0.2">
      <c r="A6904" s="2">
        <v>2541</v>
      </c>
      <c r="B6904" s="2" t="s">
        <v>10710</v>
      </c>
      <c r="C6904" s="2" t="s">
        <v>13</v>
      </c>
      <c r="D6904" s="2" t="s">
        <v>8412</v>
      </c>
      <c r="E6904" s="2" t="s">
        <v>10711</v>
      </c>
      <c r="F6904" s="2" t="s">
        <v>510</v>
      </c>
      <c r="G6904" s="2" t="s">
        <v>1405</v>
      </c>
      <c r="H6904" s="2"/>
      <c r="I6904" s="2"/>
      <c r="J6904" s="2"/>
      <c r="K6904" s="2"/>
      <c r="L6904" s="2"/>
      <c r="M6904" s="2"/>
      <c r="N6904" s="2"/>
      <c r="O6904" s="2"/>
      <c r="P6904" s="2"/>
      <c r="Q6904" s="2"/>
      <c r="R6904" s="2"/>
      <c r="S6904" s="2"/>
      <c r="T6904" s="2"/>
      <c r="U6904" s="2"/>
      <c r="V6904" s="2"/>
      <c r="W6904" s="2"/>
      <c r="X6904" s="2"/>
      <c r="Y6904" s="2"/>
    </row>
    <row r="6905" spans="1:25" x14ac:dyDescent="0.2">
      <c r="A6905">
        <v>2542</v>
      </c>
      <c r="B6905" t="s">
        <v>10710</v>
      </c>
      <c r="C6905" t="s">
        <v>18</v>
      </c>
      <c r="D6905" t="s">
        <v>8412</v>
      </c>
      <c r="E6905" t="s">
        <v>117</v>
      </c>
      <c r="F6905" t="s">
        <v>510</v>
      </c>
      <c r="G6905" t="s">
        <v>1406</v>
      </c>
      <c r="J6905" t="b">
        <v>1</v>
      </c>
      <c r="K6905" t="b">
        <v>1</v>
      </c>
      <c r="L6905" t="b">
        <v>1</v>
      </c>
      <c r="M6905" t="str">
        <f>HYPERLINK("https://arizona.app.box.com/file/389264489874")</f>
        <v>https://arizona.app.box.com/file/389264489874</v>
      </c>
      <c r="N6905" t="str">
        <f>HYPERLINK("https://arizona.app.box.com/file/389165671339")</f>
        <v>https://arizona.app.box.com/file/389165671339</v>
      </c>
    </row>
    <row r="6906" spans="1:25" x14ac:dyDescent="0.2">
      <c r="A6906">
        <v>2543</v>
      </c>
      <c r="B6906" t="s">
        <v>10710</v>
      </c>
      <c r="C6906" t="s">
        <v>18</v>
      </c>
      <c r="D6906" t="s">
        <v>10712</v>
      </c>
      <c r="E6906" t="s">
        <v>163</v>
      </c>
      <c r="F6906" t="s">
        <v>510</v>
      </c>
      <c r="G6906" t="s">
        <v>1406</v>
      </c>
      <c r="J6906" t="b">
        <v>1</v>
      </c>
      <c r="K6906" t="b">
        <v>1</v>
      </c>
      <c r="L6906" t="b">
        <v>1</v>
      </c>
      <c r="M6906" t="str">
        <f>HYPERLINK("https://arizona.app.box.com/file/389261841456")</f>
        <v>https://arizona.app.box.com/file/389261841456</v>
      </c>
      <c r="N6906" t="str">
        <f>HYPERLINK("https://arizona.app.box.com/file/389146324117")</f>
        <v>https://arizona.app.box.com/file/389146324117</v>
      </c>
    </row>
    <row r="6907" spans="1:25" x14ac:dyDescent="0.2">
      <c r="A6907">
        <v>2544</v>
      </c>
      <c r="B6907" t="s">
        <v>10710</v>
      </c>
      <c r="C6907" t="s">
        <v>18</v>
      </c>
      <c r="D6907" t="s">
        <v>3961</v>
      </c>
      <c r="E6907" t="s">
        <v>3962</v>
      </c>
      <c r="F6907" t="s">
        <v>456</v>
      </c>
      <c r="G6907" t="s">
        <v>1406</v>
      </c>
      <c r="J6907" t="b">
        <v>0</v>
      </c>
      <c r="K6907" t="b">
        <v>0</v>
      </c>
      <c r="L6907" t="b">
        <v>0</v>
      </c>
      <c r="M6907" t="str">
        <f>HYPERLINK("https://arizona.app.box.com/file/389262469258")</f>
        <v>https://arizona.app.box.com/file/389262469258</v>
      </c>
      <c r="N6907" t="str">
        <f>HYPERLINK("https://arizona.app.box.com/file/389161568144")</f>
        <v>https://arizona.app.box.com/file/389161568144</v>
      </c>
      <c r="O6907" t="str">
        <f>HYPERLINK("https://arizona.app.box.com/file/389263327802")</f>
        <v>https://arizona.app.box.com/file/389263327802</v>
      </c>
      <c r="P6907" t="str">
        <f>HYPERLINK("https://arizona.app.box.com/file/389168232799")</f>
        <v>https://arizona.app.box.com/file/389168232799</v>
      </c>
    </row>
    <row r="6908" spans="1:25" x14ac:dyDescent="0.2">
      <c r="A6908">
        <v>2545</v>
      </c>
      <c r="B6908" t="s">
        <v>10710</v>
      </c>
      <c r="C6908" t="s">
        <v>18</v>
      </c>
      <c r="D6908" t="s">
        <v>3944</v>
      </c>
      <c r="E6908" t="s">
        <v>3945</v>
      </c>
      <c r="F6908" t="s">
        <v>574</v>
      </c>
      <c r="G6908" t="s">
        <v>1406</v>
      </c>
      <c r="J6908" t="b">
        <v>0</v>
      </c>
      <c r="K6908" t="b">
        <v>0</v>
      </c>
      <c r="L6908" t="b">
        <v>0</v>
      </c>
      <c r="M6908" t="str">
        <f>HYPERLINK("https://arizona.app.box.com/file/389263371787")</f>
        <v>https://arizona.app.box.com/file/389263371787</v>
      </c>
      <c r="N6908" t="str">
        <f>HYPERLINK("https://arizona.app.box.com/file/389167100255")</f>
        <v>https://arizona.app.box.com/file/389167100255</v>
      </c>
    </row>
    <row r="6909" spans="1:25" x14ac:dyDescent="0.2">
      <c r="A6909">
        <v>2546</v>
      </c>
      <c r="B6909" t="s">
        <v>10710</v>
      </c>
      <c r="C6909" t="s">
        <v>18</v>
      </c>
      <c r="D6909" t="s">
        <v>10713</v>
      </c>
      <c r="E6909" t="s">
        <v>10714</v>
      </c>
      <c r="F6909" t="s">
        <v>144</v>
      </c>
      <c r="G6909" t="s">
        <v>1406</v>
      </c>
      <c r="J6909" t="b">
        <v>0</v>
      </c>
      <c r="K6909" t="b">
        <v>0</v>
      </c>
      <c r="L6909" t="b">
        <v>0</v>
      </c>
      <c r="M6909" t="str">
        <f>HYPERLINK("https://arizona.app.box.com/file/389264664430")</f>
        <v>https://arizona.app.box.com/file/389264664430</v>
      </c>
      <c r="N6909" t="str">
        <f>HYPERLINK("https://arizona.app.box.com/file/389169529360")</f>
        <v>https://arizona.app.box.com/file/389169529360</v>
      </c>
    </row>
    <row r="6911" spans="1:25" x14ac:dyDescent="0.2">
      <c r="A6911" s="2">
        <v>2548</v>
      </c>
      <c r="B6911" s="2" t="s">
        <v>10715</v>
      </c>
      <c r="C6911" s="2" t="s">
        <v>13</v>
      </c>
      <c r="D6911" s="2" t="s">
        <v>10716</v>
      </c>
      <c r="E6911" s="2" t="s">
        <v>10717</v>
      </c>
      <c r="F6911" s="2" t="s">
        <v>574</v>
      </c>
      <c r="G6911" s="2" t="s">
        <v>1405</v>
      </c>
      <c r="H6911" s="2"/>
      <c r="I6911" s="2"/>
      <c r="J6911" s="2"/>
      <c r="K6911" s="2"/>
      <c r="L6911" s="2"/>
      <c r="M6911" s="2"/>
      <c r="N6911" s="2"/>
      <c r="O6911" s="2"/>
      <c r="P6911" s="2"/>
      <c r="Q6911" s="2"/>
      <c r="R6911" s="2"/>
      <c r="S6911" s="2"/>
      <c r="T6911" s="2"/>
      <c r="U6911" s="2"/>
      <c r="V6911" s="2"/>
      <c r="W6911" s="2"/>
      <c r="X6911" s="2"/>
      <c r="Y6911" s="2"/>
    </row>
    <row r="6912" spans="1:25" x14ac:dyDescent="0.2">
      <c r="A6912">
        <v>2549</v>
      </c>
      <c r="B6912" t="s">
        <v>10715</v>
      </c>
      <c r="C6912" t="s">
        <v>18</v>
      </c>
      <c r="D6912" t="s">
        <v>3948</v>
      </c>
      <c r="E6912" t="s">
        <v>377</v>
      </c>
      <c r="F6912" t="s">
        <v>574</v>
      </c>
      <c r="G6912" t="s">
        <v>1406</v>
      </c>
      <c r="J6912" t="b">
        <v>1</v>
      </c>
      <c r="K6912" t="b">
        <v>1</v>
      </c>
      <c r="L6912" t="b">
        <v>1</v>
      </c>
      <c r="M6912" t="str">
        <f>HYPERLINK("https://arizona.app.box.com/file/389264584178")</f>
        <v>https://arizona.app.box.com/file/389264584178</v>
      </c>
      <c r="N6912" t="str">
        <f>HYPERLINK("https://arizona.app.box.com/file/389165683737")</f>
        <v>https://arizona.app.box.com/file/389165683737</v>
      </c>
    </row>
    <row r="6913" spans="1:25" x14ac:dyDescent="0.2">
      <c r="A6913">
        <v>2550</v>
      </c>
      <c r="B6913" t="s">
        <v>10715</v>
      </c>
      <c r="C6913" t="s">
        <v>18</v>
      </c>
      <c r="D6913" t="s">
        <v>3944</v>
      </c>
      <c r="E6913" t="s">
        <v>3945</v>
      </c>
      <c r="F6913" t="s">
        <v>574</v>
      </c>
      <c r="G6913" t="s">
        <v>1406</v>
      </c>
      <c r="J6913" t="b">
        <v>1</v>
      </c>
      <c r="K6913" t="b">
        <v>1</v>
      </c>
      <c r="L6913" t="b">
        <v>1</v>
      </c>
      <c r="M6913" t="str">
        <f>HYPERLINK("https://arizona.app.box.com/file/389263371787")</f>
        <v>https://arizona.app.box.com/file/389263371787</v>
      </c>
      <c r="N6913" t="str">
        <f>HYPERLINK("https://arizona.app.box.com/file/389167100255")</f>
        <v>https://arizona.app.box.com/file/389167100255</v>
      </c>
    </row>
    <row r="6914" spans="1:25" x14ac:dyDescent="0.2">
      <c r="A6914">
        <v>2551</v>
      </c>
      <c r="B6914" t="s">
        <v>10715</v>
      </c>
      <c r="C6914" t="s">
        <v>18</v>
      </c>
      <c r="D6914" t="s">
        <v>3940</v>
      </c>
      <c r="E6914" t="s">
        <v>3941</v>
      </c>
      <c r="F6914" t="s">
        <v>717</v>
      </c>
      <c r="G6914" t="s">
        <v>1406</v>
      </c>
      <c r="J6914" t="b">
        <v>0</v>
      </c>
      <c r="K6914" t="b">
        <v>0</v>
      </c>
      <c r="L6914" t="b">
        <v>0</v>
      </c>
      <c r="M6914" t="str">
        <f>HYPERLINK("https://arizona.app.box.com/file/389268413506")</f>
        <v>https://arizona.app.box.com/file/389268413506</v>
      </c>
      <c r="N6914" t="str">
        <f>HYPERLINK("https://arizona.app.box.com/file/389160249766")</f>
        <v>https://arizona.app.box.com/file/389160249766</v>
      </c>
    </row>
    <row r="6915" spans="1:25" x14ac:dyDescent="0.2">
      <c r="A6915">
        <v>2552</v>
      </c>
      <c r="B6915" t="s">
        <v>10715</v>
      </c>
      <c r="C6915" t="s">
        <v>18</v>
      </c>
      <c r="D6915" t="s">
        <v>3936</v>
      </c>
      <c r="E6915" t="s">
        <v>2941</v>
      </c>
      <c r="F6915" t="s">
        <v>717</v>
      </c>
      <c r="G6915" t="s">
        <v>1406</v>
      </c>
      <c r="J6915" t="b">
        <v>0</v>
      </c>
      <c r="K6915" t="b">
        <v>0</v>
      </c>
      <c r="L6915" t="b">
        <v>0</v>
      </c>
      <c r="M6915" t="str">
        <f>HYPERLINK("https://arizona.app.box.com/file/389169727266")</f>
        <v>https://arizona.app.box.com/file/389169727266</v>
      </c>
      <c r="N6915" t="str">
        <f>HYPERLINK("https://arizona.app.box.com/file/386214307967")</f>
        <v>https://arizona.app.box.com/file/386214307967</v>
      </c>
    </row>
    <row r="6916" spans="1:25" x14ac:dyDescent="0.2">
      <c r="A6916">
        <v>2553</v>
      </c>
      <c r="B6916" t="s">
        <v>10715</v>
      </c>
      <c r="C6916" t="s">
        <v>18</v>
      </c>
      <c r="D6916" t="s">
        <v>3951</v>
      </c>
      <c r="E6916" t="s">
        <v>3952</v>
      </c>
      <c r="F6916" t="s">
        <v>616</v>
      </c>
      <c r="G6916" t="s">
        <v>1406</v>
      </c>
      <c r="J6916" t="b">
        <v>0</v>
      </c>
      <c r="K6916" t="b">
        <v>0</v>
      </c>
      <c r="L6916" t="b">
        <v>0</v>
      </c>
      <c r="M6916" t="str">
        <f>HYPERLINK("https://arizona.app.box.com/file/389263360895")</f>
        <v>https://arizona.app.box.com/file/389263360895</v>
      </c>
    </row>
    <row r="6918" spans="1:25" x14ac:dyDescent="0.2">
      <c r="A6918" s="2">
        <v>2583</v>
      </c>
      <c r="B6918" s="2" t="s">
        <v>10718</v>
      </c>
      <c r="C6918" s="2" t="s">
        <v>13</v>
      </c>
      <c r="D6918" s="2" t="s">
        <v>1248</v>
      </c>
      <c r="E6918" s="2" t="s">
        <v>1249</v>
      </c>
      <c r="F6918" s="2" t="s">
        <v>78</v>
      </c>
      <c r="G6918" s="2" t="s">
        <v>24</v>
      </c>
      <c r="H6918" s="2"/>
      <c r="I6918" s="2"/>
      <c r="J6918" s="2"/>
      <c r="K6918" s="2"/>
      <c r="L6918" s="2"/>
      <c r="M6918" s="2"/>
      <c r="N6918" s="2"/>
      <c r="O6918" s="2"/>
      <c r="P6918" s="2"/>
      <c r="Q6918" s="2"/>
      <c r="R6918" s="2"/>
      <c r="S6918" s="2"/>
      <c r="T6918" s="2"/>
      <c r="U6918" s="2"/>
      <c r="V6918" s="2"/>
      <c r="W6918" s="2"/>
      <c r="X6918" s="2"/>
      <c r="Y6918" s="2"/>
    </row>
    <row r="6919" spans="1:25" x14ac:dyDescent="0.2">
      <c r="A6919">
        <v>2584</v>
      </c>
      <c r="B6919" t="s">
        <v>10718</v>
      </c>
      <c r="C6919" t="s">
        <v>18</v>
      </c>
      <c r="D6919" t="s">
        <v>1248</v>
      </c>
      <c r="E6919" t="s">
        <v>1249</v>
      </c>
      <c r="F6919" t="s">
        <v>78</v>
      </c>
      <c r="G6919" t="s">
        <v>24</v>
      </c>
      <c r="J6919" t="b">
        <v>1</v>
      </c>
      <c r="K6919" t="b">
        <v>1</v>
      </c>
      <c r="L6919" t="b">
        <v>1</v>
      </c>
      <c r="M6919" t="str">
        <f>HYPERLINK("https://arizona.app.box.com/file/386239784114")</f>
        <v>https://arizona.app.box.com/file/386239784114</v>
      </c>
      <c r="N6919" t="str">
        <f>HYPERLINK("https://arizona.app.box.com/file/386234140318")</f>
        <v>https://arizona.app.box.com/file/386234140318</v>
      </c>
    </row>
    <row r="6920" spans="1:25" x14ac:dyDescent="0.2">
      <c r="A6920">
        <v>2585</v>
      </c>
      <c r="B6920" t="s">
        <v>10718</v>
      </c>
      <c r="C6920" t="s">
        <v>18</v>
      </c>
      <c r="D6920" t="s">
        <v>1252</v>
      </c>
      <c r="E6920" t="s">
        <v>1253</v>
      </c>
      <c r="F6920" t="s">
        <v>78</v>
      </c>
      <c r="G6920" t="s">
        <v>24</v>
      </c>
      <c r="J6920" t="b">
        <v>0</v>
      </c>
      <c r="K6920" t="b">
        <v>0</v>
      </c>
      <c r="L6920" t="b">
        <v>0</v>
      </c>
      <c r="M6920" t="str">
        <f>HYPERLINK("https://arizona.app.box.com/file/386246480342")</f>
        <v>https://arizona.app.box.com/file/386246480342</v>
      </c>
      <c r="N6920" t="str">
        <f>HYPERLINK("https://arizona.app.box.com/file/386217107389")</f>
        <v>https://arizona.app.box.com/file/386217107389</v>
      </c>
    </row>
    <row r="6921" spans="1:25" x14ac:dyDescent="0.2">
      <c r="A6921">
        <v>2586</v>
      </c>
      <c r="B6921" t="s">
        <v>10718</v>
      </c>
      <c r="C6921" t="s">
        <v>18</v>
      </c>
      <c r="D6921" t="s">
        <v>1244</v>
      </c>
      <c r="E6921" t="s">
        <v>1245</v>
      </c>
      <c r="F6921" t="s">
        <v>78</v>
      </c>
      <c r="G6921" t="s">
        <v>24</v>
      </c>
      <c r="J6921" t="b">
        <v>0</v>
      </c>
      <c r="K6921" t="b">
        <v>0</v>
      </c>
      <c r="L6921" t="b">
        <v>0</v>
      </c>
      <c r="M6921" t="str">
        <f>HYPERLINK("https://arizona.app.box.com/file/386245898845")</f>
        <v>https://arizona.app.box.com/file/386245898845</v>
      </c>
      <c r="N6921" t="str">
        <f>HYPERLINK("https://arizona.app.box.com/file/386242545060")</f>
        <v>https://arizona.app.box.com/file/386242545060</v>
      </c>
    </row>
    <row r="6922" spans="1:25" x14ac:dyDescent="0.2">
      <c r="A6922">
        <v>2587</v>
      </c>
      <c r="B6922" t="s">
        <v>10718</v>
      </c>
      <c r="C6922" t="s">
        <v>18</v>
      </c>
      <c r="D6922" t="s">
        <v>1258</v>
      </c>
      <c r="E6922" t="s">
        <v>1259</v>
      </c>
      <c r="F6922" t="s">
        <v>151</v>
      </c>
      <c r="G6922" t="s">
        <v>24</v>
      </c>
      <c r="J6922" t="b">
        <v>0</v>
      </c>
      <c r="K6922" t="b">
        <v>0</v>
      </c>
      <c r="L6922" t="b">
        <v>0</v>
      </c>
      <c r="M6922" t="str">
        <f>HYPERLINK("https://arizona.app.box.com/file/386241647264")</f>
        <v>https://arizona.app.box.com/file/386241647264</v>
      </c>
    </row>
    <row r="6923" spans="1:25" x14ac:dyDescent="0.2">
      <c r="A6923">
        <v>2588</v>
      </c>
      <c r="B6923" t="s">
        <v>10718</v>
      </c>
      <c r="C6923" t="s">
        <v>18</v>
      </c>
      <c r="D6923" t="s">
        <v>5957</v>
      </c>
      <c r="E6923" t="s">
        <v>5958</v>
      </c>
      <c r="F6923" t="s">
        <v>78</v>
      </c>
      <c r="G6923" t="s">
        <v>24</v>
      </c>
      <c r="J6923" t="b">
        <v>0</v>
      </c>
      <c r="K6923" t="b">
        <v>0</v>
      </c>
      <c r="L6923" t="b">
        <v>0</v>
      </c>
      <c r="M6923" t="str">
        <f>HYPERLINK("https://arizona.app.box.com/file/386217393326")</f>
        <v>https://arizona.app.box.com/file/386217393326</v>
      </c>
    </row>
    <row r="6925" spans="1:25" x14ac:dyDescent="0.2">
      <c r="A6925" s="2">
        <v>2597</v>
      </c>
      <c r="B6925" s="2" t="s">
        <v>10719</v>
      </c>
      <c r="C6925" s="2" t="s">
        <v>13</v>
      </c>
      <c r="D6925" s="2" t="s">
        <v>391</v>
      </c>
      <c r="E6925" s="2" t="s">
        <v>10720</v>
      </c>
      <c r="F6925" s="2" t="s">
        <v>78</v>
      </c>
      <c r="G6925" s="2" t="s">
        <v>17</v>
      </c>
      <c r="H6925" s="2"/>
      <c r="I6925" s="2"/>
      <c r="J6925" s="2"/>
      <c r="K6925" s="2"/>
      <c r="L6925" s="2"/>
      <c r="M6925" s="2"/>
      <c r="N6925" s="2"/>
      <c r="O6925" s="2"/>
      <c r="P6925" s="2"/>
      <c r="Q6925" s="2"/>
      <c r="R6925" s="2"/>
      <c r="S6925" s="2"/>
      <c r="T6925" s="2"/>
      <c r="U6925" s="2"/>
      <c r="V6925" s="2"/>
      <c r="W6925" s="2"/>
      <c r="X6925" s="2"/>
      <c r="Y6925" s="2"/>
    </row>
    <row r="6926" spans="1:25" x14ac:dyDescent="0.2">
      <c r="A6926">
        <v>2598</v>
      </c>
      <c r="B6926" t="s">
        <v>10719</v>
      </c>
      <c r="C6926" t="s">
        <v>18</v>
      </c>
      <c r="D6926" t="s">
        <v>391</v>
      </c>
      <c r="E6926" t="s">
        <v>392</v>
      </c>
      <c r="F6926" t="s">
        <v>78</v>
      </c>
      <c r="G6926" t="s">
        <v>17</v>
      </c>
      <c r="J6926" t="b">
        <v>1</v>
      </c>
      <c r="K6926" t="b">
        <v>1</v>
      </c>
      <c r="L6926" t="b">
        <v>1</v>
      </c>
      <c r="M6926" t="str">
        <f>HYPERLINK("https://arizona.app.box.com/file/389137483194")</f>
        <v>https://arizona.app.box.com/file/389137483194</v>
      </c>
    </row>
    <row r="6927" spans="1:25" x14ac:dyDescent="0.2">
      <c r="A6927">
        <v>2599</v>
      </c>
      <c r="B6927" t="s">
        <v>10719</v>
      </c>
      <c r="C6927" t="s">
        <v>18</v>
      </c>
      <c r="D6927" t="s">
        <v>389</v>
      </c>
      <c r="E6927" t="s">
        <v>390</v>
      </c>
      <c r="F6927" t="s">
        <v>78</v>
      </c>
      <c r="G6927" t="s">
        <v>17</v>
      </c>
      <c r="J6927" t="b">
        <v>1</v>
      </c>
      <c r="K6927" t="b">
        <v>0</v>
      </c>
      <c r="L6927" t="b">
        <v>1</v>
      </c>
      <c r="M6927" t="str">
        <f>HYPERLINK("https://arizona.app.box.com/file/389151193705")</f>
        <v>https://arizona.app.box.com/file/389151193705</v>
      </c>
    </row>
    <row r="6928" spans="1:25" x14ac:dyDescent="0.2">
      <c r="A6928">
        <v>2600</v>
      </c>
      <c r="B6928" t="s">
        <v>10719</v>
      </c>
      <c r="C6928" t="s">
        <v>18</v>
      </c>
      <c r="D6928" t="s">
        <v>393</v>
      </c>
      <c r="E6928" t="s">
        <v>394</v>
      </c>
      <c r="F6928" t="s">
        <v>78</v>
      </c>
      <c r="G6928" t="s">
        <v>17</v>
      </c>
      <c r="J6928" t="b">
        <v>0</v>
      </c>
      <c r="K6928" t="b">
        <v>0</v>
      </c>
      <c r="L6928" t="b">
        <v>0</v>
      </c>
      <c r="M6928" t="str">
        <f>HYPERLINK("https://arizona.app.box.com/file/389150068222")</f>
        <v>https://arizona.app.box.com/file/389150068222</v>
      </c>
      <c r="N6928" t="str">
        <f>HYPERLINK("https://arizona.app.box.com/file/386270528787")</f>
        <v>https://arizona.app.box.com/file/386270528787</v>
      </c>
    </row>
    <row r="6929" spans="1:25" x14ac:dyDescent="0.2">
      <c r="A6929">
        <v>2601</v>
      </c>
      <c r="B6929" t="s">
        <v>10719</v>
      </c>
      <c r="C6929" t="s">
        <v>18</v>
      </c>
      <c r="D6929" t="s">
        <v>10721</v>
      </c>
      <c r="E6929" t="s">
        <v>10722</v>
      </c>
      <c r="F6929" t="s">
        <v>78</v>
      </c>
      <c r="G6929" t="s">
        <v>17</v>
      </c>
      <c r="J6929" t="b">
        <v>0</v>
      </c>
      <c r="K6929" t="b">
        <v>0</v>
      </c>
      <c r="L6929" t="b">
        <v>0</v>
      </c>
      <c r="M6929" t="str">
        <f>HYPERLINK("https://arizona.app.box.com/file/386251619249")</f>
        <v>https://arizona.app.box.com/file/386251619249</v>
      </c>
    </row>
    <row r="6930" spans="1:25" x14ac:dyDescent="0.2">
      <c r="A6930">
        <v>2602</v>
      </c>
      <c r="B6930" t="s">
        <v>10719</v>
      </c>
      <c r="C6930" t="s">
        <v>18</v>
      </c>
      <c r="D6930" t="s">
        <v>7660</v>
      </c>
      <c r="E6930" t="s">
        <v>7661</v>
      </c>
      <c r="F6930" t="s">
        <v>78</v>
      </c>
      <c r="G6930" t="s">
        <v>17</v>
      </c>
      <c r="J6930" t="b">
        <v>0</v>
      </c>
      <c r="K6930" t="b">
        <v>0</v>
      </c>
      <c r="L6930" t="b">
        <v>0</v>
      </c>
    </row>
    <row r="6932" spans="1:25" x14ac:dyDescent="0.2">
      <c r="A6932" s="2">
        <v>2625</v>
      </c>
      <c r="B6932" s="2" t="s">
        <v>10723</v>
      </c>
      <c r="C6932" s="2" t="s">
        <v>13</v>
      </c>
      <c r="D6932" s="2" t="s">
        <v>10724</v>
      </c>
      <c r="E6932" s="2" t="s">
        <v>10725</v>
      </c>
      <c r="F6932" s="2" t="s">
        <v>159</v>
      </c>
      <c r="G6932" s="2" t="s">
        <v>9081</v>
      </c>
      <c r="H6932" s="2"/>
      <c r="I6932" s="2"/>
      <c r="J6932" s="2"/>
      <c r="K6932" s="2"/>
      <c r="L6932" s="2"/>
      <c r="M6932" s="2"/>
      <c r="N6932" s="2"/>
      <c r="O6932" s="2"/>
      <c r="P6932" s="2"/>
      <c r="Q6932" s="2"/>
      <c r="R6932" s="2"/>
      <c r="S6932" s="2"/>
      <c r="T6932" s="2"/>
      <c r="U6932" s="2"/>
      <c r="V6932" s="2"/>
      <c r="W6932" s="2"/>
      <c r="X6932" s="2"/>
      <c r="Y6932" s="2"/>
    </row>
    <row r="6933" spans="1:25" x14ac:dyDescent="0.2">
      <c r="A6933">
        <v>2626</v>
      </c>
      <c r="B6933" t="s">
        <v>10723</v>
      </c>
      <c r="C6933" t="s">
        <v>18</v>
      </c>
      <c r="D6933" t="s">
        <v>10724</v>
      </c>
      <c r="E6933" t="s">
        <v>10725</v>
      </c>
      <c r="F6933" t="s">
        <v>82</v>
      </c>
      <c r="G6933" t="s">
        <v>828</v>
      </c>
      <c r="J6933" t="b">
        <v>1</v>
      </c>
      <c r="K6933" t="b">
        <v>1</v>
      </c>
      <c r="L6933" t="b">
        <v>1</v>
      </c>
      <c r="M6933" t="str">
        <f>HYPERLINK("https://arizona.app.box.com/file/386265368852")</f>
        <v>https://arizona.app.box.com/file/386265368852</v>
      </c>
      <c r="N6933" t="str">
        <f>HYPERLINK("https://arizona.app.box.com/file/386240711103")</f>
        <v>https://arizona.app.box.com/file/386240711103</v>
      </c>
    </row>
    <row r="6934" spans="1:25" x14ac:dyDescent="0.2">
      <c r="A6934">
        <v>2627</v>
      </c>
      <c r="B6934" t="s">
        <v>10723</v>
      </c>
      <c r="C6934" t="s">
        <v>18</v>
      </c>
      <c r="D6934" t="s">
        <v>10726</v>
      </c>
      <c r="E6934" t="s">
        <v>10727</v>
      </c>
      <c r="F6934" t="s">
        <v>82</v>
      </c>
      <c r="G6934" t="s">
        <v>828</v>
      </c>
      <c r="J6934" t="b">
        <v>0</v>
      </c>
      <c r="K6934" t="b">
        <v>0</v>
      </c>
      <c r="L6934" t="b">
        <v>0</v>
      </c>
    </row>
    <row r="6935" spans="1:25" x14ac:dyDescent="0.2">
      <c r="A6935">
        <v>2628</v>
      </c>
      <c r="B6935" t="s">
        <v>10723</v>
      </c>
      <c r="C6935" t="s">
        <v>18</v>
      </c>
      <c r="D6935" t="s">
        <v>10728</v>
      </c>
      <c r="E6935" t="s">
        <v>10729</v>
      </c>
      <c r="F6935" t="s">
        <v>82</v>
      </c>
      <c r="G6935" t="s">
        <v>88</v>
      </c>
      <c r="J6935" t="b">
        <v>0</v>
      </c>
      <c r="K6935" t="b">
        <v>0</v>
      </c>
      <c r="L6935" t="b">
        <v>0</v>
      </c>
    </row>
    <row r="6936" spans="1:25" x14ac:dyDescent="0.2">
      <c r="A6936">
        <v>2629</v>
      </c>
      <c r="B6936" t="s">
        <v>10723</v>
      </c>
      <c r="C6936" t="s">
        <v>18</v>
      </c>
      <c r="D6936" t="s">
        <v>10730</v>
      </c>
      <c r="E6936" t="s">
        <v>10731</v>
      </c>
      <c r="F6936" t="s">
        <v>144</v>
      </c>
      <c r="G6936" t="s">
        <v>2278</v>
      </c>
      <c r="J6936" t="b">
        <v>0</v>
      </c>
      <c r="K6936" t="b">
        <v>0</v>
      </c>
      <c r="L6936" t="b">
        <v>0</v>
      </c>
    </row>
    <row r="6937" spans="1:25" x14ac:dyDescent="0.2">
      <c r="A6937">
        <v>2630</v>
      </c>
      <c r="B6937" t="s">
        <v>10723</v>
      </c>
      <c r="C6937" t="s">
        <v>18</v>
      </c>
      <c r="D6937" t="s">
        <v>10732</v>
      </c>
      <c r="E6937" t="s">
        <v>10733</v>
      </c>
      <c r="F6937" t="s">
        <v>144</v>
      </c>
      <c r="G6937" t="s">
        <v>88</v>
      </c>
      <c r="J6937" t="b">
        <v>0</v>
      </c>
      <c r="K6937" t="b">
        <v>0</v>
      </c>
      <c r="L6937" t="b">
        <v>0</v>
      </c>
    </row>
    <row r="6939" spans="1:25" x14ac:dyDescent="0.2">
      <c r="A6939" s="2">
        <v>2681</v>
      </c>
      <c r="B6939" s="2" t="s">
        <v>10734</v>
      </c>
      <c r="C6939" s="2" t="s">
        <v>13</v>
      </c>
      <c r="D6939" s="2" t="s">
        <v>10735</v>
      </c>
      <c r="E6939" s="2" t="s">
        <v>10736</v>
      </c>
      <c r="F6939" s="2" t="s">
        <v>369</v>
      </c>
      <c r="G6939" s="2" t="s">
        <v>252</v>
      </c>
      <c r="H6939" s="2"/>
      <c r="I6939" s="2"/>
      <c r="J6939" s="2"/>
      <c r="K6939" s="2"/>
      <c r="L6939" s="2"/>
      <c r="M6939" s="2"/>
      <c r="N6939" s="2"/>
      <c r="O6939" s="2"/>
      <c r="P6939" s="2"/>
      <c r="Q6939" s="2"/>
      <c r="R6939" s="2"/>
      <c r="S6939" s="2"/>
      <c r="T6939" s="2"/>
      <c r="U6939" s="2"/>
      <c r="V6939" s="2"/>
      <c r="W6939" s="2"/>
      <c r="X6939" s="2"/>
      <c r="Y6939" s="2"/>
    </row>
    <row r="6940" spans="1:25" x14ac:dyDescent="0.2">
      <c r="A6940">
        <v>2682</v>
      </c>
      <c r="B6940" t="s">
        <v>10734</v>
      </c>
      <c r="C6940" t="s">
        <v>18</v>
      </c>
      <c r="D6940" t="s">
        <v>10735</v>
      </c>
      <c r="E6940" t="s">
        <v>3058</v>
      </c>
      <c r="F6940" t="s">
        <v>369</v>
      </c>
      <c r="G6940" t="s">
        <v>252</v>
      </c>
      <c r="J6940" t="b">
        <v>1</v>
      </c>
      <c r="K6940" t="b">
        <v>1</v>
      </c>
      <c r="L6940" t="b">
        <v>1</v>
      </c>
      <c r="M6940" t="str">
        <f>HYPERLINK("https://arizona.app.box.com/file/389257003462")</f>
        <v>https://arizona.app.box.com/file/389257003462</v>
      </c>
    </row>
    <row r="6941" spans="1:25" x14ac:dyDescent="0.2">
      <c r="A6941">
        <v>2683</v>
      </c>
      <c r="B6941" t="s">
        <v>10734</v>
      </c>
      <c r="C6941" t="s">
        <v>18</v>
      </c>
      <c r="D6941" t="s">
        <v>10737</v>
      </c>
      <c r="E6941" t="s">
        <v>1732</v>
      </c>
      <c r="F6941" t="s">
        <v>369</v>
      </c>
      <c r="G6941" t="s">
        <v>252</v>
      </c>
      <c r="J6941" t="b">
        <v>1</v>
      </c>
      <c r="K6941" t="b">
        <v>1</v>
      </c>
      <c r="L6941" t="b">
        <v>1</v>
      </c>
      <c r="M6941" t="str">
        <f>HYPERLINK("https://arizona.app.box.com/file/386247104471")</f>
        <v>https://arizona.app.box.com/file/386247104471</v>
      </c>
    </row>
    <row r="6942" spans="1:25" x14ac:dyDescent="0.2">
      <c r="A6942">
        <v>2684</v>
      </c>
      <c r="B6942" t="s">
        <v>10734</v>
      </c>
      <c r="C6942" t="s">
        <v>18</v>
      </c>
      <c r="D6942" t="s">
        <v>10738</v>
      </c>
      <c r="E6942" t="s">
        <v>2011</v>
      </c>
      <c r="F6942" t="s">
        <v>200</v>
      </c>
      <c r="G6942" t="s">
        <v>88</v>
      </c>
      <c r="J6942" t="b">
        <v>0</v>
      </c>
      <c r="K6942" t="b">
        <v>0</v>
      </c>
      <c r="L6942" t="b">
        <v>0</v>
      </c>
      <c r="M6942" t="str">
        <f>HYPERLINK("https://arizona.app.box.com/file/386256656095")</f>
        <v>https://arizona.app.box.com/file/386256656095</v>
      </c>
      <c r="N6942" t="str">
        <f>HYPERLINK("https://arizona.app.box.com/file/386251974103")</f>
        <v>https://arizona.app.box.com/file/386251974103</v>
      </c>
    </row>
    <row r="6943" spans="1:25" x14ac:dyDescent="0.2">
      <c r="A6943">
        <v>2685</v>
      </c>
      <c r="B6943" t="s">
        <v>10734</v>
      </c>
      <c r="C6943" t="s">
        <v>18</v>
      </c>
      <c r="D6943" t="s">
        <v>10739</v>
      </c>
      <c r="E6943" t="s">
        <v>10740</v>
      </c>
      <c r="F6943" t="s">
        <v>270</v>
      </c>
      <c r="G6943" t="s">
        <v>3688</v>
      </c>
      <c r="J6943" t="b">
        <v>0</v>
      </c>
      <c r="K6943" t="b">
        <v>0</v>
      </c>
      <c r="L6943" t="b">
        <v>0</v>
      </c>
    </row>
    <row r="6944" spans="1:25" x14ac:dyDescent="0.2">
      <c r="A6944">
        <v>2686</v>
      </c>
      <c r="B6944" t="s">
        <v>10734</v>
      </c>
      <c r="C6944" t="s">
        <v>18</v>
      </c>
      <c r="D6944" t="s">
        <v>4151</v>
      </c>
      <c r="E6944" t="s">
        <v>2082</v>
      </c>
      <c r="F6944" t="s">
        <v>205</v>
      </c>
      <c r="G6944" t="s">
        <v>62</v>
      </c>
      <c r="J6944" t="b">
        <v>0</v>
      </c>
      <c r="K6944" t="b">
        <v>0</v>
      </c>
      <c r="L6944" t="b">
        <v>0</v>
      </c>
      <c r="M6944" t="str">
        <f>HYPERLINK("https://arizona.app.box.com/file/389263527851")</f>
        <v>https://arizona.app.box.com/file/389263527851</v>
      </c>
      <c r="N6944" t="str">
        <f>HYPERLINK("https://arizona.app.box.com/file/389153629380")</f>
        <v>https://arizona.app.box.com/file/389153629380</v>
      </c>
      <c r="O6944" t="str">
        <f>HYPERLINK("https://arizona.app.box.com/file/389255700330")</f>
        <v>https://arizona.app.box.com/file/389255700330</v>
      </c>
    </row>
    <row r="6946" spans="1:25" x14ac:dyDescent="0.2">
      <c r="A6946" s="2">
        <v>273</v>
      </c>
      <c r="B6946" s="2" t="s">
        <v>10741</v>
      </c>
      <c r="C6946" s="2" t="s">
        <v>13</v>
      </c>
      <c r="D6946" s="2" t="s">
        <v>10742</v>
      </c>
      <c r="E6946" s="2" t="s">
        <v>10743</v>
      </c>
      <c r="F6946" s="2" t="s">
        <v>78</v>
      </c>
      <c r="G6946" s="2" t="s">
        <v>88</v>
      </c>
      <c r="H6946" s="2"/>
      <c r="I6946" s="2"/>
      <c r="J6946" s="2"/>
      <c r="K6946" s="2"/>
      <c r="L6946" s="2"/>
      <c r="M6946" s="2"/>
      <c r="N6946" s="2"/>
      <c r="O6946" s="2"/>
      <c r="P6946" s="2"/>
      <c r="Q6946" s="2"/>
      <c r="R6946" s="2"/>
      <c r="S6946" s="2"/>
      <c r="T6946" s="2"/>
      <c r="U6946" s="2"/>
      <c r="V6946" s="2"/>
      <c r="W6946" s="2"/>
      <c r="X6946" s="2"/>
      <c r="Y6946" s="2"/>
    </row>
    <row r="6947" spans="1:25" x14ac:dyDescent="0.2">
      <c r="A6947">
        <v>274</v>
      </c>
      <c r="B6947" t="s">
        <v>10741</v>
      </c>
      <c r="C6947" t="s">
        <v>18</v>
      </c>
      <c r="D6947" t="s">
        <v>10742</v>
      </c>
      <c r="E6947" t="s">
        <v>10646</v>
      </c>
      <c r="F6947" t="s">
        <v>78</v>
      </c>
      <c r="G6947" t="s">
        <v>88</v>
      </c>
      <c r="J6947" t="b">
        <v>1</v>
      </c>
      <c r="K6947" t="b">
        <v>1</v>
      </c>
      <c r="L6947" t="b">
        <v>1</v>
      </c>
      <c r="M6947" t="str">
        <f>HYPERLINK("https://arizona.app.box.com/file/389163500730")</f>
        <v>https://arizona.app.box.com/file/389163500730</v>
      </c>
      <c r="N6947" t="str">
        <f>HYPERLINK("https://arizona.app.box.com/file/386211761658")</f>
        <v>https://arizona.app.box.com/file/386211761658</v>
      </c>
    </row>
    <row r="6948" spans="1:25" x14ac:dyDescent="0.2">
      <c r="A6948">
        <v>275</v>
      </c>
      <c r="B6948" t="s">
        <v>10741</v>
      </c>
      <c r="C6948" t="s">
        <v>18</v>
      </c>
      <c r="D6948" t="s">
        <v>372</v>
      </c>
      <c r="E6948" t="s">
        <v>373</v>
      </c>
      <c r="F6948" t="s">
        <v>78</v>
      </c>
      <c r="G6948" t="s">
        <v>134</v>
      </c>
      <c r="J6948" t="b">
        <v>0</v>
      </c>
      <c r="K6948" t="b">
        <v>0</v>
      </c>
      <c r="L6948" t="b">
        <v>0</v>
      </c>
      <c r="M6948" t="str">
        <f>HYPERLINK("https://arizona.app.box.com/file/389166891779")</f>
        <v>https://arizona.app.box.com/file/389166891779</v>
      </c>
      <c r="N6948" t="str">
        <f>HYPERLINK("https://arizona.app.box.com/file/386241451510")</f>
        <v>https://arizona.app.box.com/file/386241451510</v>
      </c>
    </row>
    <row r="6949" spans="1:25" x14ac:dyDescent="0.2">
      <c r="A6949">
        <v>276</v>
      </c>
      <c r="B6949" t="s">
        <v>10741</v>
      </c>
      <c r="C6949" t="s">
        <v>18</v>
      </c>
      <c r="D6949" t="s">
        <v>10744</v>
      </c>
      <c r="E6949" t="s">
        <v>10745</v>
      </c>
      <c r="F6949" t="s">
        <v>144</v>
      </c>
      <c r="G6949" t="s">
        <v>88</v>
      </c>
      <c r="J6949" t="b">
        <v>0</v>
      </c>
      <c r="K6949" t="b">
        <v>0</v>
      </c>
      <c r="L6949" t="b">
        <v>0</v>
      </c>
      <c r="M6949" t="str">
        <f>HYPERLINK("https://arizona.app.box.com/file/389166047290")</f>
        <v>https://arizona.app.box.com/file/389166047290</v>
      </c>
      <c r="N6949" t="str">
        <f>HYPERLINK("https://arizona.app.box.com/file/386238022849")</f>
        <v>https://arizona.app.box.com/file/386238022849</v>
      </c>
    </row>
    <row r="6950" spans="1:25" x14ac:dyDescent="0.2">
      <c r="A6950">
        <v>277</v>
      </c>
      <c r="B6950" t="s">
        <v>10741</v>
      </c>
      <c r="C6950" t="s">
        <v>18</v>
      </c>
      <c r="D6950" t="s">
        <v>4258</v>
      </c>
      <c r="E6950" t="s">
        <v>4259</v>
      </c>
      <c r="F6950" t="s">
        <v>78</v>
      </c>
      <c r="G6950" t="s">
        <v>88</v>
      </c>
      <c r="J6950" t="b">
        <v>0</v>
      </c>
      <c r="K6950" t="b">
        <v>0</v>
      </c>
      <c r="L6950" t="b">
        <v>0</v>
      </c>
      <c r="M6950" t="str">
        <f>HYPERLINK("https://arizona.app.box.com/file/386243149144")</f>
        <v>https://arizona.app.box.com/file/386243149144</v>
      </c>
      <c r="N6950" t="str">
        <f>HYPERLINK("https://arizona.app.box.com/file/386241448216")</f>
        <v>https://arizona.app.box.com/file/386241448216</v>
      </c>
    </row>
    <row r="6951" spans="1:25" x14ac:dyDescent="0.2">
      <c r="A6951">
        <v>278</v>
      </c>
      <c r="B6951" t="s">
        <v>10741</v>
      </c>
      <c r="C6951" t="s">
        <v>18</v>
      </c>
      <c r="D6951" t="s">
        <v>4252</v>
      </c>
      <c r="E6951" t="s">
        <v>2918</v>
      </c>
      <c r="F6951" t="s">
        <v>78</v>
      </c>
      <c r="G6951" t="s">
        <v>88</v>
      </c>
      <c r="J6951" t="b">
        <v>0</v>
      </c>
      <c r="K6951" t="b">
        <v>0</v>
      </c>
      <c r="L6951" t="b">
        <v>0</v>
      </c>
      <c r="M6951" t="str">
        <f>HYPERLINK("https://arizona.app.box.com/file/386246907187")</f>
        <v>https://arizona.app.box.com/file/386246907187</v>
      </c>
      <c r="N6951" t="str">
        <f>HYPERLINK("https://arizona.app.box.com/file/386249950260")</f>
        <v>https://arizona.app.box.com/file/386249950260</v>
      </c>
    </row>
    <row r="6953" spans="1:25" x14ac:dyDescent="0.2">
      <c r="A6953" s="2">
        <v>2751</v>
      </c>
      <c r="B6953" s="2" t="s">
        <v>10746</v>
      </c>
      <c r="C6953" s="2" t="s">
        <v>13</v>
      </c>
      <c r="D6953" s="2" t="s">
        <v>10747</v>
      </c>
      <c r="E6953" s="2" t="s">
        <v>10748</v>
      </c>
      <c r="F6953" s="2" t="s">
        <v>31</v>
      </c>
      <c r="G6953" s="2" t="s">
        <v>17</v>
      </c>
      <c r="H6953" s="2"/>
      <c r="I6953" s="2"/>
      <c r="J6953" s="2"/>
      <c r="K6953" s="2"/>
      <c r="L6953" s="2"/>
      <c r="M6953" s="2"/>
      <c r="N6953" s="2"/>
      <c r="O6953" s="2"/>
      <c r="P6953" s="2"/>
      <c r="Q6953" s="2"/>
      <c r="R6953" s="2"/>
      <c r="S6953" s="2"/>
      <c r="T6953" s="2"/>
      <c r="U6953" s="2"/>
      <c r="V6953" s="2"/>
      <c r="W6953" s="2"/>
      <c r="X6953" s="2"/>
      <c r="Y6953" s="2"/>
    </row>
    <row r="6954" spans="1:25" x14ac:dyDescent="0.2">
      <c r="A6954">
        <v>2752</v>
      </c>
      <c r="B6954" t="s">
        <v>10746</v>
      </c>
      <c r="C6954" t="s">
        <v>18</v>
      </c>
      <c r="D6954" t="s">
        <v>10747</v>
      </c>
      <c r="E6954" t="s">
        <v>3501</v>
      </c>
      <c r="F6954" t="s">
        <v>31</v>
      </c>
      <c r="G6954" t="s">
        <v>17</v>
      </c>
      <c r="J6954" t="b">
        <v>1</v>
      </c>
      <c r="K6954" t="b">
        <v>1</v>
      </c>
      <c r="L6954" t="b">
        <v>1</v>
      </c>
      <c r="M6954" t="str">
        <f>HYPERLINK("https://arizona.app.box.com/file/389264609770")</f>
        <v>https://arizona.app.box.com/file/389264609770</v>
      </c>
      <c r="N6954" t="str">
        <f>HYPERLINK("https://arizona.app.box.com/file/389172383639")</f>
        <v>https://arizona.app.box.com/file/389172383639</v>
      </c>
    </row>
    <row r="6955" spans="1:25" x14ac:dyDescent="0.2">
      <c r="A6955">
        <v>2753</v>
      </c>
      <c r="B6955" t="s">
        <v>10746</v>
      </c>
      <c r="C6955" t="s">
        <v>18</v>
      </c>
      <c r="D6955" t="s">
        <v>10749</v>
      </c>
      <c r="E6955" t="s">
        <v>1721</v>
      </c>
      <c r="F6955" t="s">
        <v>31</v>
      </c>
      <c r="G6955" t="s">
        <v>17</v>
      </c>
      <c r="J6955" t="b">
        <v>1</v>
      </c>
      <c r="K6955" t="b">
        <v>1</v>
      </c>
      <c r="L6955" t="b">
        <v>1</v>
      </c>
      <c r="M6955" t="str">
        <f>HYPERLINK("https://arizona.app.box.com/file/389166612989")</f>
        <v>https://arizona.app.box.com/file/389166612989</v>
      </c>
    </row>
    <row r="6956" spans="1:25" x14ac:dyDescent="0.2">
      <c r="A6956">
        <v>2754</v>
      </c>
      <c r="B6956" t="s">
        <v>10746</v>
      </c>
      <c r="C6956" t="s">
        <v>18</v>
      </c>
      <c r="D6956" t="s">
        <v>10750</v>
      </c>
      <c r="E6956" t="s">
        <v>2830</v>
      </c>
      <c r="F6956" t="s">
        <v>31</v>
      </c>
      <c r="G6956" t="s">
        <v>17</v>
      </c>
      <c r="J6956" t="b">
        <v>1</v>
      </c>
      <c r="K6956" t="b">
        <v>0</v>
      </c>
      <c r="L6956" t="b">
        <v>0</v>
      </c>
      <c r="M6956" t="str">
        <f>HYPERLINK("https://arizona.app.box.com/file/389256718275")</f>
        <v>https://arizona.app.box.com/file/389256718275</v>
      </c>
      <c r="N6956" t="str">
        <f>HYPERLINK("https://arizona.app.box.com/file/389171584919")</f>
        <v>https://arizona.app.box.com/file/389171584919</v>
      </c>
    </row>
    <row r="6957" spans="1:25" x14ac:dyDescent="0.2">
      <c r="A6957">
        <v>2755</v>
      </c>
      <c r="B6957" t="s">
        <v>10746</v>
      </c>
      <c r="C6957" t="s">
        <v>18</v>
      </c>
      <c r="D6957" t="s">
        <v>10751</v>
      </c>
      <c r="E6957" t="s">
        <v>5498</v>
      </c>
      <c r="F6957" t="s">
        <v>16</v>
      </c>
      <c r="G6957" t="s">
        <v>17</v>
      </c>
      <c r="J6957" t="b">
        <v>0</v>
      </c>
      <c r="K6957" t="b">
        <v>0</v>
      </c>
      <c r="L6957" t="b">
        <v>0</v>
      </c>
      <c r="M6957" t="str">
        <f>HYPERLINK("https://arizona.app.box.com/file/389166228911")</f>
        <v>https://arizona.app.box.com/file/389166228911</v>
      </c>
    </row>
    <row r="6958" spans="1:25" x14ac:dyDescent="0.2">
      <c r="A6958">
        <v>2756</v>
      </c>
      <c r="B6958" t="s">
        <v>10746</v>
      </c>
      <c r="C6958" t="s">
        <v>18</v>
      </c>
      <c r="D6958" t="s">
        <v>10557</v>
      </c>
      <c r="E6958" t="s">
        <v>9681</v>
      </c>
      <c r="F6958" t="s">
        <v>31</v>
      </c>
      <c r="G6958" t="s">
        <v>17</v>
      </c>
      <c r="J6958" t="b">
        <v>0</v>
      </c>
      <c r="K6958" t="b">
        <v>0</v>
      </c>
      <c r="L6958" t="b">
        <v>0</v>
      </c>
    </row>
    <row r="6960" spans="1:25" x14ac:dyDescent="0.2">
      <c r="A6960" s="2">
        <v>2758</v>
      </c>
      <c r="B6960" s="2" t="s">
        <v>10752</v>
      </c>
      <c r="C6960" s="2" t="s">
        <v>13</v>
      </c>
      <c r="D6960" s="2" t="s">
        <v>10753</v>
      </c>
      <c r="E6960" s="2" t="s">
        <v>10754</v>
      </c>
      <c r="F6960" s="2" t="s">
        <v>78</v>
      </c>
      <c r="G6960" s="2" t="s">
        <v>17</v>
      </c>
      <c r="H6960" s="2"/>
      <c r="I6960" s="2"/>
      <c r="J6960" s="2"/>
      <c r="K6960" s="2"/>
      <c r="L6960" s="2"/>
      <c r="M6960" s="2"/>
      <c r="N6960" s="2"/>
      <c r="O6960" s="2"/>
      <c r="P6960" s="2"/>
      <c r="Q6960" s="2"/>
      <c r="R6960" s="2"/>
      <c r="S6960" s="2"/>
      <c r="T6960" s="2"/>
      <c r="U6960" s="2"/>
      <c r="V6960" s="2"/>
      <c r="W6960" s="2"/>
      <c r="X6960" s="2"/>
      <c r="Y6960" s="2"/>
    </row>
    <row r="6961" spans="1:25" x14ac:dyDescent="0.2">
      <c r="A6961">
        <v>2759</v>
      </c>
      <c r="B6961" t="s">
        <v>10752</v>
      </c>
      <c r="C6961" t="s">
        <v>18</v>
      </c>
      <c r="D6961" t="s">
        <v>10753</v>
      </c>
      <c r="E6961" t="s">
        <v>10755</v>
      </c>
      <c r="F6961" t="s">
        <v>78</v>
      </c>
      <c r="G6961" t="s">
        <v>17</v>
      </c>
      <c r="J6961" t="b">
        <v>1</v>
      </c>
      <c r="K6961" t="b">
        <v>1</v>
      </c>
      <c r="L6961" t="b">
        <v>1</v>
      </c>
      <c r="M6961" t="str">
        <f>HYPERLINK("https://arizona.app.box.com/file/389258146850")</f>
        <v>https://arizona.app.box.com/file/389258146850</v>
      </c>
      <c r="N6961" t="str">
        <f>HYPERLINK("https://arizona.app.box.com/file/389166685507")</f>
        <v>https://arizona.app.box.com/file/389166685507</v>
      </c>
    </row>
    <row r="6962" spans="1:25" x14ac:dyDescent="0.2">
      <c r="A6962">
        <v>2760</v>
      </c>
      <c r="B6962" t="s">
        <v>10752</v>
      </c>
      <c r="C6962" t="s">
        <v>18</v>
      </c>
      <c r="D6962" t="s">
        <v>6265</v>
      </c>
      <c r="E6962" t="s">
        <v>6017</v>
      </c>
      <c r="F6962" t="s">
        <v>122</v>
      </c>
      <c r="G6962" t="s">
        <v>24</v>
      </c>
      <c r="J6962" t="b">
        <v>0</v>
      </c>
      <c r="K6962" t="b">
        <v>0</v>
      </c>
      <c r="L6962" t="b">
        <v>0</v>
      </c>
      <c r="M6962" t="str">
        <f>HYPERLINK("https://arizona.app.box.com/file/389162922391")</f>
        <v>https://arizona.app.box.com/file/389162922391</v>
      </c>
    </row>
    <row r="6963" spans="1:25" x14ac:dyDescent="0.2">
      <c r="A6963">
        <v>2761</v>
      </c>
      <c r="B6963" t="s">
        <v>10752</v>
      </c>
      <c r="C6963" t="s">
        <v>18</v>
      </c>
      <c r="D6963" t="s">
        <v>1829</v>
      </c>
      <c r="E6963" t="s">
        <v>19</v>
      </c>
      <c r="F6963" t="s">
        <v>16</v>
      </c>
      <c r="G6963" t="s">
        <v>24</v>
      </c>
      <c r="J6963" t="b">
        <v>0</v>
      </c>
      <c r="K6963" t="b">
        <v>0</v>
      </c>
      <c r="L6963" t="b">
        <v>0</v>
      </c>
      <c r="M6963" t="str">
        <f>HYPERLINK("https://arizona.app.box.com/file/389162456287")</f>
        <v>https://arizona.app.box.com/file/389162456287</v>
      </c>
    </row>
    <row r="6964" spans="1:25" x14ac:dyDescent="0.2">
      <c r="A6964">
        <v>2762</v>
      </c>
      <c r="B6964" t="s">
        <v>10752</v>
      </c>
      <c r="C6964" t="s">
        <v>18</v>
      </c>
      <c r="D6964" t="s">
        <v>6263</v>
      </c>
      <c r="E6964" t="s">
        <v>381</v>
      </c>
      <c r="F6964" t="s">
        <v>196</v>
      </c>
      <c r="G6964" t="s">
        <v>24</v>
      </c>
      <c r="J6964" t="b">
        <v>0</v>
      </c>
      <c r="K6964" t="b">
        <v>0</v>
      </c>
      <c r="L6964" t="b">
        <v>0</v>
      </c>
      <c r="M6964" t="str">
        <f>HYPERLINK("https://arizona.app.box.com/file/389154183585")</f>
        <v>https://arizona.app.box.com/file/389154183585</v>
      </c>
    </row>
    <row r="6965" spans="1:25" x14ac:dyDescent="0.2">
      <c r="A6965">
        <v>2763</v>
      </c>
      <c r="B6965" t="s">
        <v>10752</v>
      </c>
      <c r="C6965" t="s">
        <v>18</v>
      </c>
      <c r="D6965" t="s">
        <v>10756</v>
      </c>
      <c r="E6965" t="s">
        <v>8380</v>
      </c>
      <c r="F6965" t="s">
        <v>168</v>
      </c>
      <c r="G6965" t="s">
        <v>24</v>
      </c>
      <c r="J6965" t="b">
        <v>0</v>
      </c>
      <c r="K6965" t="b">
        <v>0</v>
      </c>
      <c r="L6965" t="b">
        <v>0</v>
      </c>
      <c r="M6965" t="str">
        <f>HYPERLINK("https://arizona.app.box.com/file/389177697890")</f>
        <v>https://arizona.app.box.com/file/389177697890</v>
      </c>
      <c r="N6965" t="str">
        <f>HYPERLINK("https://arizona.app.box.com/file/386226794110")</f>
        <v>https://arizona.app.box.com/file/386226794110</v>
      </c>
    </row>
    <row r="6967" spans="1:25" x14ac:dyDescent="0.2">
      <c r="A6967" s="2">
        <v>2765</v>
      </c>
      <c r="B6967" s="2" t="s">
        <v>10757</v>
      </c>
      <c r="C6967" s="2" t="s">
        <v>13</v>
      </c>
      <c r="D6967" s="2" t="s">
        <v>4197</v>
      </c>
      <c r="E6967" s="2" t="s">
        <v>9238</v>
      </c>
      <c r="F6967" s="2" t="s">
        <v>174</v>
      </c>
      <c r="G6967" s="2" t="s">
        <v>17</v>
      </c>
      <c r="H6967" s="2"/>
      <c r="I6967" s="2"/>
      <c r="J6967" s="2"/>
      <c r="K6967" s="2"/>
      <c r="L6967" s="2"/>
      <c r="M6967" s="2"/>
      <c r="N6967" s="2"/>
      <c r="O6967" s="2"/>
      <c r="P6967" s="2"/>
      <c r="Q6967" s="2"/>
      <c r="R6967" s="2"/>
      <c r="S6967" s="2"/>
      <c r="T6967" s="2"/>
      <c r="U6967" s="2"/>
      <c r="V6967" s="2"/>
      <c r="W6967" s="2"/>
      <c r="X6967" s="2"/>
      <c r="Y6967" s="2"/>
    </row>
    <row r="6968" spans="1:25" x14ac:dyDescent="0.2">
      <c r="A6968">
        <v>2766</v>
      </c>
      <c r="B6968" t="s">
        <v>10757</v>
      </c>
      <c r="C6968" t="s">
        <v>18</v>
      </c>
      <c r="D6968" t="s">
        <v>4197</v>
      </c>
      <c r="E6968" t="s">
        <v>1789</v>
      </c>
      <c r="F6968" t="s">
        <v>174</v>
      </c>
      <c r="G6968" t="s">
        <v>17</v>
      </c>
      <c r="J6968" t="b">
        <v>1</v>
      </c>
      <c r="K6968" t="b">
        <v>1</v>
      </c>
      <c r="L6968" t="b">
        <v>1</v>
      </c>
      <c r="M6968" t="str">
        <f>HYPERLINK("https://arizona.app.box.com/file/389170642136")</f>
        <v>https://arizona.app.box.com/file/389170642136</v>
      </c>
      <c r="N6968" t="str">
        <f>HYPERLINK("https://arizona.app.box.com/file/386239372641")</f>
        <v>https://arizona.app.box.com/file/386239372641</v>
      </c>
    </row>
    <row r="6969" spans="1:25" x14ac:dyDescent="0.2">
      <c r="A6969">
        <v>2767</v>
      </c>
      <c r="B6969" t="s">
        <v>10757</v>
      </c>
      <c r="C6969" t="s">
        <v>18</v>
      </c>
      <c r="D6969" t="s">
        <v>4203</v>
      </c>
      <c r="E6969" t="s">
        <v>4204</v>
      </c>
      <c r="F6969" t="s">
        <v>16</v>
      </c>
      <c r="G6969" t="s">
        <v>17</v>
      </c>
      <c r="J6969" t="b">
        <v>0</v>
      </c>
      <c r="K6969" t="b">
        <v>0</v>
      </c>
      <c r="L6969" t="b">
        <v>0</v>
      </c>
      <c r="M6969" t="str">
        <f>HYPERLINK("https://arizona.app.box.com/file/389170763061")</f>
        <v>https://arizona.app.box.com/file/389170763061</v>
      </c>
      <c r="N6969" t="str">
        <f>HYPERLINK("https://arizona.app.box.com/file/386239001587")</f>
        <v>https://arizona.app.box.com/file/386239001587</v>
      </c>
    </row>
    <row r="6970" spans="1:25" x14ac:dyDescent="0.2">
      <c r="A6970">
        <v>2768</v>
      </c>
      <c r="B6970" t="s">
        <v>10757</v>
      </c>
      <c r="C6970" t="s">
        <v>18</v>
      </c>
      <c r="D6970" t="s">
        <v>4190</v>
      </c>
      <c r="E6970" t="s">
        <v>4191</v>
      </c>
      <c r="F6970" t="s">
        <v>122</v>
      </c>
      <c r="G6970" t="s">
        <v>4192</v>
      </c>
      <c r="J6970" t="b">
        <v>0</v>
      </c>
      <c r="K6970" t="b">
        <v>0</v>
      </c>
      <c r="L6970" t="b">
        <v>0</v>
      </c>
      <c r="M6970" t="str">
        <f>HYPERLINK("https://arizona.app.box.com/file/389260715601")</f>
        <v>https://arizona.app.box.com/file/389260715601</v>
      </c>
      <c r="N6970" t="str">
        <f>HYPERLINK("https://arizona.app.box.com/file/389166283125")</f>
        <v>https://arizona.app.box.com/file/389166283125</v>
      </c>
      <c r="O6970" t="str">
        <f>HYPERLINK("https://arizona.app.box.com/file/389262841081")</f>
        <v>https://arizona.app.box.com/file/389262841081</v>
      </c>
      <c r="P6970" t="str">
        <f>HYPERLINK("https://arizona.app.box.com/file/389152014559")</f>
        <v>https://arizona.app.box.com/file/389152014559</v>
      </c>
    </row>
    <row r="6971" spans="1:25" x14ac:dyDescent="0.2">
      <c r="A6971">
        <v>2769</v>
      </c>
      <c r="B6971" t="s">
        <v>10757</v>
      </c>
      <c r="C6971" t="s">
        <v>18</v>
      </c>
      <c r="D6971" t="s">
        <v>10758</v>
      </c>
      <c r="E6971" t="s">
        <v>10759</v>
      </c>
      <c r="F6971" t="s">
        <v>82</v>
      </c>
      <c r="G6971" t="s">
        <v>17</v>
      </c>
      <c r="J6971" t="b">
        <v>0</v>
      </c>
      <c r="K6971" t="b">
        <v>0</v>
      </c>
      <c r="L6971" t="b">
        <v>0</v>
      </c>
    </row>
    <row r="6972" spans="1:25" x14ac:dyDescent="0.2">
      <c r="A6972">
        <v>2770</v>
      </c>
      <c r="B6972" t="s">
        <v>10757</v>
      </c>
      <c r="C6972" t="s">
        <v>18</v>
      </c>
      <c r="D6972" t="s">
        <v>4212</v>
      </c>
      <c r="E6972" t="s">
        <v>4214</v>
      </c>
      <c r="F6972" t="s">
        <v>78</v>
      </c>
      <c r="G6972" t="s">
        <v>17</v>
      </c>
      <c r="J6972" t="b">
        <v>0</v>
      </c>
      <c r="K6972" t="b">
        <v>0</v>
      </c>
      <c r="L6972" t="b">
        <v>0</v>
      </c>
      <c r="M6972" t="str">
        <f>HYPERLINK("https://arizona.app.box.com/file/389264601663")</f>
        <v>https://arizona.app.box.com/file/389264601663</v>
      </c>
      <c r="N6972" t="str">
        <f>HYPERLINK("https://arizona.app.box.com/file/389166490484")</f>
        <v>https://arizona.app.box.com/file/389166490484</v>
      </c>
      <c r="O6972" t="str">
        <f>HYPERLINK("https://arizona.app.box.com/file/389172371236")</f>
        <v>https://arizona.app.box.com/file/389172371236</v>
      </c>
    </row>
    <row r="6974" spans="1:25" x14ac:dyDescent="0.2">
      <c r="A6974" s="2">
        <v>28</v>
      </c>
      <c r="B6974" s="2" t="s">
        <v>10760</v>
      </c>
      <c r="C6974" s="2" t="s">
        <v>13</v>
      </c>
      <c r="D6974" s="2" t="s">
        <v>10645</v>
      </c>
      <c r="E6974" s="2" t="s">
        <v>10761</v>
      </c>
      <c r="F6974" s="2" t="s">
        <v>260</v>
      </c>
      <c r="G6974" s="2" t="s">
        <v>17</v>
      </c>
      <c r="H6974" s="2"/>
      <c r="I6974" s="2"/>
      <c r="J6974" s="2"/>
      <c r="K6974" s="2"/>
      <c r="L6974" s="2"/>
      <c r="M6974" s="2"/>
      <c r="N6974" s="2"/>
      <c r="O6974" s="2"/>
      <c r="P6974" s="2"/>
      <c r="Q6974" s="2"/>
      <c r="R6974" s="2"/>
      <c r="S6974" s="2"/>
      <c r="T6974" s="2"/>
      <c r="U6974" s="2"/>
      <c r="V6974" s="2"/>
      <c r="W6974" s="2"/>
      <c r="X6974" s="2"/>
      <c r="Y6974" s="2"/>
    </row>
    <row r="6975" spans="1:25" x14ac:dyDescent="0.2">
      <c r="A6975">
        <v>29</v>
      </c>
      <c r="B6975" t="s">
        <v>10760</v>
      </c>
      <c r="C6975" t="s">
        <v>18</v>
      </c>
      <c r="D6975" t="s">
        <v>10645</v>
      </c>
      <c r="E6975" t="s">
        <v>10646</v>
      </c>
      <c r="F6975" t="s">
        <v>260</v>
      </c>
      <c r="G6975" t="s">
        <v>17</v>
      </c>
      <c r="J6975" t="b">
        <v>1</v>
      </c>
      <c r="K6975" t="b">
        <v>1</v>
      </c>
      <c r="L6975" t="b">
        <v>1</v>
      </c>
      <c r="M6975" t="str">
        <f>HYPERLINK("https://arizona.app.box.com/file/389172916987")</f>
        <v>https://arizona.app.box.com/file/389172916987</v>
      </c>
      <c r="N6975" t="str">
        <f>HYPERLINK("https://arizona.app.box.com/file/386230829740")</f>
        <v>https://arizona.app.box.com/file/386230829740</v>
      </c>
    </row>
    <row r="6976" spans="1:25" x14ac:dyDescent="0.2">
      <c r="A6976">
        <v>30</v>
      </c>
      <c r="B6976" t="s">
        <v>10760</v>
      </c>
      <c r="C6976" t="s">
        <v>18</v>
      </c>
      <c r="D6976" t="s">
        <v>2623</v>
      </c>
      <c r="E6976" t="s">
        <v>2624</v>
      </c>
      <c r="F6976" t="s">
        <v>260</v>
      </c>
      <c r="G6976" t="s">
        <v>17</v>
      </c>
      <c r="J6976" t="b">
        <v>0</v>
      </c>
      <c r="K6976" t="b">
        <v>0</v>
      </c>
      <c r="L6976" t="b">
        <v>0</v>
      </c>
      <c r="M6976" t="str">
        <f>HYPERLINK("https://arizona.app.box.com/file/386266156440")</f>
        <v>https://arizona.app.box.com/file/386266156440</v>
      </c>
      <c r="N6976" t="str">
        <f>HYPERLINK("https://arizona.app.box.com/file/386241113911")</f>
        <v>https://arizona.app.box.com/file/386241113911</v>
      </c>
    </row>
    <row r="6977" spans="1:25" x14ac:dyDescent="0.2">
      <c r="A6977">
        <v>31</v>
      </c>
      <c r="B6977" t="s">
        <v>10760</v>
      </c>
      <c r="C6977" t="s">
        <v>18</v>
      </c>
      <c r="D6977" t="s">
        <v>10762</v>
      </c>
      <c r="E6977" t="s">
        <v>10763</v>
      </c>
      <c r="F6977" t="s">
        <v>420</v>
      </c>
      <c r="G6977" t="s">
        <v>2208</v>
      </c>
      <c r="J6977" t="b">
        <v>0</v>
      </c>
      <c r="K6977" t="b">
        <v>0</v>
      </c>
      <c r="L6977" t="b">
        <v>0</v>
      </c>
      <c r="M6977" t="str">
        <f>HYPERLINK("https://arizona.app.box.com/file/389264242613")</f>
        <v>https://arizona.app.box.com/file/389264242613</v>
      </c>
      <c r="N6977" t="str">
        <f>HYPERLINK("https://arizona.app.box.com/file/389166778656")</f>
        <v>https://arizona.app.box.com/file/389166778656</v>
      </c>
      <c r="O6977" t="str">
        <f>HYPERLINK("https://arizona.app.box.com/file/389256953436")</f>
        <v>https://arizona.app.box.com/file/389256953436</v>
      </c>
      <c r="P6977" t="str">
        <f>HYPERLINK("https://arizona.app.box.com/file/389152666159")</f>
        <v>https://arizona.app.box.com/file/389152666159</v>
      </c>
    </row>
    <row r="6978" spans="1:25" x14ac:dyDescent="0.2">
      <c r="A6978">
        <v>32</v>
      </c>
      <c r="B6978" t="s">
        <v>10760</v>
      </c>
      <c r="C6978" t="s">
        <v>18</v>
      </c>
      <c r="D6978" t="s">
        <v>10764</v>
      </c>
      <c r="E6978" t="s">
        <v>10765</v>
      </c>
      <c r="F6978" t="s">
        <v>369</v>
      </c>
      <c r="G6978" t="s">
        <v>17</v>
      </c>
      <c r="J6978" t="b">
        <v>0</v>
      </c>
      <c r="K6978" t="b">
        <v>0</v>
      </c>
      <c r="L6978" t="b">
        <v>0</v>
      </c>
      <c r="M6978" t="str">
        <f>HYPERLINK("https://arizona.app.box.com/file/389174091214")</f>
        <v>https://arizona.app.box.com/file/389174091214</v>
      </c>
      <c r="N6978" t="str">
        <f>HYPERLINK("https://arizona.app.box.com/file/386226365910")</f>
        <v>https://arizona.app.box.com/file/386226365910</v>
      </c>
      <c r="O6978" t="str">
        <f>HYPERLINK("https://arizona.app.box.com/file/389168769371")</f>
        <v>https://arizona.app.box.com/file/389168769371</v>
      </c>
    </row>
    <row r="6979" spans="1:25" x14ac:dyDescent="0.2">
      <c r="A6979">
        <v>33</v>
      </c>
      <c r="B6979" t="s">
        <v>10760</v>
      </c>
      <c r="C6979" t="s">
        <v>18</v>
      </c>
      <c r="D6979" t="s">
        <v>10640</v>
      </c>
      <c r="E6979" t="s">
        <v>10641</v>
      </c>
      <c r="F6979" t="s">
        <v>260</v>
      </c>
      <c r="G6979" t="s">
        <v>17</v>
      </c>
      <c r="J6979" t="b">
        <v>0</v>
      </c>
      <c r="K6979" t="b">
        <v>0</v>
      </c>
      <c r="L6979" t="b">
        <v>0</v>
      </c>
      <c r="M6979" t="str">
        <f>HYPERLINK("https://arizona.app.box.com/file/389137805230")</f>
        <v>https://arizona.app.box.com/file/389137805230</v>
      </c>
      <c r="N6979" t="str">
        <f>HYPERLINK("https://arizona.app.box.com/file/389164133813")</f>
        <v>https://arizona.app.box.com/file/389164133813</v>
      </c>
    </row>
    <row r="6981" spans="1:25" x14ac:dyDescent="0.2">
      <c r="A6981" s="2">
        <v>2828</v>
      </c>
      <c r="B6981" s="2" t="s">
        <v>10766</v>
      </c>
      <c r="C6981" s="2" t="s">
        <v>13</v>
      </c>
      <c r="D6981" s="2" t="s">
        <v>9353</v>
      </c>
      <c r="E6981" s="2" t="s">
        <v>10767</v>
      </c>
      <c r="F6981" s="2" t="s">
        <v>420</v>
      </c>
      <c r="G6981" s="2" t="s">
        <v>252</v>
      </c>
      <c r="H6981" s="2"/>
      <c r="I6981" s="2"/>
      <c r="J6981" s="2"/>
      <c r="K6981" s="2"/>
      <c r="L6981" s="2"/>
      <c r="M6981" s="2"/>
      <c r="N6981" s="2"/>
      <c r="O6981" s="2"/>
      <c r="P6981" s="2"/>
      <c r="Q6981" s="2"/>
      <c r="R6981" s="2"/>
      <c r="S6981" s="2"/>
      <c r="T6981" s="2"/>
      <c r="U6981" s="2"/>
      <c r="V6981" s="2"/>
      <c r="W6981" s="2"/>
      <c r="X6981" s="2"/>
      <c r="Y6981" s="2"/>
    </row>
    <row r="6982" spans="1:25" x14ac:dyDescent="0.2">
      <c r="A6982">
        <v>2829</v>
      </c>
      <c r="B6982" t="s">
        <v>10766</v>
      </c>
      <c r="C6982" t="s">
        <v>18</v>
      </c>
      <c r="D6982" t="s">
        <v>9353</v>
      </c>
      <c r="E6982" t="s">
        <v>9354</v>
      </c>
      <c r="F6982" t="s">
        <v>420</v>
      </c>
      <c r="G6982" t="s">
        <v>252</v>
      </c>
      <c r="J6982" t="b">
        <v>1</v>
      </c>
      <c r="K6982" t="b">
        <v>1</v>
      </c>
      <c r="L6982" t="b">
        <v>1</v>
      </c>
      <c r="M6982" t="str">
        <f>HYPERLINK("https://arizona.app.box.com/file/389262186583")</f>
        <v>https://arizona.app.box.com/file/389262186583</v>
      </c>
      <c r="N6982" t="str">
        <f>HYPERLINK("https://arizona.app.box.com/file/389152363890")</f>
        <v>https://arizona.app.box.com/file/389152363890</v>
      </c>
    </row>
    <row r="6983" spans="1:25" x14ac:dyDescent="0.2">
      <c r="A6983">
        <v>2830</v>
      </c>
      <c r="B6983" t="s">
        <v>10766</v>
      </c>
      <c r="C6983" t="s">
        <v>18</v>
      </c>
      <c r="D6983" t="s">
        <v>7894</v>
      </c>
      <c r="E6983" t="s">
        <v>1316</v>
      </c>
      <c r="F6983" t="s">
        <v>420</v>
      </c>
      <c r="G6983" t="s">
        <v>252</v>
      </c>
      <c r="J6983" t="b">
        <v>0</v>
      </c>
      <c r="K6983" t="b">
        <v>0</v>
      </c>
      <c r="L6983" t="b">
        <v>0</v>
      </c>
      <c r="M6983" t="str">
        <f>HYPERLINK("https://arizona.app.box.com/file/389261666484")</f>
        <v>https://arizona.app.box.com/file/389261666484</v>
      </c>
      <c r="N6983" t="str">
        <f>HYPERLINK("https://arizona.app.box.com/file/389151965495")</f>
        <v>https://arizona.app.box.com/file/389151965495</v>
      </c>
    </row>
    <row r="6984" spans="1:25" x14ac:dyDescent="0.2">
      <c r="A6984">
        <v>2831</v>
      </c>
      <c r="B6984" t="s">
        <v>10766</v>
      </c>
      <c r="C6984" t="s">
        <v>18</v>
      </c>
      <c r="D6984" t="s">
        <v>3645</v>
      </c>
      <c r="E6984" t="s">
        <v>3646</v>
      </c>
      <c r="F6984" t="s">
        <v>144</v>
      </c>
      <c r="G6984" t="s">
        <v>252</v>
      </c>
      <c r="J6984" t="b">
        <v>0</v>
      </c>
      <c r="K6984" t="b">
        <v>0</v>
      </c>
      <c r="L6984" t="b">
        <v>0</v>
      </c>
      <c r="M6984" t="str">
        <f>HYPERLINK("https://arizona.app.box.com/file/389169635047")</f>
        <v>https://arizona.app.box.com/file/389169635047</v>
      </c>
      <c r="N6984" t="str">
        <f>HYPERLINK("https://arizona.app.box.com/file/386236897236")</f>
        <v>https://arizona.app.box.com/file/386236897236</v>
      </c>
      <c r="O6984" t="str">
        <f>HYPERLINK("https://arizona.app.box.com/file/389164532975")</f>
        <v>https://arizona.app.box.com/file/389164532975</v>
      </c>
      <c r="P6984" t="str">
        <f>HYPERLINK("https://arizona.app.box.com/file/386241544711")</f>
        <v>https://arizona.app.box.com/file/386241544711</v>
      </c>
    </row>
    <row r="6985" spans="1:25" x14ac:dyDescent="0.2">
      <c r="A6985">
        <v>2832</v>
      </c>
      <c r="B6985" t="s">
        <v>10766</v>
      </c>
      <c r="C6985" t="s">
        <v>18</v>
      </c>
      <c r="D6985" t="s">
        <v>3500</v>
      </c>
      <c r="E6985" t="s">
        <v>3501</v>
      </c>
      <c r="F6985" t="s">
        <v>78</v>
      </c>
      <c r="G6985" t="s">
        <v>252</v>
      </c>
      <c r="J6985" t="b">
        <v>0</v>
      </c>
      <c r="K6985" t="b">
        <v>0</v>
      </c>
      <c r="L6985" t="b">
        <v>0</v>
      </c>
      <c r="M6985" t="str">
        <f>HYPERLINK("https://arizona.app.box.com/file/389268934785")</f>
        <v>https://arizona.app.box.com/file/389268934785</v>
      </c>
      <c r="N6985" t="str">
        <f>HYPERLINK("https://arizona.app.box.com/file/389153112707")</f>
        <v>https://arizona.app.box.com/file/389153112707</v>
      </c>
    </row>
    <row r="6986" spans="1:25" x14ac:dyDescent="0.2">
      <c r="A6986">
        <v>2833</v>
      </c>
      <c r="B6986" t="s">
        <v>10766</v>
      </c>
      <c r="C6986" t="s">
        <v>18</v>
      </c>
      <c r="D6986" t="s">
        <v>10768</v>
      </c>
      <c r="E6986" t="s">
        <v>4064</v>
      </c>
      <c r="F6986" t="s">
        <v>420</v>
      </c>
      <c r="G6986" t="s">
        <v>252</v>
      </c>
      <c r="J6986" t="b">
        <v>1</v>
      </c>
      <c r="K6986" t="b">
        <v>1</v>
      </c>
      <c r="L6986" t="b">
        <v>1</v>
      </c>
      <c r="M6986" t="str">
        <f>HYPERLINK("https://arizona.app.box.com/file/386247452077")</f>
        <v>https://arizona.app.box.com/file/386247452077</v>
      </c>
    </row>
    <row r="6988" spans="1:25" x14ac:dyDescent="0.2">
      <c r="A6988" s="2">
        <v>2849</v>
      </c>
      <c r="B6988" s="2" t="s">
        <v>10769</v>
      </c>
      <c r="C6988" s="2" t="s">
        <v>13</v>
      </c>
      <c r="D6988" s="2" t="s">
        <v>6481</v>
      </c>
      <c r="E6988" s="2" t="s">
        <v>10770</v>
      </c>
      <c r="F6988" s="2" t="s">
        <v>4337</v>
      </c>
      <c r="G6988" s="2" t="s">
        <v>201</v>
      </c>
      <c r="H6988" s="2"/>
      <c r="I6988" s="2"/>
      <c r="J6988" s="2"/>
      <c r="K6988" s="2"/>
      <c r="L6988" s="2"/>
      <c r="M6988" s="2"/>
      <c r="N6988" s="2"/>
      <c r="O6988" s="2"/>
      <c r="P6988" s="2"/>
      <c r="Q6988" s="2"/>
      <c r="R6988" s="2"/>
      <c r="S6988" s="2"/>
      <c r="T6988" s="2"/>
      <c r="U6988" s="2"/>
      <c r="V6988" s="2"/>
      <c r="W6988" s="2"/>
      <c r="X6988" s="2"/>
      <c r="Y6988" s="2"/>
    </row>
    <row r="6989" spans="1:25" x14ac:dyDescent="0.2">
      <c r="A6989">
        <v>2850</v>
      </c>
      <c r="B6989" t="s">
        <v>10769</v>
      </c>
      <c r="C6989" t="s">
        <v>18</v>
      </c>
      <c r="D6989" t="s">
        <v>6481</v>
      </c>
      <c r="E6989" t="s">
        <v>6482</v>
      </c>
      <c r="F6989" t="s">
        <v>4337</v>
      </c>
      <c r="G6989" t="s">
        <v>201</v>
      </c>
      <c r="J6989" t="b">
        <v>1</v>
      </c>
      <c r="K6989" t="b">
        <v>1</v>
      </c>
      <c r="L6989" t="b">
        <v>1</v>
      </c>
      <c r="M6989" t="str">
        <f>HYPERLINK("https://arizona.app.box.com/file/389169680946")</f>
        <v>https://arizona.app.box.com/file/389169680946</v>
      </c>
      <c r="N6989" t="str">
        <f>HYPERLINK("https://arizona.app.box.com/file/386212003728")</f>
        <v>https://arizona.app.box.com/file/386212003728</v>
      </c>
    </row>
    <row r="6990" spans="1:25" x14ac:dyDescent="0.2">
      <c r="A6990">
        <v>2851</v>
      </c>
      <c r="B6990" t="s">
        <v>10769</v>
      </c>
      <c r="C6990" t="s">
        <v>18</v>
      </c>
      <c r="D6990" t="s">
        <v>6485</v>
      </c>
      <c r="E6990" t="s">
        <v>6486</v>
      </c>
      <c r="F6990" t="s">
        <v>4337</v>
      </c>
      <c r="G6990" t="s">
        <v>2278</v>
      </c>
      <c r="J6990" t="b">
        <v>0</v>
      </c>
      <c r="K6990" t="b">
        <v>1</v>
      </c>
      <c r="L6990" t="b">
        <v>0</v>
      </c>
      <c r="M6990" t="str">
        <f>HYPERLINK("https://arizona.app.box.com/file/389173990677")</f>
        <v>https://arizona.app.box.com/file/389173990677</v>
      </c>
    </row>
    <row r="6991" spans="1:25" x14ac:dyDescent="0.2">
      <c r="A6991">
        <v>2852</v>
      </c>
      <c r="B6991" t="s">
        <v>10769</v>
      </c>
      <c r="C6991" t="s">
        <v>18</v>
      </c>
      <c r="D6991" t="s">
        <v>2857</v>
      </c>
      <c r="E6991" t="s">
        <v>2858</v>
      </c>
      <c r="F6991" t="s">
        <v>159</v>
      </c>
      <c r="G6991" t="s">
        <v>201</v>
      </c>
      <c r="J6991" t="b">
        <v>0</v>
      </c>
      <c r="K6991" t="b">
        <v>0</v>
      </c>
      <c r="L6991" t="b">
        <v>0</v>
      </c>
      <c r="M6991" t="str">
        <f>HYPERLINK("https://arizona.app.box.com/file/389174865937")</f>
        <v>https://arizona.app.box.com/file/389174865937</v>
      </c>
      <c r="N6991" t="str">
        <f>HYPERLINK("https://arizona.app.box.com/file/386225891568")</f>
        <v>https://arizona.app.box.com/file/386225891568</v>
      </c>
    </row>
    <row r="6992" spans="1:25" x14ac:dyDescent="0.2">
      <c r="A6992">
        <v>2853</v>
      </c>
      <c r="B6992" t="s">
        <v>10769</v>
      </c>
      <c r="C6992" t="s">
        <v>18</v>
      </c>
      <c r="D6992" t="s">
        <v>6473</v>
      </c>
      <c r="E6992" t="s">
        <v>2210</v>
      </c>
      <c r="F6992" t="s">
        <v>159</v>
      </c>
      <c r="G6992" t="s">
        <v>201</v>
      </c>
      <c r="J6992" t="b">
        <v>0</v>
      </c>
      <c r="K6992" t="b">
        <v>0</v>
      </c>
      <c r="L6992" t="b">
        <v>0</v>
      </c>
      <c r="M6992" t="str">
        <f>HYPERLINK("https://arizona.app.box.com/file/389163938241")</f>
        <v>https://arizona.app.box.com/file/389163938241</v>
      </c>
      <c r="N6992" t="str">
        <f>HYPERLINK("https://arizona.app.box.com/file/386240917905")</f>
        <v>https://arizona.app.box.com/file/386240917905</v>
      </c>
    </row>
    <row r="6993" spans="1:25" x14ac:dyDescent="0.2">
      <c r="A6993">
        <v>2854</v>
      </c>
      <c r="B6993" t="s">
        <v>10769</v>
      </c>
      <c r="C6993" t="s">
        <v>18</v>
      </c>
      <c r="D6993" t="s">
        <v>10771</v>
      </c>
      <c r="E6993" t="s">
        <v>10772</v>
      </c>
      <c r="F6993" t="s">
        <v>159</v>
      </c>
      <c r="G6993" t="s">
        <v>201</v>
      </c>
      <c r="J6993" t="b">
        <v>1</v>
      </c>
      <c r="K6993" t="b">
        <v>0</v>
      </c>
      <c r="L6993" t="b">
        <v>1</v>
      </c>
      <c r="M6993" t="str">
        <f>HYPERLINK("https://arizona.app.box.com/file/389173443041")</f>
        <v>https://arizona.app.box.com/file/389173443041</v>
      </c>
      <c r="N6993" t="str">
        <f>HYPERLINK("https://arizona.app.box.com/file/386214073784")</f>
        <v>https://arizona.app.box.com/file/386214073784</v>
      </c>
    </row>
    <row r="6995" spans="1:25" x14ac:dyDescent="0.2">
      <c r="A6995" s="2">
        <v>2912</v>
      </c>
      <c r="B6995" s="2" t="s">
        <v>10773</v>
      </c>
      <c r="C6995" s="2" t="s">
        <v>13</v>
      </c>
      <c r="D6995" s="2" t="s">
        <v>10774</v>
      </c>
      <c r="E6995" s="2" t="s">
        <v>10775</v>
      </c>
      <c r="F6995" s="2" t="s">
        <v>159</v>
      </c>
      <c r="G6995" s="2" t="s">
        <v>280</v>
      </c>
      <c r="H6995" s="2"/>
      <c r="I6995" s="2"/>
      <c r="J6995" s="2"/>
      <c r="K6995" s="2"/>
      <c r="L6995" s="2"/>
      <c r="M6995" s="2"/>
      <c r="N6995" s="2"/>
      <c r="O6995" s="2"/>
      <c r="P6995" s="2"/>
      <c r="Q6995" s="2"/>
      <c r="R6995" s="2"/>
      <c r="S6995" s="2"/>
      <c r="T6995" s="2"/>
      <c r="U6995" s="2"/>
      <c r="V6995" s="2"/>
      <c r="W6995" s="2"/>
      <c r="X6995" s="2"/>
      <c r="Y6995" s="2"/>
    </row>
    <row r="6996" spans="1:25" x14ac:dyDescent="0.2">
      <c r="A6996">
        <v>2913</v>
      </c>
      <c r="B6996" t="s">
        <v>10773</v>
      </c>
      <c r="C6996" t="s">
        <v>18</v>
      </c>
      <c r="D6996" t="s">
        <v>10774</v>
      </c>
      <c r="E6996" t="s">
        <v>10775</v>
      </c>
      <c r="F6996" t="s">
        <v>159</v>
      </c>
      <c r="G6996" t="s">
        <v>638</v>
      </c>
      <c r="J6996" t="b">
        <v>1</v>
      </c>
      <c r="K6996" t="b">
        <v>1</v>
      </c>
      <c r="L6996" t="b">
        <v>1</v>
      </c>
      <c r="M6996" t="str">
        <f>HYPERLINK("https://arizona.app.box.com/file/386263861634")</f>
        <v>https://arizona.app.box.com/file/386263861634</v>
      </c>
      <c r="N6996" t="str">
        <f>HYPERLINK("https://arizona.app.box.com/file/386241113911")</f>
        <v>https://arizona.app.box.com/file/386241113911</v>
      </c>
    </row>
    <row r="6997" spans="1:25" x14ac:dyDescent="0.2">
      <c r="A6997">
        <v>2914</v>
      </c>
      <c r="B6997" t="s">
        <v>10773</v>
      </c>
      <c r="C6997" t="s">
        <v>18</v>
      </c>
      <c r="D6997" t="s">
        <v>9357</v>
      </c>
      <c r="E6997" t="s">
        <v>9358</v>
      </c>
      <c r="F6997" t="s">
        <v>159</v>
      </c>
      <c r="G6997" t="s">
        <v>280</v>
      </c>
      <c r="J6997" t="b">
        <v>0</v>
      </c>
      <c r="K6997" t="b">
        <v>0</v>
      </c>
      <c r="L6997" t="b">
        <v>0</v>
      </c>
      <c r="M6997" t="str">
        <f>HYPERLINK("https://arizona.app.box.com/file/389167115585")</f>
        <v>https://arizona.app.box.com/file/389167115585</v>
      </c>
      <c r="N6997" t="str">
        <f>HYPERLINK("https://arizona.app.box.com/file/389164742487")</f>
        <v>https://arizona.app.box.com/file/389164742487</v>
      </c>
    </row>
    <row r="6998" spans="1:25" x14ac:dyDescent="0.2">
      <c r="A6998">
        <v>2915</v>
      </c>
      <c r="B6998" t="s">
        <v>10773</v>
      </c>
      <c r="C6998" t="s">
        <v>18</v>
      </c>
      <c r="D6998" t="s">
        <v>10776</v>
      </c>
      <c r="E6998" t="s">
        <v>9358</v>
      </c>
      <c r="F6998" t="s">
        <v>159</v>
      </c>
      <c r="G6998" t="s">
        <v>280</v>
      </c>
      <c r="J6998" t="b">
        <v>0</v>
      </c>
      <c r="K6998" t="b">
        <v>0</v>
      </c>
      <c r="L6998" t="b">
        <v>0</v>
      </c>
      <c r="M6998" t="str">
        <f>HYPERLINK("https://arizona.app.box.com/file/389172335128")</f>
        <v>https://arizona.app.box.com/file/389172335128</v>
      </c>
      <c r="N6998" t="str">
        <f>HYPERLINK("https://arizona.app.box.com/file/389166487074")</f>
        <v>https://arizona.app.box.com/file/389166487074</v>
      </c>
    </row>
    <row r="6999" spans="1:25" x14ac:dyDescent="0.2">
      <c r="A6999">
        <v>2916</v>
      </c>
      <c r="B6999" t="s">
        <v>10773</v>
      </c>
      <c r="C6999" t="s">
        <v>18</v>
      </c>
      <c r="D6999" t="s">
        <v>9359</v>
      </c>
      <c r="E6999" t="s">
        <v>9360</v>
      </c>
      <c r="F6999" t="s">
        <v>654</v>
      </c>
      <c r="G6999" t="s">
        <v>280</v>
      </c>
      <c r="J6999" t="b">
        <v>0</v>
      </c>
      <c r="K6999" t="b">
        <v>0</v>
      </c>
      <c r="L6999" t="b">
        <v>0</v>
      </c>
      <c r="M6999" t="str">
        <f>HYPERLINK("https://arizona.app.box.com/file/389163050759")</f>
        <v>https://arizona.app.box.com/file/389163050759</v>
      </c>
      <c r="N6999" t="str">
        <f>HYPERLINK("https://arizona.app.box.com/file/389169066285")</f>
        <v>https://arizona.app.box.com/file/389169066285</v>
      </c>
    </row>
    <row r="7000" spans="1:25" x14ac:dyDescent="0.2">
      <c r="A7000">
        <v>2917</v>
      </c>
      <c r="B7000" t="s">
        <v>10773</v>
      </c>
      <c r="C7000" t="s">
        <v>18</v>
      </c>
      <c r="D7000" t="s">
        <v>4357</v>
      </c>
      <c r="E7000" t="s">
        <v>4358</v>
      </c>
      <c r="F7000" t="s">
        <v>82</v>
      </c>
      <c r="G7000" t="s">
        <v>280</v>
      </c>
      <c r="J7000" t="b">
        <v>0</v>
      </c>
      <c r="K7000" t="b">
        <v>0</v>
      </c>
      <c r="L7000" t="b">
        <v>0</v>
      </c>
      <c r="M7000" t="str">
        <f>HYPERLINK("https://arizona.app.box.com/file/389168099075")</f>
        <v>https://arizona.app.box.com/file/389168099075</v>
      </c>
    </row>
    <row r="7002" spans="1:25" x14ac:dyDescent="0.2">
      <c r="A7002" s="2">
        <v>2933</v>
      </c>
      <c r="B7002" s="2" t="s">
        <v>10777</v>
      </c>
      <c r="C7002" s="2" t="s">
        <v>13</v>
      </c>
      <c r="D7002" s="2" t="s">
        <v>10778</v>
      </c>
      <c r="E7002" s="2" t="s">
        <v>10779</v>
      </c>
      <c r="F7002" s="2" t="s">
        <v>82</v>
      </c>
      <c r="G7002" s="2" t="s">
        <v>265</v>
      </c>
      <c r="H7002" s="2"/>
      <c r="I7002" s="2"/>
      <c r="J7002" s="2"/>
      <c r="K7002" s="2"/>
      <c r="L7002" s="2"/>
      <c r="M7002" s="2"/>
      <c r="N7002" s="2"/>
      <c r="O7002" s="2"/>
      <c r="P7002" s="2"/>
      <c r="Q7002" s="2"/>
      <c r="R7002" s="2"/>
      <c r="S7002" s="2"/>
      <c r="T7002" s="2"/>
      <c r="U7002" s="2"/>
      <c r="V7002" s="2"/>
      <c r="W7002" s="2"/>
      <c r="X7002" s="2"/>
      <c r="Y7002" s="2"/>
    </row>
    <row r="7003" spans="1:25" x14ac:dyDescent="0.2">
      <c r="A7003">
        <v>2934</v>
      </c>
      <c r="B7003" t="s">
        <v>10777</v>
      </c>
      <c r="C7003" t="s">
        <v>18</v>
      </c>
      <c r="D7003" t="s">
        <v>9086</v>
      </c>
      <c r="E7003" t="s">
        <v>9087</v>
      </c>
      <c r="F7003" t="s">
        <v>420</v>
      </c>
      <c r="G7003" t="s">
        <v>265</v>
      </c>
      <c r="J7003" t="b">
        <v>1</v>
      </c>
      <c r="K7003" t="b">
        <v>0</v>
      </c>
      <c r="L7003" t="b">
        <v>1</v>
      </c>
      <c r="M7003" t="str">
        <f>HYPERLINK("https://arizona.app.box.com/file/389264648628")</f>
        <v>https://arizona.app.box.com/file/389264648628</v>
      </c>
      <c r="N7003" t="str">
        <f>HYPERLINK("https://arizona.app.box.com/file/389166043295")</f>
        <v>https://arizona.app.box.com/file/389166043295</v>
      </c>
    </row>
    <row r="7004" spans="1:25" x14ac:dyDescent="0.2">
      <c r="A7004">
        <v>2935</v>
      </c>
      <c r="B7004" t="s">
        <v>10777</v>
      </c>
      <c r="C7004" t="s">
        <v>18</v>
      </c>
      <c r="D7004" t="s">
        <v>10780</v>
      </c>
      <c r="E7004" t="s">
        <v>10781</v>
      </c>
      <c r="F7004" t="s">
        <v>82</v>
      </c>
      <c r="G7004" t="s">
        <v>265</v>
      </c>
      <c r="J7004" t="b">
        <v>0</v>
      </c>
      <c r="K7004" t="b">
        <v>0</v>
      </c>
      <c r="L7004" t="b">
        <v>0</v>
      </c>
      <c r="M7004" t="str">
        <f>HYPERLINK("https://arizona.app.box.com/file/386214692856")</f>
        <v>https://arizona.app.box.com/file/386214692856</v>
      </c>
    </row>
    <row r="7005" spans="1:25" x14ac:dyDescent="0.2">
      <c r="A7005">
        <v>2936</v>
      </c>
      <c r="B7005" t="s">
        <v>10777</v>
      </c>
      <c r="C7005" t="s">
        <v>18</v>
      </c>
      <c r="D7005" t="s">
        <v>7224</v>
      </c>
      <c r="E7005" t="s">
        <v>7225</v>
      </c>
      <c r="F7005" t="s">
        <v>82</v>
      </c>
      <c r="G7005" t="s">
        <v>265</v>
      </c>
      <c r="J7005" t="b">
        <v>0</v>
      </c>
      <c r="K7005" t="b">
        <v>0</v>
      </c>
      <c r="L7005" t="b">
        <v>0</v>
      </c>
      <c r="M7005" t="str">
        <f>HYPERLINK("https://arizona.app.box.com/file/386224761617")</f>
        <v>https://arizona.app.box.com/file/386224761617</v>
      </c>
      <c r="N7005" t="str">
        <f>HYPERLINK("https://arizona.app.box.com/file/386243454591")</f>
        <v>https://arizona.app.box.com/file/386243454591</v>
      </c>
    </row>
    <row r="7006" spans="1:25" x14ac:dyDescent="0.2">
      <c r="A7006">
        <v>2937</v>
      </c>
      <c r="B7006" t="s">
        <v>10777</v>
      </c>
      <c r="C7006" t="s">
        <v>18</v>
      </c>
      <c r="D7006" t="s">
        <v>10782</v>
      </c>
      <c r="E7006" t="s">
        <v>10783</v>
      </c>
      <c r="F7006" t="s">
        <v>10784</v>
      </c>
      <c r="G7006" t="s">
        <v>265</v>
      </c>
      <c r="J7006" t="b">
        <v>0</v>
      </c>
      <c r="K7006" t="b">
        <v>0</v>
      </c>
      <c r="L7006" t="b">
        <v>0</v>
      </c>
      <c r="M7006" t="str">
        <f>HYPERLINK("https://arizona.app.box.com/file/386239910302")</f>
        <v>https://arizona.app.box.com/file/386239910302</v>
      </c>
      <c r="N7006" t="str">
        <f>HYPERLINK("https://arizona.app.box.com/file/386263479964")</f>
        <v>https://arizona.app.box.com/file/386263479964</v>
      </c>
    </row>
    <row r="7007" spans="1:25" x14ac:dyDescent="0.2">
      <c r="A7007">
        <v>2938</v>
      </c>
      <c r="B7007" t="s">
        <v>10777</v>
      </c>
      <c r="C7007" t="s">
        <v>18</v>
      </c>
      <c r="D7007" t="s">
        <v>10785</v>
      </c>
      <c r="E7007" t="s">
        <v>10786</v>
      </c>
      <c r="F7007" t="s">
        <v>82</v>
      </c>
      <c r="G7007" t="s">
        <v>265</v>
      </c>
      <c r="J7007" t="b">
        <v>0</v>
      </c>
      <c r="K7007" t="b">
        <v>0</v>
      </c>
      <c r="L7007" t="b">
        <v>0</v>
      </c>
    </row>
    <row r="7009" spans="1:25" x14ac:dyDescent="0.2">
      <c r="A7009" s="2">
        <v>294</v>
      </c>
      <c r="B7009" s="2" t="s">
        <v>10787</v>
      </c>
      <c r="C7009" s="2" t="s">
        <v>13</v>
      </c>
      <c r="D7009" s="2" t="s">
        <v>10788</v>
      </c>
      <c r="E7009" s="2" t="s">
        <v>10789</v>
      </c>
      <c r="F7009" s="2" t="s">
        <v>174</v>
      </c>
      <c r="G7009" s="2" t="s">
        <v>265</v>
      </c>
      <c r="H7009" s="2"/>
      <c r="I7009" s="2"/>
      <c r="J7009" s="2"/>
      <c r="K7009" s="2"/>
      <c r="L7009" s="2"/>
      <c r="M7009" s="2"/>
      <c r="N7009" s="2"/>
      <c r="O7009" s="2"/>
      <c r="P7009" s="2"/>
      <c r="Q7009" s="2"/>
      <c r="R7009" s="2"/>
      <c r="S7009" s="2"/>
      <c r="T7009" s="2"/>
      <c r="U7009" s="2"/>
      <c r="V7009" s="2"/>
      <c r="W7009" s="2"/>
      <c r="X7009" s="2"/>
      <c r="Y7009" s="2"/>
    </row>
    <row r="7010" spans="1:25" x14ac:dyDescent="0.2">
      <c r="A7010">
        <v>295</v>
      </c>
      <c r="B7010" t="s">
        <v>10787</v>
      </c>
      <c r="C7010" t="s">
        <v>18</v>
      </c>
      <c r="D7010" t="s">
        <v>9782</v>
      </c>
      <c r="E7010" t="s">
        <v>9783</v>
      </c>
      <c r="F7010" t="s">
        <v>23</v>
      </c>
      <c r="G7010" t="s">
        <v>265</v>
      </c>
      <c r="J7010" t="b">
        <v>0</v>
      </c>
      <c r="K7010" t="b">
        <v>0</v>
      </c>
      <c r="L7010" t="b">
        <v>0</v>
      </c>
      <c r="M7010" t="str">
        <f>HYPERLINK("https://arizona.app.box.com/file/389166144364")</f>
        <v>https://arizona.app.box.com/file/389166144364</v>
      </c>
      <c r="N7010" t="str">
        <f>HYPERLINK("https://arizona.app.box.com/file/386240873342")</f>
        <v>https://arizona.app.box.com/file/386240873342</v>
      </c>
      <c r="O7010" t="str">
        <f>HYPERLINK("https://arizona.app.box.com/file/389166602813")</f>
        <v>https://arizona.app.box.com/file/389166602813</v>
      </c>
      <c r="P7010" t="str">
        <f>HYPERLINK("https://arizona.app.box.com/file/386245058342")</f>
        <v>https://arizona.app.box.com/file/386245058342</v>
      </c>
    </row>
    <row r="7011" spans="1:25" x14ac:dyDescent="0.2">
      <c r="A7011">
        <v>296</v>
      </c>
      <c r="B7011" t="s">
        <v>10787</v>
      </c>
      <c r="C7011" t="s">
        <v>18</v>
      </c>
      <c r="D7011" t="s">
        <v>10790</v>
      </c>
      <c r="E7011" t="s">
        <v>10791</v>
      </c>
      <c r="F7011" t="s">
        <v>78</v>
      </c>
      <c r="G7011" t="s">
        <v>134</v>
      </c>
      <c r="J7011" t="b">
        <v>0</v>
      </c>
      <c r="K7011" t="b">
        <v>0</v>
      </c>
      <c r="L7011" t="b">
        <v>0</v>
      </c>
      <c r="M7011" t="str">
        <f>HYPERLINK("https://arizona.app.box.com/file/389153000725")</f>
        <v>https://arizona.app.box.com/file/389153000725</v>
      </c>
      <c r="N7011" t="str">
        <f>HYPERLINK("https://arizona.app.box.com/file/389167632939")</f>
        <v>https://arizona.app.box.com/file/389167632939</v>
      </c>
    </row>
    <row r="7012" spans="1:25" x14ac:dyDescent="0.2">
      <c r="A7012">
        <v>297</v>
      </c>
      <c r="B7012" t="s">
        <v>10787</v>
      </c>
      <c r="C7012" t="s">
        <v>18</v>
      </c>
      <c r="D7012" t="s">
        <v>2687</v>
      </c>
      <c r="E7012" t="s">
        <v>2033</v>
      </c>
      <c r="F7012" t="s">
        <v>23</v>
      </c>
      <c r="G7012" t="s">
        <v>265</v>
      </c>
      <c r="J7012" t="b">
        <v>0</v>
      </c>
      <c r="K7012" t="b">
        <v>0</v>
      </c>
      <c r="L7012" t="b">
        <v>0</v>
      </c>
      <c r="M7012" t="str">
        <f>HYPERLINK("https://arizona.app.box.com/file/389183905978")</f>
        <v>https://arizona.app.box.com/file/389183905978</v>
      </c>
    </row>
    <row r="7013" spans="1:25" x14ac:dyDescent="0.2">
      <c r="A7013">
        <v>298</v>
      </c>
      <c r="B7013" t="s">
        <v>10787</v>
      </c>
      <c r="C7013" t="s">
        <v>18</v>
      </c>
      <c r="D7013" t="s">
        <v>2690</v>
      </c>
      <c r="E7013" t="s">
        <v>2691</v>
      </c>
      <c r="F7013" t="s">
        <v>23</v>
      </c>
      <c r="G7013" t="s">
        <v>265</v>
      </c>
      <c r="J7013" t="b">
        <v>0</v>
      </c>
      <c r="K7013" t="b">
        <v>0</v>
      </c>
      <c r="L7013" t="b">
        <v>0</v>
      </c>
      <c r="M7013" t="str">
        <f>HYPERLINK("https://arizona.app.box.com/file/389264974342")</f>
        <v>https://arizona.app.box.com/file/389264974342</v>
      </c>
      <c r="N7013" t="str">
        <f>HYPERLINK("https://arizona.app.box.com/file/389153072022")</f>
        <v>https://arizona.app.box.com/file/389153072022</v>
      </c>
    </row>
    <row r="7014" spans="1:25" x14ac:dyDescent="0.2">
      <c r="A7014">
        <v>299</v>
      </c>
      <c r="B7014" t="s">
        <v>10787</v>
      </c>
      <c r="C7014" t="s">
        <v>18</v>
      </c>
      <c r="D7014" t="s">
        <v>3203</v>
      </c>
      <c r="E7014" t="s">
        <v>3204</v>
      </c>
      <c r="F7014" t="s">
        <v>78</v>
      </c>
      <c r="G7014" t="s">
        <v>134</v>
      </c>
      <c r="J7014" t="b">
        <v>0</v>
      </c>
      <c r="K7014" t="b">
        <v>0</v>
      </c>
      <c r="L7014" t="b">
        <v>0</v>
      </c>
    </row>
    <row r="7016" spans="1:25" x14ac:dyDescent="0.2">
      <c r="A7016" s="2">
        <v>2954</v>
      </c>
      <c r="B7016" s="2" t="s">
        <v>10792</v>
      </c>
      <c r="C7016" s="2" t="s">
        <v>13</v>
      </c>
      <c r="D7016" s="2" t="s">
        <v>10793</v>
      </c>
      <c r="E7016" s="2" t="s">
        <v>10794</v>
      </c>
      <c r="F7016" s="2" t="s">
        <v>205</v>
      </c>
      <c r="G7016" s="2" t="s">
        <v>134</v>
      </c>
      <c r="H7016" s="2"/>
      <c r="I7016" s="2"/>
      <c r="J7016" s="2"/>
      <c r="K7016" s="2"/>
      <c r="L7016" s="2"/>
      <c r="M7016" s="2"/>
      <c r="N7016" s="2"/>
      <c r="O7016" s="2"/>
      <c r="P7016" s="2"/>
      <c r="Q7016" s="2"/>
      <c r="R7016" s="2"/>
      <c r="S7016" s="2"/>
      <c r="T7016" s="2"/>
      <c r="U7016" s="2"/>
      <c r="V7016" s="2"/>
      <c r="W7016" s="2"/>
      <c r="X7016" s="2"/>
      <c r="Y7016" s="2"/>
    </row>
    <row r="7017" spans="1:25" x14ac:dyDescent="0.2">
      <c r="A7017">
        <v>2955</v>
      </c>
      <c r="B7017" t="s">
        <v>10792</v>
      </c>
      <c r="C7017" t="s">
        <v>18</v>
      </c>
      <c r="D7017" t="s">
        <v>10793</v>
      </c>
      <c r="E7017" t="s">
        <v>10794</v>
      </c>
      <c r="F7017" t="s">
        <v>205</v>
      </c>
      <c r="G7017" t="s">
        <v>134</v>
      </c>
      <c r="J7017" t="b">
        <v>1</v>
      </c>
      <c r="K7017" t="b">
        <v>1</v>
      </c>
      <c r="L7017" t="b">
        <v>1</v>
      </c>
      <c r="M7017" t="str">
        <f>HYPERLINK("https://arizona.app.box.com/file/389161670717")</f>
        <v>https://arizona.app.box.com/file/389161670717</v>
      </c>
      <c r="N7017" t="str">
        <f>HYPERLINK("https://arizona.app.box.com/file/386241113911")</f>
        <v>https://arizona.app.box.com/file/386241113911</v>
      </c>
    </row>
    <row r="7018" spans="1:25" x14ac:dyDescent="0.2">
      <c r="A7018">
        <v>2956</v>
      </c>
      <c r="B7018" t="s">
        <v>10792</v>
      </c>
      <c r="C7018" t="s">
        <v>18</v>
      </c>
      <c r="D7018" t="s">
        <v>10574</v>
      </c>
      <c r="E7018" t="s">
        <v>3848</v>
      </c>
      <c r="F7018" t="s">
        <v>205</v>
      </c>
      <c r="G7018" t="s">
        <v>134</v>
      </c>
      <c r="J7018" t="b">
        <v>0</v>
      </c>
      <c r="K7018" t="b">
        <v>0</v>
      </c>
      <c r="L7018" t="b">
        <v>0</v>
      </c>
      <c r="M7018" t="str">
        <f>HYPERLINK("https://arizona.app.box.com/file/389161818050")</f>
        <v>https://arizona.app.box.com/file/389161818050</v>
      </c>
    </row>
    <row r="7019" spans="1:25" x14ac:dyDescent="0.2">
      <c r="A7019">
        <v>2957</v>
      </c>
      <c r="B7019" t="s">
        <v>10792</v>
      </c>
      <c r="C7019" t="s">
        <v>18</v>
      </c>
      <c r="D7019" t="s">
        <v>7155</v>
      </c>
      <c r="E7019" t="s">
        <v>7156</v>
      </c>
      <c r="F7019" t="s">
        <v>7157</v>
      </c>
      <c r="G7019" t="s">
        <v>134</v>
      </c>
      <c r="J7019" t="b">
        <v>0</v>
      </c>
      <c r="K7019" t="b">
        <v>0</v>
      </c>
      <c r="L7019" t="b">
        <v>0</v>
      </c>
      <c r="M7019" t="str">
        <f>HYPERLINK("https://arizona.app.box.com/file/389161321989")</f>
        <v>https://arizona.app.box.com/file/389161321989</v>
      </c>
      <c r="N7019" t="str">
        <f>HYPERLINK("https://arizona.app.box.com/file/389165695055")</f>
        <v>https://arizona.app.box.com/file/389165695055</v>
      </c>
    </row>
    <row r="7020" spans="1:25" x14ac:dyDescent="0.2">
      <c r="A7020">
        <v>2958</v>
      </c>
      <c r="B7020" t="s">
        <v>10792</v>
      </c>
      <c r="C7020" t="s">
        <v>18</v>
      </c>
      <c r="D7020" t="s">
        <v>2486</v>
      </c>
      <c r="E7020" t="s">
        <v>2487</v>
      </c>
      <c r="F7020" t="s">
        <v>205</v>
      </c>
      <c r="G7020" t="s">
        <v>134</v>
      </c>
      <c r="J7020" t="b">
        <v>0</v>
      </c>
      <c r="K7020" t="b">
        <v>0</v>
      </c>
      <c r="L7020" t="b">
        <v>0</v>
      </c>
      <c r="M7020" t="str">
        <f>HYPERLINK("https://arizona.app.box.com/file/389163865673")</f>
        <v>https://arizona.app.box.com/file/389163865673</v>
      </c>
      <c r="N7020" t="str">
        <f>HYPERLINK("https://arizona.app.box.com/file/386241113911")</f>
        <v>https://arizona.app.box.com/file/386241113911</v>
      </c>
    </row>
    <row r="7021" spans="1:25" x14ac:dyDescent="0.2">
      <c r="A7021">
        <v>2959</v>
      </c>
      <c r="B7021" t="s">
        <v>10792</v>
      </c>
      <c r="C7021" t="s">
        <v>18</v>
      </c>
      <c r="D7021" t="s">
        <v>2489</v>
      </c>
      <c r="E7021" t="s">
        <v>2490</v>
      </c>
      <c r="F7021" t="s">
        <v>205</v>
      </c>
      <c r="G7021" t="s">
        <v>134</v>
      </c>
      <c r="J7021" t="b">
        <v>0</v>
      </c>
      <c r="K7021" t="b">
        <v>0</v>
      </c>
      <c r="L7021" t="b">
        <v>0</v>
      </c>
      <c r="M7021" t="str">
        <f>HYPERLINK("https://arizona.app.box.com/file/389153183261")</f>
        <v>https://arizona.app.box.com/file/389153183261</v>
      </c>
    </row>
    <row r="7023" spans="1:25" x14ac:dyDescent="0.2">
      <c r="A7023" s="2">
        <v>2975</v>
      </c>
      <c r="B7023" s="2" t="s">
        <v>10795</v>
      </c>
      <c r="C7023" s="2" t="s">
        <v>13</v>
      </c>
      <c r="D7023" s="2" t="s">
        <v>10796</v>
      </c>
      <c r="E7023" s="2" t="s">
        <v>10797</v>
      </c>
      <c r="F7023" s="2" t="s">
        <v>27</v>
      </c>
      <c r="G7023" s="2" t="s">
        <v>255</v>
      </c>
      <c r="H7023" s="2"/>
      <c r="I7023" s="2"/>
      <c r="J7023" s="2"/>
      <c r="K7023" s="2"/>
      <c r="L7023" s="2"/>
      <c r="M7023" s="2"/>
      <c r="N7023" s="2"/>
      <c r="O7023" s="2"/>
      <c r="P7023" s="2"/>
      <c r="Q7023" s="2"/>
      <c r="R7023" s="2"/>
      <c r="S7023" s="2"/>
      <c r="T7023" s="2"/>
      <c r="U7023" s="2"/>
      <c r="V7023" s="2"/>
      <c r="W7023" s="2"/>
      <c r="X7023" s="2"/>
      <c r="Y7023" s="2"/>
    </row>
    <row r="7024" spans="1:25" x14ac:dyDescent="0.2">
      <c r="A7024">
        <v>2976</v>
      </c>
      <c r="B7024" t="s">
        <v>10795</v>
      </c>
      <c r="C7024" t="s">
        <v>18</v>
      </c>
      <c r="D7024" t="s">
        <v>10796</v>
      </c>
      <c r="E7024" t="s">
        <v>7852</v>
      </c>
      <c r="F7024" t="s">
        <v>27</v>
      </c>
      <c r="G7024" t="s">
        <v>255</v>
      </c>
      <c r="J7024" t="b">
        <v>1</v>
      </c>
      <c r="K7024" t="b">
        <v>1</v>
      </c>
      <c r="L7024" t="b">
        <v>1</v>
      </c>
      <c r="M7024" t="str">
        <f>HYPERLINK("https://arizona.app.box.com/file/386242464782")</f>
        <v>https://arizona.app.box.com/file/386242464782</v>
      </c>
    </row>
    <row r="7025" spans="1:25" x14ac:dyDescent="0.2">
      <c r="A7025">
        <v>2977</v>
      </c>
      <c r="B7025" t="s">
        <v>10795</v>
      </c>
      <c r="C7025" t="s">
        <v>18</v>
      </c>
      <c r="D7025" t="s">
        <v>10798</v>
      </c>
      <c r="E7025" t="s">
        <v>4273</v>
      </c>
      <c r="F7025" t="s">
        <v>82</v>
      </c>
      <c r="G7025" t="s">
        <v>255</v>
      </c>
      <c r="J7025" t="b">
        <v>1</v>
      </c>
      <c r="K7025" t="b">
        <v>1</v>
      </c>
      <c r="L7025" t="b">
        <v>1</v>
      </c>
      <c r="M7025" t="str">
        <f>HYPERLINK("https://arizona.app.box.com/file/386247176684")</f>
        <v>https://arizona.app.box.com/file/386247176684</v>
      </c>
    </row>
    <row r="7026" spans="1:25" x14ac:dyDescent="0.2">
      <c r="A7026">
        <v>2978</v>
      </c>
      <c r="B7026" t="s">
        <v>10795</v>
      </c>
      <c r="C7026" t="s">
        <v>18</v>
      </c>
      <c r="D7026" t="s">
        <v>5989</v>
      </c>
      <c r="E7026" t="s">
        <v>5990</v>
      </c>
      <c r="F7026" t="s">
        <v>78</v>
      </c>
      <c r="G7026" t="s">
        <v>32</v>
      </c>
      <c r="J7026" t="b">
        <v>0</v>
      </c>
      <c r="K7026" t="b">
        <v>0</v>
      </c>
      <c r="L7026" t="b">
        <v>0</v>
      </c>
    </row>
    <row r="7027" spans="1:25" x14ac:dyDescent="0.2">
      <c r="A7027">
        <v>2979</v>
      </c>
      <c r="B7027" t="s">
        <v>10795</v>
      </c>
      <c r="C7027" t="s">
        <v>18</v>
      </c>
      <c r="D7027" t="s">
        <v>5991</v>
      </c>
      <c r="E7027" t="s">
        <v>5992</v>
      </c>
      <c r="F7027" t="s">
        <v>78</v>
      </c>
      <c r="G7027" t="s">
        <v>24</v>
      </c>
      <c r="J7027" t="b">
        <v>0</v>
      </c>
      <c r="K7027" t="b">
        <v>0</v>
      </c>
      <c r="L7027" t="b">
        <v>0</v>
      </c>
    </row>
    <row r="7028" spans="1:25" x14ac:dyDescent="0.2">
      <c r="A7028">
        <v>2980</v>
      </c>
      <c r="B7028" t="s">
        <v>10795</v>
      </c>
      <c r="C7028" t="s">
        <v>18</v>
      </c>
      <c r="D7028" t="s">
        <v>10799</v>
      </c>
      <c r="E7028" t="s">
        <v>1057</v>
      </c>
      <c r="F7028" t="s">
        <v>159</v>
      </c>
      <c r="G7028" t="s">
        <v>255</v>
      </c>
      <c r="J7028" t="b">
        <v>0</v>
      </c>
      <c r="K7028" t="b">
        <v>0</v>
      </c>
      <c r="L7028" t="b">
        <v>0</v>
      </c>
      <c r="M7028" t="str">
        <f>HYPERLINK("https://arizona.app.box.com/file/389169444311")</f>
        <v>https://arizona.app.box.com/file/389169444311</v>
      </c>
    </row>
    <row r="7030" spans="1:25" x14ac:dyDescent="0.2">
      <c r="A7030" s="2">
        <v>2996</v>
      </c>
      <c r="B7030" s="2" t="s">
        <v>10800</v>
      </c>
      <c r="C7030" s="2" t="s">
        <v>13</v>
      </c>
      <c r="D7030" s="2" t="s">
        <v>10801</v>
      </c>
      <c r="E7030" s="2" t="s">
        <v>315</v>
      </c>
      <c r="F7030" s="2" t="s">
        <v>159</v>
      </c>
      <c r="G7030" s="2" t="s">
        <v>252</v>
      </c>
      <c r="H7030" s="2"/>
      <c r="I7030" s="2"/>
      <c r="J7030" s="2"/>
      <c r="K7030" s="2"/>
      <c r="L7030" s="2"/>
      <c r="M7030" s="2"/>
      <c r="N7030" s="2"/>
      <c r="O7030" s="2"/>
      <c r="P7030" s="2"/>
      <c r="Q7030" s="2"/>
      <c r="R7030" s="2"/>
      <c r="S7030" s="2"/>
      <c r="T7030" s="2"/>
      <c r="U7030" s="2"/>
      <c r="V7030" s="2"/>
      <c r="W7030" s="2"/>
      <c r="X7030" s="2"/>
      <c r="Y7030" s="2"/>
    </row>
    <row r="7031" spans="1:25" x14ac:dyDescent="0.2">
      <c r="A7031">
        <v>2997</v>
      </c>
      <c r="B7031" t="s">
        <v>10800</v>
      </c>
      <c r="C7031" t="s">
        <v>18</v>
      </c>
      <c r="D7031" t="s">
        <v>10801</v>
      </c>
      <c r="E7031" t="s">
        <v>315</v>
      </c>
      <c r="F7031" t="s">
        <v>1837</v>
      </c>
      <c r="G7031" t="s">
        <v>252</v>
      </c>
      <c r="J7031" t="b">
        <v>1</v>
      </c>
      <c r="K7031" t="b">
        <v>1</v>
      </c>
      <c r="L7031" t="b">
        <v>1</v>
      </c>
      <c r="M7031" t="str">
        <f>HYPERLINK("https://arizona.app.box.com/file/386263641518")</f>
        <v>https://arizona.app.box.com/file/386263641518</v>
      </c>
      <c r="N7031" t="str">
        <f>HYPERLINK("https://arizona.app.box.com/file/386242586645")</f>
        <v>https://arizona.app.box.com/file/386242586645</v>
      </c>
    </row>
    <row r="7032" spans="1:25" x14ac:dyDescent="0.2">
      <c r="A7032">
        <v>2998</v>
      </c>
      <c r="B7032" t="s">
        <v>10800</v>
      </c>
      <c r="C7032" t="s">
        <v>18</v>
      </c>
      <c r="D7032" t="s">
        <v>10802</v>
      </c>
      <c r="E7032" t="s">
        <v>10803</v>
      </c>
      <c r="F7032" t="s">
        <v>260</v>
      </c>
      <c r="G7032" t="s">
        <v>62</v>
      </c>
      <c r="J7032" t="b">
        <v>0</v>
      </c>
      <c r="K7032" t="b">
        <v>0</v>
      </c>
      <c r="L7032" t="b">
        <v>0</v>
      </c>
    </row>
    <row r="7033" spans="1:25" x14ac:dyDescent="0.2">
      <c r="A7033">
        <v>2999</v>
      </c>
      <c r="B7033" t="s">
        <v>10800</v>
      </c>
      <c r="C7033" t="s">
        <v>18</v>
      </c>
      <c r="D7033" t="s">
        <v>2171</v>
      </c>
      <c r="E7033" t="s">
        <v>2172</v>
      </c>
      <c r="F7033" t="s">
        <v>23</v>
      </c>
      <c r="G7033" t="s">
        <v>252</v>
      </c>
      <c r="J7033" t="b">
        <v>0</v>
      </c>
      <c r="K7033" t="b">
        <v>0</v>
      </c>
      <c r="L7033" t="b">
        <v>0</v>
      </c>
      <c r="M7033" t="str">
        <f>HYPERLINK("https://arizona.app.box.com/file/386246731391")</f>
        <v>https://arizona.app.box.com/file/386246731391</v>
      </c>
      <c r="N7033" t="str">
        <f>HYPERLINK("https://arizona.app.box.com/file/386242637131")</f>
        <v>https://arizona.app.box.com/file/386242637131</v>
      </c>
    </row>
    <row r="7034" spans="1:25" x14ac:dyDescent="0.2">
      <c r="A7034">
        <v>3000</v>
      </c>
      <c r="B7034" t="s">
        <v>10800</v>
      </c>
      <c r="C7034" t="s">
        <v>18</v>
      </c>
      <c r="D7034" t="s">
        <v>2177</v>
      </c>
      <c r="E7034" t="s">
        <v>2178</v>
      </c>
      <c r="F7034" t="s">
        <v>78</v>
      </c>
      <c r="G7034" t="s">
        <v>252</v>
      </c>
      <c r="J7034" t="b">
        <v>0</v>
      </c>
      <c r="K7034" t="b">
        <v>0</v>
      </c>
      <c r="L7034" t="b">
        <v>0</v>
      </c>
      <c r="M7034" t="str">
        <f>HYPERLINK("https://arizona.app.box.com/file/386218758668")</f>
        <v>https://arizona.app.box.com/file/386218758668</v>
      </c>
      <c r="N7034" t="str">
        <f>HYPERLINK("https://arizona.app.box.com/file/386241113911")</f>
        <v>https://arizona.app.box.com/file/386241113911</v>
      </c>
    </row>
    <row r="7035" spans="1:25" x14ac:dyDescent="0.2">
      <c r="A7035">
        <v>3001</v>
      </c>
      <c r="B7035" t="s">
        <v>10800</v>
      </c>
      <c r="C7035" t="s">
        <v>18</v>
      </c>
      <c r="D7035" t="s">
        <v>2191</v>
      </c>
      <c r="E7035" t="s">
        <v>2192</v>
      </c>
      <c r="F7035" t="s">
        <v>248</v>
      </c>
      <c r="G7035" t="s">
        <v>252</v>
      </c>
      <c r="J7035" t="b">
        <v>0</v>
      </c>
      <c r="K7035" t="b">
        <v>0</v>
      </c>
      <c r="L7035" t="b">
        <v>0</v>
      </c>
    </row>
    <row r="7037" spans="1:25" x14ac:dyDescent="0.2">
      <c r="A7037" s="2">
        <v>3003</v>
      </c>
      <c r="B7037" s="2" t="s">
        <v>10804</v>
      </c>
      <c r="C7037" s="2" t="s">
        <v>13</v>
      </c>
      <c r="D7037" s="2" t="s">
        <v>547</v>
      </c>
      <c r="E7037" s="2" t="s">
        <v>10805</v>
      </c>
      <c r="F7037" s="2" t="s">
        <v>78</v>
      </c>
      <c r="G7037" s="2" t="s">
        <v>17</v>
      </c>
      <c r="H7037" s="2"/>
      <c r="I7037" s="2"/>
      <c r="J7037" s="2"/>
      <c r="K7037" s="2"/>
      <c r="L7037" s="2"/>
      <c r="M7037" s="2"/>
      <c r="N7037" s="2"/>
      <c r="O7037" s="2"/>
      <c r="P7037" s="2"/>
      <c r="Q7037" s="2"/>
      <c r="R7037" s="2"/>
      <c r="S7037" s="2"/>
      <c r="T7037" s="2"/>
      <c r="U7037" s="2"/>
      <c r="V7037" s="2"/>
      <c r="W7037" s="2"/>
      <c r="X7037" s="2"/>
      <c r="Y7037" s="2"/>
    </row>
    <row r="7038" spans="1:25" x14ac:dyDescent="0.2">
      <c r="A7038">
        <v>3004</v>
      </c>
      <c r="B7038" t="s">
        <v>10804</v>
      </c>
      <c r="C7038" t="s">
        <v>18</v>
      </c>
      <c r="D7038" t="s">
        <v>547</v>
      </c>
      <c r="E7038" t="s">
        <v>548</v>
      </c>
      <c r="F7038" t="s">
        <v>78</v>
      </c>
      <c r="G7038" t="s">
        <v>17</v>
      </c>
      <c r="J7038" t="b">
        <v>1</v>
      </c>
      <c r="K7038" t="b">
        <v>1</v>
      </c>
      <c r="L7038" t="b">
        <v>1</v>
      </c>
      <c r="M7038" t="str">
        <f>HYPERLINK("https://arizona.app.box.com/file/389267170499")</f>
        <v>https://arizona.app.box.com/file/389267170499</v>
      </c>
      <c r="N7038" t="str">
        <f>HYPERLINK("https://arizona.app.box.com/file/389265433672")</f>
        <v>https://arizona.app.box.com/file/389265433672</v>
      </c>
      <c r="O7038" t="str">
        <f>HYPERLINK("https://arizona.app.box.com/file/389152970720")</f>
        <v>https://arizona.app.box.com/file/389152970720</v>
      </c>
    </row>
    <row r="7039" spans="1:25" x14ac:dyDescent="0.2">
      <c r="A7039">
        <v>3005</v>
      </c>
      <c r="B7039" t="s">
        <v>10804</v>
      </c>
      <c r="C7039" t="s">
        <v>18</v>
      </c>
      <c r="D7039" t="s">
        <v>555</v>
      </c>
      <c r="E7039" t="s">
        <v>556</v>
      </c>
      <c r="F7039" t="s">
        <v>78</v>
      </c>
      <c r="G7039" t="s">
        <v>17</v>
      </c>
      <c r="J7039" t="b">
        <v>1</v>
      </c>
      <c r="K7039" t="b">
        <v>1</v>
      </c>
      <c r="L7039" t="b">
        <v>1</v>
      </c>
      <c r="M7039" t="str">
        <f>HYPERLINK("https://arizona.app.box.com/file/389263138828")</f>
        <v>https://arizona.app.box.com/file/389263138828</v>
      </c>
    </row>
    <row r="7040" spans="1:25" x14ac:dyDescent="0.2">
      <c r="A7040">
        <v>3006</v>
      </c>
      <c r="B7040" t="s">
        <v>10804</v>
      </c>
      <c r="C7040" t="s">
        <v>18</v>
      </c>
      <c r="D7040" t="s">
        <v>552</v>
      </c>
      <c r="E7040" t="s">
        <v>553</v>
      </c>
      <c r="F7040" t="s">
        <v>174</v>
      </c>
      <c r="G7040" t="s">
        <v>17</v>
      </c>
      <c r="J7040" t="b">
        <v>0</v>
      </c>
      <c r="K7040" t="b">
        <v>0</v>
      </c>
      <c r="L7040" t="b">
        <v>0</v>
      </c>
      <c r="M7040" t="str">
        <f>HYPERLINK("https://arizona.app.box.com/file/389266797751")</f>
        <v>https://arizona.app.box.com/file/389266797751</v>
      </c>
    </row>
    <row r="7041" spans="1:25" x14ac:dyDescent="0.2">
      <c r="A7041">
        <v>3007</v>
      </c>
      <c r="B7041" t="s">
        <v>10804</v>
      </c>
      <c r="C7041" t="s">
        <v>18</v>
      </c>
      <c r="D7041" t="s">
        <v>1368</v>
      </c>
      <c r="E7041" t="s">
        <v>1369</v>
      </c>
      <c r="F7041" t="s">
        <v>174</v>
      </c>
      <c r="G7041" t="s">
        <v>17</v>
      </c>
      <c r="J7041" t="b">
        <v>0</v>
      </c>
      <c r="K7041" t="b">
        <v>0</v>
      </c>
      <c r="L7041" t="b">
        <v>0</v>
      </c>
      <c r="M7041" t="str">
        <f>HYPERLINK("https://arizona.app.box.com/file/389259852256")</f>
        <v>https://arizona.app.box.com/file/389259852256</v>
      </c>
      <c r="N7041" t="str">
        <f>HYPERLINK("https://arizona.app.box.com/file/389151932186")</f>
        <v>https://arizona.app.box.com/file/389151932186</v>
      </c>
      <c r="O7041" t="str">
        <f>HYPERLINK("https://arizona.app.box.com/file/386241113911")</f>
        <v>https://arizona.app.box.com/file/386241113911</v>
      </c>
    </row>
    <row r="7042" spans="1:25" x14ac:dyDescent="0.2">
      <c r="A7042">
        <v>3008</v>
      </c>
      <c r="B7042" t="s">
        <v>10804</v>
      </c>
      <c r="C7042" t="s">
        <v>18</v>
      </c>
      <c r="D7042" t="s">
        <v>3038</v>
      </c>
      <c r="E7042" t="s">
        <v>3039</v>
      </c>
      <c r="F7042" t="s">
        <v>369</v>
      </c>
      <c r="G7042" t="s">
        <v>17</v>
      </c>
      <c r="J7042" t="b">
        <v>0</v>
      </c>
      <c r="K7042" t="b">
        <v>0</v>
      </c>
      <c r="L7042" t="b">
        <v>0</v>
      </c>
      <c r="M7042" t="str">
        <f>HYPERLINK("https://arizona.app.box.com/file/389263278717")</f>
        <v>https://arizona.app.box.com/file/389263278717</v>
      </c>
      <c r="N7042" t="str">
        <f>HYPERLINK("https://arizona.app.box.com/file/389138361663")</f>
        <v>https://arizona.app.box.com/file/389138361663</v>
      </c>
      <c r="O7042" t="str">
        <f>HYPERLINK("https://arizona.app.box.com/file/389263961378")</f>
        <v>https://arizona.app.box.com/file/389263961378</v>
      </c>
    </row>
    <row r="7044" spans="1:25" x14ac:dyDescent="0.2">
      <c r="A7044" s="2">
        <v>3024</v>
      </c>
      <c r="B7044" s="2" t="s">
        <v>10806</v>
      </c>
      <c r="C7044" s="2" t="s">
        <v>13</v>
      </c>
      <c r="D7044" s="2" t="s">
        <v>10807</v>
      </c>
      <c r="E7044" s="2" t="s">
        <v>10808</v>
      </c>
      <c r="F7044" s="2" t="s">
        <v>248</v>
      </c>
      <c r="G7044" s="2" t="s">
        <v>417</v>
      </c>
      <c r="H7044" s="2"/>
      <c r="I7044" s="2"/>
      <c r="J7044" s="2"/>
      <c r="K7044" s="2"/>
      <c r="L7044" s="2"/>
      <c r="M7044" s="2"/>
      <c r="N7044" s="2"/>
      <c r="O7044" s="2"/>
      <c r="P7044" s="2"/>
      <c r="Q7044" s="2"/>
      <c r="R7044" s="2"/>
      <c r="S7044" s="2"/>
      <c r="T7044" s="2"/>
      <c r="U7044" s="2"/>
      <c r="V7044" s="2"/>
      <c r="W7044" s="2"/>
      <c r="X7044" s="2"/>
      <c r="Y7044" s="2"/>
    </row>
    <row r="7045" spans="1:25" x14ac:dyDescent="0.2">
      <c r="A7045">
        <v>3025</v>
      </c>
      <c r="B7045" t="s">
        <v>10806</v>
      </c>
      <c r="C7045" t="s">
        <v>18</v>
      </c>
      <c r="D7045" t="s">
        <v>10807</v>
      </c>
      <c r="E7045" t="s">
        <v>10808</v>
      </c>
      <c r="F7045" t="s">
        <v>248</v>
      </c>
      <c r="G7045" t="s">
        <v>417</v>
      </c>
      <c r="J7045" t="b">
        <v>1</v>
      </c>
      <c r="K7045" t="b">
        <v>1</v>
      </c>
      <c r="L7045" t="b">
        <v>1</v>
      </c>
      <c r="M7045" t="str">
        <f>HYPERLINK("https://arizona.app.box.com/file/386243760906")</f>
        <v>https://arizona.app.box.com/file/386243760906</v>
      </c>
      <c r="N7045" t="str">
        <f>HYPERLINK("https://arizona.app.box.com/file/386242136645")</f>
        <v>https://arizona.app.box.com/file/386242136645</v>
      </c>
    </row>
    <row r="7046" spans="1:25" x14ac:dyDescent="0.2">
      <c r="A7046">
        <v>3026</v>
      </c>
      <c r="B7046" t="s">
        <v>10806</v>
      </c>
      <c r="C7046" t="s">
        <v>18</v>
      </c>
      <c r="D7046" t="s">
        <v>4183</v>
      </c>
      <c r="E7046" t="s">
        <v>4184</v>
      </c>
      <c r="F7046" t="s">
        <v>3988</v>
      </c>
      <c r="G7046" t="s">
        <v>32</v>
      </c>
      <c r="J7046" t="b">
        <v>0</v>
      </c>
      <c r="K7046" t="b">
        <v>0</v>
      </c>
      <c r="L7046" t="b">
        <v>0</v>
      </c>
      <c r="M7046" t="str">
        <f>HYPERLINK("https://arizona.app.box.com/file/389174516905")</f>
        <v>https://arizona.app.box.com/file/389174516905</v>
      </c>
    </row>
    <row r="7047" spans="1:25" x14ac:dyDescent="0.2">
      <c r="A7047">
        <v>3027</v>
      </c>
      <c r="B7047" t="s">
        <v>10806</v>
      </c>
      <c r="C7047" t="s">
        <v>18</v>
      </c>
      <c r="D7047" t="s">
        <v>10809</v>
      </c>
      <c r="E7047" t="s">
        <v>10810</v>
      </c>
      <c r="F7047" t="s">
        <v>78</v>
      </c>
      <c r="G7047" t="s">
        <v>252</v>
      </c>
      <c r="J7047" t="b">
        <v>0</v>
      </c>
      <c r="K7047" t="b">
        <v>0</v>
      </c>
      <c r="L7047" t="b">
        <v>0</v>
      </c>
      <c r="M7047" t="str">
        <f>HYPERLINK("https://arizona.app.box.com/file/386263757337")</f>
        <v>https://arizona.app.box.com/file/386263757337</v>
      </c>
      <c r="N7047" t="str">
        <f>HYPERLINK("https://arizona.app.box.com/file/386241113911")</f>
        <v>https://arizona.app.box.com/file/386241113911</v>
      </c>
    </row>
    <row r="7048" spans="1:25" x14ac:dyDescent="0.2">
      <c r="A7048">
        <v>3028</v>
      </c>
      <c r="B7048" t="s">
        <v>10806</v>
      </c>
      <c r="C7048" t="s">
        <v>18</v>
      </c>
      <c r="D7048" t="s">
        <v>10811</v>
      </c>
      <c r="E7048" t="s">
        <v>10812</v>
      </c>
      <c r="F7048" t="s">
        <v>248</v>
      </c>
      <c r="G7048" t="s">
        <v>17</v>
      </c>
      <c r="J7048" t="b">
        <v>0</v>
      </c>
      <c r="K7048" t="b">
        <v>0</v>
      </c>
      <c r="L7048" t="b">
        <v>0</v>
      </c>
      <c r="M7048" t="str">
        <f>HYPERLINK("https://arizona.app.box.com/file/386266345536")</f>
        <v>https://arizona.app.box.com/file/386266345536</v>
      </c>
      <c r="N7048" t="str">
        <f>HYPERLINK("https://arizona.app.box.com/file/389151075483")</f>
        <v>https://arizona.app.box.com/file/389151075483</v>
      </c>
    </row>
    <row r="7049" spans="1:25" x14ac:dyDescent="0.2">
      <c r="A7049">
        <v>3029</v>
      </c>
      <c r="B7049" t="s">
        <v>10806</v>
      </c>
      <c r="C7049" t="s">
        <v>18</v>
      </c>
      <c r="D7049" t="s">
        <v>5277</v>
      </c>
      <c r="E7049" t="s">
        <v>5278</v>
      </c>
      <c r="F7049" t="s">
        <v>159</v>
      </c>
      <c r="G7049" t="s">
        <v>17</v>
      </c>
      <c r="J7049" t="b">
        <v>0</v>
      </c>
      <c r="K7049" t="b">
        <v>0</v>
      </c>
      <c r="L7049" t="b">
        <v>0</v>
      </c>
      <c r="M7049" t="str">
        <f>HYPERLINK("https://arizona.app.box.com/file/389169870146")</f>
        <v>https://arizona.app.box.com/file/389169870146</v>
      </c>
      <c r="N7049" t="str">
        <f>HYPERLINK("https://arizona.app.box.com/file/386226338809")</f>
        <v>https://arizona.app.box.com/file/386226338809</v>
      </c>
    </row>
    <row r="7051" spans="1:25" x14ac:dyDescent="0.2">
      <c r="A7051" s="2">
        <v>3045</v>
      </c>
      <c r="B7051" s="2" t="s">
        <v>10813</v>
      </c>
      <c r="C7051" s="2" t="s">
        <v>13</v>
      </c>
      <c r="D7051" s="2" t="s">
        <v>10814</v>
      </c>
      <c r="E7051" s="2" t="s">
        <v>5946</v>
      </c>
      <c r="F7051" s="2" t="s">
        <v>78</v>
      </c>
      <c r="G7051" s="2" t="s">
        <v>280</v>
      </c>
      <c r="H7051" s="2"/>
      <c r="I7051" s="2"/>
      <c r="J7051" s="2"/>
      <c r="K7051" s="2"/>
      <c r="L7051" s="2"/>
      <c r="M7051" s="2"/>
      <c r="N7051" s="2"/>
      <c r="O7051" s="2"/>
      <c r="P7051" s="2"/>
      <c r="Q7051" s="2"/>
      <c r="R7051" s="2"/>
      <c r="S7051" s="2"/>
      <c r="T7051" s="2"/>
      <c r="U7051" s="2"/>
      <c r="V7051" s="2"/>
      <c r="W7051" s="2"/>
      <c r="X7051" s="2"/>
      <c r="Y7051" s="2"/>
    </row>
    <row r="7052" spans="1:25" x14ac:dyDescent="0.2">
      <c r="A7052">
        <v>3046</v>
      </c>
      <c r="B7052" t="s">
        <v>10813</v>
      </c>
      <c r="C7052" t="s">
        <v>18</v>
      </c>
      <c r="D7052" t="s">
        <v>5724</v>
      </c>
      <c r="E7052" t="s">
        <v>5725</v>
      </c>
      <c r="F7052" t="s">
        <v>5726</v>
      </c>
      <c r="G7052" t="s">
        <v>280</v>
      </c>
      <c r="J7052" t="b">
        <v>0</v>
      </c>
      <c r="K7052" t="b">
        <v>0</v>
      </c>
      <c r="L7052" t="b">
        <v>0</v>
      </c>
      <c r="M7052" t="str">
        <f>HYPERLINK("https://arizona.app.box.com/file/389259513909")</f>
        <v>https://arizona.app.box.com/file/389259513909</v>
      </c>
      <c r="N7052" t="str">
        <f>HYPERLINK("https://arizona.app.box.com/file/389160840200")</f>
        <v>https://arizona.app.box.com/file/389160840200</v>
      </c>
      <c r="O7052" t="str">
        <f>HYPERLINK("https://arizona.app.box.com/file/389268849475")</f>
        <v>https://arizona.app.box.com/file/389268849475</v>
      </c>
      <c r="P7052" t="str">
        <f>HYPERLINK("https://arizona.app.box.com/file/389172148402")</f>
        <v>https://arizona.app.box.com/file/389172148402</v>
      </c>
      <c r="Q7052" t="str">
        <f>HYPERLINK("https://arizona.app.box.com/file/389164699818")</f>
        <v>https://arizona.app.box.com/file/389164699818</v>
      </c>
    </row>
    <row r="7053" spans="1:25" x14ac:dyDescent="0.2">
      <c r="A7053">
        <v>3047</v>
      </c>
      <c r="B7053" t="s">
        <v>10813</v>
      </c>
      <c r="C7053" t="s">
        <v>18</v>
      </c>
      <c r="D7053" t="s">
        <v>4355</v>
      </c>
      <c r="E7053" t="s">
        <v>4353</v>
      </c>
      <c r="F7053" t="s">
        <v>78</v>
      </c>
      <c r="G7053" t="s">
        <v>280</v>
      </c>
      <c r="J7053" t="b">
        <v>1</v>
      </c>
      <c r="K7053" t="b">
        <v>1</v>
      </c>
      <c r="L7053" t="b">
        <v>1</v>
      </c>
      <c r="M7053" t="str">
        <f>HYPERLINK("https://arizona.app.box.com/file/389166086724")</f>
        <v>https://arizona.app.box.com/file/389166086724</v>
      </c>
    </row>
    <row r="7054" spans="1:25" x14ac:dyDescent="0.2">
      <c r="A7054">
        <v>3048</v>
      </c>
      <c r="B7054" t="s">
        <v>10813</v>
      </c>
      <c r="C7054" t="s">
        <v>18</v>
      </c>
      <c r="D7054" t="s">
        <v>10815</v>
      </c>
      <c r="E7054" t="s">
        <v>7191</v>
      </c>
      <c r="F7054" t="s">
        <v>159</v>
      </c>
      <c r="G7054" t="s">
        <v>280</v>
      </c>
      <c r="J7054" t="b">
        <v>0</v>
      </c>
      <c r="K7054" t="b">
        <v>0</v>
      </c>
      <c r="L7054" t="b">
        <v>0</v>
      </c>
      <c r="M7054" t="str">
        <f>HYPERLINK("https://arizona.app.box.com/file/389178827304")</f>
        <v>https://arizona.app.box.com/file/389178827304</v>
      </c>
    </row>
    <row r="7055" spans="1:25" x14ac:dyDescent="0.2">
      <c r="A7055">
        <v>3049</v>
      </c>
      <c r="B7055" t="s">
        <v>10813</v>
      </c>
      <c r="C7055" t="s">
        <v>18</v>
      </c>
      <c r="D7055" t="s">
        <v>5732</v>
      </c>
      <c r="E7055" t="s">
        <v>5733</v>
      </c>
      <c r="F7055" t="s">
        <v>1837</v>
      </c>
      <c r="G7055" t="s">
        <v>280</v>
      </c>
      <c r="J7055" t="b">
        <v>0</v>
      </c>
      <c r="K7055" t="b">
        <v>0</v>
      </c>
      <c r="L7055" t="b">
        <v>0</v>
      </c>
      <c r="M7055" t="str">
        <f>HYPERLINK("https://arizona.app.box.com/file/389176701749")</f>
        <v>https://arizona.app.box.com/file/389176701749</v>
      </c>
      <c r="N7055" t="str">
        <f>HYPERLINK("https://arizona.app.box.com/file/386233111918")</f>
        <v>https://arizona.app.box.com/file/386233111918</v>
      </c>
      <c r="O7055" t="str">
        <f>HYPERLINK("https://arizona.app.box.com/file/389173990119")</f>
        <v>https://arizona.app.box.com/file/389173990119</v>
      </c>
      <c r="P7055" t="str">
        <f>HYPERLINK("https://arizona.app.box.com/file/389264304374")</f>
        <v>https://arizona.app.box.com/file/389264304374</v>
      </c>
    </row>
    <row r="7056" spans="1:25" x14ac:dyDescent="0.2">
      <c r="A7056">
        <v>3050</v>
      </c>
      <c r="B7056" t="s">
        <v>10813</v>
      </c>
      <c r="C7056" t="s">
        <v>18</v>
      </c>
      <c r="D7056" t="s">
        <v>5716</v>
      </c>
      <c r="E7056" t="s">
        <v>5717</v>
      </c>
      <c r="F7056" t="s">
        <v>1938</v>
      </c>
      <c r="G7056" t="s">
        <v>280</v>
      </c>
      <c r="J7056" t="b">
        <v>0</v>
      </c>
      <c r="K7056" t="b">
        <v>0</v>
      </c>
      <c r="L7056" t="b">
        <v>0</v>
      </c>
      <c r="M7056" t="str">
        <f>HYPERLINK("https://arizona.app.box.com/file/389257218042")</f>
        <v>https://arizona.app.box.com/file/389257218042</v>
      </c>
      <c r="N7056" t="str">
        <f>HYPERLINK("https://arizona.app.box.com/file/389154878474")</f>
        <v>https://arizona.app.box.com/file/389154878474</v>
      </c>
    </row>
    <row r="7058" spans="1:25" x14ac:dyDescent="0.2">
      <c r="A7058" s="2">
        <v>3052</v>
      </c>
      <c r="B7058" s="2" t="s">
        <v>10816</v>
      </c>
      <c r="C7058" s="2" t="s">
        <v>13</v>
      </c>
      <c r="D7058" s="2" t="s">
        <v>10817</v>
      </c>
      <c r="E7058" s="2" t="s">
        <v>10453</v>
      </c>
      <c r="F7058" s="2" t="s">
        <v>205</v>
      </c>
      <c r="G7058" s="2" t="s">
        <v>134</v>
      </c>
      <c r="H7058" s="2"/>
      <c r="I7058" s="2"/>
      <c r="J7058" s="2"/>
      <c r="K7058" s="2"/>
      <c r="L7058" s="2"/>
      <c r="M7058" s="2"/>
      <c r="N7058" s="2"/>
      <c r="O7058" s="2"/>
      <c r="P7058" s="2"/>
      <c r="Q7058" s="2"/>
      <c r="R7058" s="2"/>
      <c r="S7058" s="2"/>
      <c r="T7058" s="2"/>
      <c r="U7058" s="2"/>
      <c r="V7058" s="2"/>
      <c r="W7058" s="2"/>
      <c r="X7058" s="2"/>
      <c r="Y7058" s="2"/>
    </row>
    <row r="7059" spans="1:25" x14ac:dyDescent="0.2">
      <c r="A7059">
        <v>3053</v>
      </c>
      <c r="B7059" t="s">
        <v>10816</v>
      </c>
      <c r="C7059" t="s">
        <v>18</v>
      </c>
      <c r="D7059" t="s">
        <v>10452</v>
      </c>
      <c r="E7059" t="s">
        <v>10453</v>
      </c>
      <c r="F7059" t="s">
        <v>205</v>
      </c>
      <c r="G7059" t="s">
        <v>134</v>
      </c>
      <c r="J7059" t="b">
        <v>1</v>
      </c>
      <c r="K7059" t="b">
        <v>1</v>
      </c>
      <c r="L7059" t="b">
        <v>1</v>
      </c>
    </row>
    <row r="7060" spans="1:25" x14ac:dyDescent="0.2">
      <c r="A7060">
        <v>3054</v>
      </c>
      <c r="B7060" t="s">
        <v>10816</v>
      </c>
      <c r="C7060" t="s">
        <v>18</v>
      </c>
      <c r="D7060" t="s">
        <v>2486</v>
      </c>
      <c r="E7060" t="s">
        <v>2487</v>
      </c>
      <c r="F7060" t="s">
        <v>205</v>
      </c>
      <c r="G7060" t="s">
        <v>134</v>
      </c>
      <c r="J7060" t="b">
        <v>0</v>
      </c>
      <c r="K7060" t="b">
        <v>0</v>
      </c>
      <c r="L7060" t="b">
        <v>0</v>
      </c>
      <c r="M7060" t="str">
        <f>HYPERLINK("https://arizona.app.box.com/file/389163865673")</f>
        <v>https://arizona.app.box.com/file/389163865673</v>
      </c>
      <c r="N7060" t="str">
        <f>HYPERLINK("https://arizona.app.box.com/file/386241113911")</f>
        <v>https://arizona.app.box.com/file/386241113911</v>
      </c>
    </row>
    <row r="7061" spans="1:25" x14ac:dyDescent="0.2">
      <c r="A7061">
        <v>3055</v>
      </c>
      <c r="B7061" t="s">
        <v>10816</v>
      </c>
      <c r="C7061" t="s">
        <v>18</v>
      </c>
      <c r="D7061" t="s">
        <v>2489</v>
      </c>
      <c r="E7061" t="s">
        <v>2490</v>
      </c>
      <c r="F7061" t="s">
        <v>205</v>
      </c>
      <c r="G7061" t="s">
        <v>134</v>
      </c>
      <c r="J7061" t="b">
        <v>0</v>
      </c>
      <c r="K7061" t="b">
        <v>0</v>
      </c>
      <c r="L7061" t="b">
        <v>0</v>
      </c>
      <c r="M7061" t="str">
        <f>HYPERLINK("https://arizona.app.box.com/file/389153183261")</f>
        <v>https://arizona.app.box.com/file/389153183261</v>
      </c>
    </row>
    <row r="7062" spans="1:25" x14ac:dyDescent="0.2">
      <c r="A7062">
        <v>3056</v>
      </c>
      <c r="B7062" t="s">
        <v>10816</v>
      </c>
      <c r="C7062" t="s">
        <v>18</v>
      </c>
      <c r="D7062" t="s">
        <v>2492</v>
      </c>
      <c r="E7062" t="s">
        <v>2493</v>
      </c>
      <c r="F7062" t="s">
        <v>78</v>
      </c>
      <c r="G7062" t="s">
        <v>134</v>
      </c>
      <c r="J7062" t="b">
        <v>0</v>
      </c>
      <c r="K7062" t="b">
        <v>0</v>
      </c>
      <c r="L7062" t="b">
        <v>0</v>
      </c>
    </row>
    <row r="7063" spans="1:25" x14ac:dyDescent="0.2">
      <c r="A7063">
        <v>3057</v>
      </c>
      <c r="B7063" t="s">
        <v>10816</v>
      </c>
      <c r="C7063" t="s">
        <v>18</v>
      </c>
      <c r="D7063" t="s">
        <v>8641</v>
      </c>
      <c r="E7063" t="s">
        <v>3656</v>
      </c>
      <c r="F7063" t="s">
        <v>260</v>
      </c>
      <c r="G7063" t="s">
        <v>134</v>
      </c>
      <c r="J7063" t="b">
        <v>0</v>
      </c>
      <c r="K7063" t="b">
        <v>0</v>
      </c>
      <c r="L7063" t="b">
        <v>0</v>
      </c>
      <c r="M7063" t="str">
        <f>HYPERLINK("https://arizona.app.box.com/file/389263415047")</f>
        <v>https://arizona.app.box.com/file/389263415047</v>
      </c>
    </row>
    <row r="7065" spans="1:25" x14ac:dyDescent="0.2">
      <c r="A7065" s="2">
        <v>3059</v>
      </c>
      <c r="B7065" s="2" t="s">
        <v>10818</v>
      </c>
      <c r="C7065" s="2" t="s">
        <v>13</v>
      </c>
      <c r="D7065" s="2" t="s">
        <v>10819</v>
      </c>
      <c r="E7065" s="2" t="s">
        <v>10820</v>
      </c>
      <c r="F7065" s="2" t="s">
        <v>45</v>
      </c>
      <c r="G7065" s="2" t="s">
        <v>24</v>
      </c>
      <c r="H7065" s="2"/>
      <c r="I7065" s="2"/>
      <c r="J7065" s="2"/>
      <c r="K7065" s="2"/>
      <c r="L7065" s="2"/>
      <c r="M7065" s="2"/>
      <c r="N7065" s="2"/>
      <c r="O7065" s="2"/>
      <c r="P7065" s="2"/>
      <c r="Q7065" s="2"/>
      <c r="R7065" s="2"/>
      <c r="S7065" s="2"/>
      <c r="T7065" s="2"/>
      <c r="U7065" s="2"/>
      <c r="V7065" s="2"/>
      <c r="W7065" s="2"/>
      <c r="X7065" s="2"/>
      <c r="Y7065" s="2"/>
    </row>
    <row r="7066" spans="1:25" x14ac:dyDescent="0.2">
      <c r="A7066">
        <v>3060</v>
      </c>
      <c r="B7066" t="s">
        <v>10818</v>
      </c>
      <c r="C7066" t="s">
        <v>18</v>
      </c>
      <c r="D7066" t="s">
        <v>10819</v>
      </c>
      <c r="E7066" t="s">
        <v>1231</v>
      </c>
      <c r="F7066" t="s">
        <v>45</v>
      </c>
      <c r="G7066" t="s">
        <v>24</v>
      </c>
      <c r="J7066" t="b">
        <v>1</v>
      </c>
      <c r="K7066" t="b">
        <v>1</v>
      </c>
      <c r="L7066" t="b">
        <v>1</v>
      </c>
      <c r="M7066" t="str">
        <f>HYPERLINK("https://arizona.app.box.com/file/386215104048")</f>
        <v>https://arizona.app.box.com/file/386215104048</v>
      </c>
    </row>
    <row r="7067" spans="1:25" x14ac:dyDescent="0.2">
      <c r="A7067">
        <v>3061</v>
      </c>
      <c r="B7067" t="s">
        <v>10818</v>
      </c>
      <c r="C7067" t="s">
        <v>18</v>
      </c>
      <c r="D7067" t="s">
        <v>10821</v>
      </c>
      <c r="E7067" t="s">
        <v>180</v>
      </c>
      <c r="F7067" t="s">
        <v>45</v>
      </c>
      <c r="G7067" t="s">
        <v>24</v>
      </c>
      <c r="J7067" t="b">
        <v>1</v>
      </c>
      <c r="K7067" t="b">
        <v>1</v>
      </c>
      <c r="L7067" t="b">
        <v>1</v>
      </c>
      <c r="M7067" t="str">
        <f>HYPERLINK("https://arizona.app.box.com/file/386239026701")</f>
        <v>https://arizona.app.box.com/file/386239026701</v>
      </c>
    </row>
    <row r="7068" spans="1:25" x14ac:dyDescent="0.2">
      <c r="A7068">
        <v>3062</v>
      </c>
      <c r="B7068" t="s">
        <v>10818</v>
      </c>
      <c r="C7068" t="s">
        <v>18</v>
      </c>
      <c r="D7068" t="s">
        <v>10822</v>
      </c>
      <c r="E7068" t="s">
        <v>3695</v>
      </c>
      <c r="F7068" t="s">
        <v>151</v>
      </c>
      <c r="G7068" t="s">
        <v>24</v>
      </c>
      <c r="J7068" t="b">
        <v>0</v>
      </c>
      <c r="K7068" t="b">
        <v>0</v>
      </c>
      <c r="L7068" t="b">
        <v>0</v>
      </c>
      <c r="M7068" t="str">
        <f>HYPERLINK("https://arizona.app.box.com/file/389257040395")</f>
        <v>https://arizona.app.box.com/file/389257040395</v>
      </c>
      <c r="N7068" t="str">
        <f>HYPERLINK("https://arizona.app.box.com/file/389172439528")</f>
        <v>https://arizona.app.box.com/file/389172439528</v>
      </c>
    </row>
    <row r="7069" spans="1:25" x14ac:dyDescent="0.2">
      <c r="A7069">
        <v>3063</v>
      </c>
      <c r="B7069" t="s">
        <v>10818</v>
      </c>
      <c r="C7069" t="s">
        <v>18</v>
      </c>
      <c r="D7069" t="s">
        <v>10823</v>
      </c>
      <c r="E7069" t="s">
        <v>10824</v>
      </c>
      <c r="F7069" t="s">
        <v>82</v>
      </c>
      <c r="G7069" t="s">
        <v>1406</v>
      </c>
      <c r="J7069" t="b">
        <v>0</v>
      </c>
      <c r="K7069" t="b">
        <v>0</v>
      </c>
      <c r="L7069" t="b">
        <v>0</v>
      </c>
      <c r="M7069" t="str">
        <f>HYPERLINK("https://arizona.app.box.com/file/386251426893")</f>
        <v>https://arizona.app.box.com/file/386251426893</v>
      </c>
      <c r="N7069" t="str">
        <f>HYPERLINK("https://arizona.app.box.com/file/386243791539")</f>
        <v>https://arizona.app.box.com/file/386243791539</v>
      </c>
    </row>
    <row r="7070" spans="1:25" x14ac:dyDescent="0.2">
      <c r="A7070">
        <v>3064</v>
      </c>
      <c r="B7070" t="s">
        <v>10818</v>
      </c>
      <c r="C7070" t="s">
        <v>18</v>
      </c>
      <c r="D7070" t="s">
        <v>10825</v>
      </c>
      <c r="E7070" t="s">
        <v>5806</v>
      </c>
      <c r="F7070" t="s">
        <v>122</v>
      </c>
      <c r="G7070" t="s">
        <v>24</v>
      </c>
      <c r="J7070" t="b">
        <v>0</v>
      </c>
      <c r="K7070" t="b">
        <v>0</v>
      </c>
      <c r="L7070" t="b">
        <v>0</v>
      </c>
      <c r="M7070" t="str">
        <f>HYPERLINK("https://arizona.app.box.com/file/389184490277")</f>
        <v>https://arizona.app.box.com/file/389184490277</v>
      </c>
    </row>
    <row r="7072" spans="1:25" x14ac:dyDescent="0.2">
      <c r="A7072" s="2">
        <v>3066</v>
      </c>
      <c r="B7072" s="2" t="s">
        <v>10826</v>
      </c>
      <c r="C7072" s="2" t="s">
        <v>13</v>
      </c>
      <c r="D7072" s="2" t="s">
        <v>10827</v>
      </c>
      <c r="E7072" s="2" t="s">
        <v>10828</v>
      </c>
      <c r="F7072" s="2" t="s">
        <v>78</v>
      </c>
      <c r="G7072" s="2" t="s">
        <v>17</v>
      </c>
      <c r="H7072" s="2"/>
      <c r="I7072" s="2"/>
      <c r="J7072" s="2"/>
      <c r="K7072" s="2"/>
      <c r="L7072" s="2"/>
      <c r="M7072" s="2"/>
      <c r="N7072" s="2"/>
      <c r="O7072" s="2"/>
      <c r="P7072" s="2"/>
      <c r="Q7072" s="2"/>
      <c r="R7072" s="2"/>
      <c r="S7072" s="2"/>
      <c r="T7072" s="2"/>
      <c r="U7072" s="2"/>
      <c r="V7072" s="2"/>
      <c r="W7072" s="2"/>
      <c r="X7072" s="2"/>
      <c r="Y7072" s="2"/>
    </row>
    <row r="7073" spans="1:25" x14ac:dyDescent="0.2">
      <c r="A7073">
        <v>3067</v>
      </c>
      <c r="B7073" t="s">
        <v>10826</v>
      </c>
      <c r="C7073" t="s">
        <v>18</v>
      </c>
      <c r="D7073" t="s">
        <v>10827</v>
      </c>
      <c r="E7073" t="s">
        <v>639</v>
      </c>
      <c r="F7073" t="s">
        <v>78</v>
      </c>
      <c r="G7073" t="s">
        <v>17</v>
      </c>
      <c r="J7073" t="b">
        <v>1</v>
      </c>
      <c r="K7073" t="b">
        <v>1</v>
      </c>
      <c r="L7073" t="b">
        <v>1</v>
      </c>
      <c r="M7073" t="str">
        <f>HYPERLINK("https://arizona.app.box.com/file/389268319822")</f>
        <v>https://arizona.app.box.com/file/389268319822</v>
      </c>
    </row>
    <row r="7074" spans="1:25" x14ac:dyDescent="0.2">
      <c r="A7074">
        <v>3068</v>
      </c>
      <c r="B7074" t="s">
        <v>10826</v>
      </c>
      <c r="C7074" t="s">
        <v>18</v>
      </c>
      <c r="D7074" t="s">
        <v>10829</v>
      </c>
      <c r="E7074" t="s">
        <v>10830</v>
      </c>
      <c r="F7074" t="s">
        <v>151</v>
      </c>
      <c r="G7074" t="s">
        <v>17</v>
      </c>
      <c r="J7074" t="b">
        <v>1</v>
      </c>
      <c r="K7074" t="b">
        <v>0</v>
      </c>
      <c r="L7074" t="b">
        <v>1</v>
      </c>
      <c r="M7074" t="str">
        <f>HYPERLINK("https://arizona.app.box.com/file/389266528415")</f>
        <v>https://arizona.app.box.com/file/389266528415</v>
      </c>
      <c r="N7074" t="str">
        <f>HYPERLINK("https://arizona.app.box.com/file/389138516948")</f>
        <v>https://arizona.app.box.com/file/389138516948</v>
      </c>
    </row>
    <row r="7075" spans="1:25" x14ac:dyDescent="0.2">
      <c r="A7075">
        <v>3069</v>
      </c>
      <c r="B7075" t="s">
        <v>10826</v>
      </c>
      <c r="C7075" t="s">
        <v>18</v>
      </c>
      <c r="D7075" t="s">
        <v>10831</v>
      </c>
      <c r="E7075" t="s">
        <v>10832</v>
      </c>
      <c r="F7075" t="s">
        <v>82</v>
      </c>
      <c r="G7075" t="s">
        <v>17</v>
      </c>
      <c r="J7075" t="b">
        <v>0</v>
      </c>
      <c r="K7075" t="b">
        <v>0</v>
      </c>
      <c r="L7075" t="b">
        <v>0</v>
      </c>
    </row>
    <row r="7076" spans="1:25" x14ac:dyDescent="0.2">
      <c r="A7076">
        <v>3070</v>
      </c>
      <c r="B7076" t="s">
        <v>10826</v>
      </c>
      <c r="C7076" t="s">
        <v>18</v>
      </c>
      <c r="D7076" t="s">
        <v>10833</v>
      </c>
      <c r="E7076" t="s">
        <v>10834</v>
      </c>
      <c r="F7076" t="s">
        <v>31</v>
      </c>
      <c r="G7076" t="s">
        <v>17</v>
      </c>
      <c r="J7076" t="b">
        <v>0</v>
      </c>
      <c r="K7076" t="b">
        <v>0</v>
      </c>
      <c r="L7076" t="b">
        <v>0</v>
      </c>
    </row>
    <row r="7077" spans="1:25" x14ac:dyDescent="0.2">
      <c r="A7077">
        <v>3071</v>
      </c>
      <c r="B7077" t="s">
        <v>10826</v>
      </c>
      <c r="C7077" t="s">
        <v>18</v>
      </c>
      <c r="D7077" t="s">
        <v>10835</v>
      </c>
      <c r="E7077" t="s">
        <v>4149</v>
      </c>
      <c r="F7077" t="s">
        <v>31</v>
      </c>
      <c r="G7077" t="s">
        <v>17</v>
      </c>
      <c r="J7077" t="b">
        <v>0</v>
      </c>
      <c r="K7077" t="b">
        <v>0</v>
      </c>
      <c r="L7077" t="b">
        <v>0</v>
      </c>
      <c r="M7077" t="str">
        <f>HYPERLINK("https://arizona.app.box.com/file/386264891415")</f>
        <v>https://arizona.app.box.com/file/386264891415</v>
      </c>
    </row>
    <row r="7079" spans="1:25" x14ac:dyDescent="0.2">
      <c r="A7079" s="2">
        <v>3129</v>
      </c>
      <c r="B7079" s="2" t="s">
        <v>10836</v>
      </c>
      <c r="C7079" s="2" t="s">
        <v>13</v>
      </c>
      <c r="D7079" s="2" t="s">
        <v>10822</v>
      </c>
      <c r="E7079" s="2" t="s">
        <v>10837</v>
      </c>
      <c r="F7079" s="2" t="s">
        <v>151</v>
      </c>
      <c r="G7079" s="2" t="s">
        <v>24</v>
      </c>
      <c r="H7079" s="2"/>
      <c r="I7079" s="2"/>
      <c r="J7079" s="2"/>
      <c r="K7079" s="2"/>
      <c r="L7079" s="2"/>
      <c r="M7079" s="2"/>
      <c r="N7079" s="2"/>
      <c r="O7079" s="2"/>
      <c r="P7079" s="2"/>
      <c r="Q7079" s="2"/>
      <c r="R7079" s="2"/>
      <c r="S7079" s="2"/>
      <c r="T7079" s="2"/>
      <c r="U7079" s="2"/>
      <c r="V7079" s="2"/>
      <c r="W7079" s="2"/>
      <c r="X7079" s="2"/>
      <c r="Y7079" s="2"/>
    </row>
    <row r="7080" spans="1:25" x14ac:dyDescent="0.2">
      <c r="A7080">
        <v>3130</v>
      </c>
      <c r="B7080" t="s">
        <v>10836</v>
      </c>
      <c r="C7080" t="s">
        <v>18</v>
      </c>
      <c r="D7080" t="s">
        <v>10822</v>
      </c>
      <c r="E7080" t="s">
        <v>3695</v>
      </c>
      <c r="F7080" t="s">
        <v>151</v>
      </c>
      <c r="G7080" t="s">
        <v>24</v>
      </c>
      <c r="J7080" t="b">
        <v>1</v>
      </c>
      <c r="K7080" t="b">
        <v>1</v>
      </c>
      <c r="L7080" t="b">
        <v>1</v>
      </c>
      <c r="M7080" t="str">
        <f>HYPERLINK("https://arizona.app.box.com/file/389257040395")</f>
        <v>https://arizona.app.box.com/file/389257040395</v>
      </c>
      <c r="N7080" t="str">
        <f>HYPERLINK("https://arizona.app.box.com/file/389172439528")</f>
        <v>https://arizona.app.box.com/file/389172439528</v>
      </c>
    </row>
    <row r="7081" spans="1:25" x14ac:dyDescent="0.2">
      <c r="A7081">
        <v>3131</v>
      </c>
      <c r="B7081" t="s">
        <v>10836</v>
      </c>
      <c r="C7081" t="s">
        <v>18</v>
      </c>
      <c r="D7081" t="s">
        <v>10838</v>
      </c>
      <c r="E7081" t="s">
        <v>176</v>
      </c>
      <c r="F7081" t="s">
        <v>151</v>
      </c>
      <c r="G7081" t="s">
        <v>24</v>
      </c>
      <c r="J7081" t="b">
        <v>1</v>
      </c>
      <c r="K7081" t="b">
        <v>1</v>
      </c>
      <c r="L7081" t="b">
        <v>1</v>
      </c>
      <c r="M7081" t="str">
        <f>HYPERLINK("https://arizona.app.box.com/file/386227358791")</f>
        <v>https://arizona.app.box.com/file/386227358791</v>
      </c>
    </row>
    <row r="7082" spans="1:25" x14ac:dyDescent="0.2">
      <c r="A7082">
        <v>3132</v>
      </c>
      <c r="B7082" t="s">
        <v>10836</v>
      </c>
      <c r="C7082" t="s">
        <v>18</v>
      </c>
      <c r="D7082" t="s">
        <v>10839</v>
      </c>
      <c r="E7082" t="s">
        <v>10840</v>
      </c>
      <c r="F7082" t="s">
        <v>16</v>
      </c>
      <c r="G7082" t="s">
        <v>24</v>
      </c>
      <c r="J7082" t="b">
        <v>0</v>
      </c>
      <c r="K7082" t="b">
        <v>0</v>
      </c>
      <c r="L7082" t="b">
        <v>0</v>
      </c>
    </row>
    <row r="7083" spans="1:25" x14ac:dyDescent="0.2">
      <c r="A7083">
        <v>3133</v>
      </c>
      <c r="B7083" t="s">
        <v>10836</v>
      </c>
      <c r="C7083" t="s">
        <v>18</v>
      </c>
      <c r="D7083" t="s">
        <v>10841</v>
      </c>
      <c r="E7083" t="s">
        <v>10842</v>
      </c>
      <c r="F7083" t="s">
        <v>31</v>
      </c>
      <c r="G7083" t="s">
        <v>17</v>
      </c>
      <c r="J7083" t="b">
        <v>0</v>
      </c>
      <c r="K7083" t="b">
        <v>0</v>
      </c>
      <c r="L7083" t="b">
        <v>0</v>
      </c>
    </row>
    <row r="7084" spans="1:25" x14ac:dyDescent="0.2">
      <c r="A7084">
        <v>3134</v>
      </c>
      <c r="B7084" t="s">
        <v>10836</v>
      </c>
      <c r="C7084" t="s">
        <v>18</v>
      </c>
      <c r="D7084" t="s">
        <v>10843</v>
      </c>
      <c r="E7084" t="s">
        <v>10844</v>
      </c>
      <c r="F7084" t="s">
        <v>369</v>
      </c>
      <c r="G7084" t="s">
        <v>24</v>
      </c>
      <c r="J7084" t="b">
        <v>0</v>
      </c>
      <c r="K7084" t="b">
        <v>0</v>
      </c>
      <c r="L7084" t="b">
        <v>0</v>
      </c>
      <c r="M7084" t="str">
        <f>HYPERLINK("https://arizona.app.box.com/file/386212947406")</f>
        <v>https://arizona.app.box.com/file/386212947406</v>
      </c>
    </row>
    <row r="7086" spans="1:25" x14ac:dyDescent="0.2">
      <c r="A7086" s="2">
        <v>3136</v>
      </c>
      <c r="B7086" s="2" t="s">
        <v>10845</v>
      </c>
      <c r="C7086" s="2" t="s">
        <v>13</v>
      </c>
      <c r="D7086" s="2" t="s">
        <v>10846</v>
      </c>
      <c r="E7086" s="2" t="s">
        <v>10847</v>
      </c>
      <c r="F7086" s="2" t="s">
        <v>264</v>
      </c>
      <c r="G7086" s="2" t="s">
        <v>17</v>
      </c>
      <c r="H7086" s="2"/>
      <c r="I7086" s="2"/>
      <c r="J7086" s="2"/>
      <c r="K7086" s="2"/>
      <c r="L7086" s="2"/>
      <c r="M7086" s="2"/>
      <c r="N7086" s="2"/>
      <c r="O7086" s="2"/>
      <c r="P7086" s="2"/>
      <c r="Q7086" s="2"/>
      <c r="R7086" s="2"/>
      <c r="S7086" s="2"/>
      <c r="T7086" s="2"/>
      <c r="U7086" s="2"/>
      <c r="V7086" s="2"/>
      <c r="W7086" s="2"/>
      <c r="X7086" s="2"/>
      <c r="Y7086" s="2"/>
    </row>
    <row r="7087" spans="1:25" x14ac:dyDescent="0.2">
      <c r="A7087">
        <v>3137</v>
      </c>
      <c r="B7087" t="s">
        <v>10845</v>
      </c>
      <c r="C7087" t="s">
        <v>18</v>
      </c>
      <c r="D7087" t="s">
        <v>10846</v>
      </c>
      <c r="E7087" t="s">
        <v>10533</v>
      </c>
      <c r="F7087" t="s">
        <v>264</v>
      </c>
      <c r="G7087" t="s">
        <v>17</v>
      </c>
      <c r="J7087" t="b">
        <v>1</v>
      </c>
      <c r="K7087" t="b">
        <v>1</v>
      </c>
      <c r="L7087" t="b">
        <v>1</v>
      </c>
      <c r="M7087" t="str">
        <f>HYPERLINK("https://arizona.app.box.com/file/389161329198")</f>
        <v>https://arizona.app.box.com/file/389161329198</v>
      </c>
    </row>
    <row r="7088" spans="1:25" x14ac:dyDescent="0.2">
      <c r="A7088">
        <v>3138</v>
      </c>
      <c r="B7088" t="s">
        <v>10845</v>
      </c>
      <c r="C7088" t="s">
        <v>18</v>
      </c>
      <c r="D7088" t="s">
        <v>10848</v>
      </c>
      <c r="E7088" t="s">
        <v>10849</v>
      </c>
      <c r="F7088" t="s">
        <v>264</v>
      </c>
      <c r="G7088" t="s">
        <v>17</v>
      </c>
      <c r="J7088" t="b">
        <v>1</v>
      </c>
      <c r="K7088" t="b">
        <v>1</v>
      </c>
      <c r="L7088" t="b">
        <v>1</v>
      </c>
      <c r="M7088" t="str">
        <f>HYPERLINK("https://arizona.app.box.com/file/389151893083")</f>
        <v>https://arizona.app.box.com/file/389151893083</v>
      </c>
    </row>
    <row r="7089" spans="1:25" x14ac:dyDescent="0.2">
      <c r="A7089">
        <v>3139</v>
      </c>
      <c r="B7089" t="s">
        <v>10845</v>
      </c>
      <c r="C7089" t="s">
        <v>18</v>
      </c>
      <c r="D7089" t="s">
        <v>10850</v>
      </c>
      <c r="E7089" t="s">
        <v>1558</v>
      </c>
      <c r="F7089" t="s">
        <v>264</v>
      </c>
      <c r="G7089" t="s">
        <v>17</v>
      </c>
      <c r="J7089" t="b">
        <v>0</v>
      </c>
      <c r="K7089" t="b">
        <v>0</v>
      </c>
      <c r="L7089" t="b">
        <v>0</v>
      </c>
      <c r="M7089" t="str">
        <f>HYPERLINK("https://arizona.app.box.com/file/389259285661")</f>
        <v>https://arizona.app.box.com/file/389259285661</v>
      </c>
      <c r="N7089" t="str">
        <f>HYPERLINK("https://arizona.app.box.com/file/389137333387")</f>
        <v>https://arizona.app.box.com/file/389137333387</v>
      </c>
    </row>
    <row r="7090" spans="1:25" x14ac:dyDescent="0.2">
      <c r="A7090">
        <v>3140</v>
      </c>
      <c r="B7090" t="s">
        <v>10845</v>
      </c>
      <c r="C7090" t="s">
        <v>18</v>
      </c>
      <c r="D7090" t="s">
        <v>10851</v>
      </c>
      <c r="E7090" t="s">
        <v>10852</v>
      </c>
      <c r="F7090" t="s">
        <v>264</v>
      </c>
      <c r="G7090" t="s">
        <v>17</v>
      </c>
      <c r="J7090" t="b">
        <v>0</v>
      </c>
      <c r="K7090" t="b">
        <v>0</v>
      </c>
      <c r="L7090" t="b">
        <v>0</v>
      </c>
      <c r="M7090" t="str">
        <f>HYPERLINK("https://arizona.app.box.com/file/389150588530")</f>
        <v>https://arizona.app.box.com/file/389150588530</v>
      </c>
      <c r="N7090" t="str">
        <f>HYPERLINK("https://arizona.app.box.com/file/389159464067")</f>
        <v>https://arizona.app.box.com/file/389159464067</v>
      </c>
    </row>
    <row r="7091" spans="1:25" x14ac:dyDescent="0.2">
      <c r="A7091">
        <v>3141</v>
      </c>
      <c r="B7091" t="s">
        <v>10845</v>
      </c>
      <c r="C7091" t="s">
        <v>18</v>
      </c>
      <c r="D7091" t="s">
        <v>10853</v>
      </c>
      <c r="E7091" t="s">
        <v>10854</v>
      </c>
      <c r="F7091" t="s">
        <v>264</v>
      </c>
      <c r="G7091" t="s">
        <v>17</v>
      </c>
      <c r="J7091" t="b">
        <v>0</v>
      </c>
      <c r="K7091" t="b">
        <v>0</v>
      </c>
      <c r="L7091" t="b">
        <v>0</v>
      </c>
      <c r="M7091" t="str">
        <f>HYPERLINK("https://arizona.app.box.com/file/389150915018")</f>
        <v>https://arizona.app.box.com/file/389150915018</v>
      </c>
      <c r="N7091" t="str">
        <f>HYPERLINK("https://arizona.app.box.com/file/386270134697")</f>
        <v>https://arizona.app.box.com/file/386270134697</v>
      </c>
    </row>
    <row r="7093" spans="1:25" x14ac:dyDescent="0.2">
      <c r="A7093" s="2">
        <v>3143</v>
      </c>
      <c r="B7093" s="2" t="s">
        <v>10855</v>
      </c>
      <c r="C7093" s="2" t="s">
        <v>13</v>
      </c>
      <c r="D7093" s="2" t="s">
        <v>10856</v>
      </c>
      <c r="E7093" s="2" t="s">
        <v>10857</v>
      </c>
      <c r="F7093" s="2" t="s">
        <v>270</v>
      </c>
      <c r="G7093" s="2" t="s">
        <v>417</v>
      </c>
      <c r="H7093" s="2"/>
      <c r="I7093" s="2"/>
      <c r="J7093" s="2"/>
      <c r="K7093" s="2"/>
      <c r="L7093" s="2"/>
      <c r="M7093" s="2"/>
      <c r="N7093" s="2"/>
      <c r="O7093" s="2"/>
      <c r="P7093" s="2"/>
      <c r="Q7093" s="2"/>
      <c r="R7093" s="2"/>
      <c r="S7093" s="2"/>
      <c r="T7093" s="2"/>
      <c r="U7093" s="2"/>
      <c r="V7093" s="2"/>
      <c r="W7093" s="2"/>
      <c r="X7093" s="2"/>
      <c r="Y7093" s="2"/>
    </row>
    <row r="7094" spans="1:25" x14ac:dyDescent="0.2">
      <c r="A7094">
        <v>3144</v>
      </c>
      <c r="B7094" t="s">
        <v>10855</v>
      </c>
      <c r="C7094" t="s">
        <v>18</v>
      </c>
      <c r="D7094" t="s">
        <v>10856</v>
      </c>
      <c r="E7094" t="s">
        <v>9320</v>
      </c>
      <c r="F7094" t="s">
        <v>270</v>
      </c>
      <c r="G7094" t="s">
        <v>417</v>
      </c>
      <c r="J7094" t="b">
        <v>1</v>
      </c>
      <c r="K7094" t="b">
        <v>1</v>
      </c>
      <c r="L7094" t="b">
        <v>1</v>
      </c>
    </row>
    <row r="7095" spans="1:25" x14ac:dyDescent="0.2">
      <c r="A7095">
        <v>3145</v>
      </c>
      <c r="B7095" t="s">
        <v>10855</v>
      </c>
      <c r="C7095" t="s">
        <v>18</v>
      </c>
      <c r="D7095" t="s">
        <v>10858</v>
      </c>
      <c r="E7095" t="s">
        <v>10859</v>
      </c>
      <c r="F7095" t="s">
        <v>270</v>
      </c>
      <c r="G7095" t="s">
        <v>417</v>
      </c>
      <c r="J7095" t="b">
        <v>1</v>
      </c>
      <c r="K7095" t="b">
        <v>1</v>
      </c>
      <c r="L7095" t="b">
        <v>1</v>
      </c>
      <c r="M7095" t="str">
        <f>HYPERLINK("https://arizona.app.box.com/file/386246199430")</f>
        <v>https://arizona.app.box.com/file/386246199430</v>
      </c>
    </row>
    <row r="7096" spans="1:25" x14ac:dyDescent="0.2">
      <c r="A7096">
        <v>3146</v>
      </c>
      <c r="B7096" t="s">
        <v>10855</v>
      </c>
      <c r="C7096" t="s">
        <v>18</v>
      </c>
      <c r="D7096" t="s">
        <v>4562</v>
      </c>
      <c r="E7096" t="s">
        <v>4563</v>
      </c>
      <c r="F7096" t="s">
        <v>270</v>
      </c>
      <c r="G7096" t="s">
        <v>417</v>
      </c>
      <c r="J7096" t="b">
        <v>1</v>
      </c>
      <c r="K7096" t="b">
        <v>0</v>
      </c>
      <c r="L7096" t="b">
        <v>1</v>
      </c>
      <c r="M7096" t="str">
        <f>HYPERLINK("https://arizona.app.box.com/file/389263933565")</f>
        <v>https://arizona.app.box.com/file/389263933565</v>
      </c>
      <c r="N7096" t="str">
        <f>HYPERLINK("https://arizona.app.box.com/file/389162260427")</f>
        <v>https://arizona.app.box.com/file/389162260427</v>
      </c>
    </row>
    <row r="7097" spans="1:25" x14ac:dyDescent="0.2">
      <c r="A7097">
        <v>3147</v>
      </c>
      <c r="B7097" t="s">
        <v>10855</v>
      </c>
      <c r="C7097" t="s">
        <v>18</v>
      </c>
      <c r="D7097" t="s">
        <v>10860</v>
      </c>
      <c r="E7097" t="s">
        <v>10861</v>
      </c>
      <c r="F7097" t="s">
        <v>270</v>
      </c>
      <c r="G7097" t="s">
        <v>417</v>
      </c>
      <c r="J7097" t="b">
        <v>0</v>
      </c>
      <c r="K7097" t="b">
        <v>0</v>
      </c>
      <c r="L7097" t="b">
        <v>0</v>
      </c>
      <c r="M7097" t="str">
        <f>HYPERLINK("https://arizona.app.box.com/file/386248013301")</f>
        <v>https://arizona.app.box.com/file/386248013301</v>
      </c>
      <c r="N7097" t="str">
        <f>HYPERLINK("https://arizona.app.box.com/file/386241113911")</f>
        <v>https://arizona.app.box.com/file/386241113911</v>
      </c>
    </row>
    <row r="7098" spans="1:25" x14ac:dyDescent="0.2">
      <c r="A7098">
        <v>3148</v>
      </c>
      <c r="B7098" t="s">
        <v>10855</v>
      </c>
      <c r="C7098" t="s">
        <v>18</v>
      </c>
      <c r="D7098" t="s">
        <v>10862</v>
      </c>
      <c r="E7098" t="s">
        <v>10863</v>
      </c>
      <c r="F7098" t="s">
        <v>87</v>
      </c>
      <c r="G7098" t="s">
        <v>417</v>
      </c>
      <c r="J7098" t="b">
        <v>0</v>
      </c>
      <c r="K7098" t="b">
        <v>0</v>
      </c>
      <c r="L7098" t="b">
        <v>0</v>
      </c>
      <c r="M7098" t="str">
        <f>HYPERLINK("https://arizona.app.box.com/file/386229522209")</f>
        <v>https://arizona.app.box.com/file/386229522209</v>
      </c>
    </row>
    <row r="7100" spans="1:25" x14ac:dyDescent="0.2">
      <c r="A7100" s="2">
        <v>315</v>
      </c>
      <c r="B7100" s="2" t="s">
        <v>10864</v>
      </c>
      <c r="C7100" s="2" t="s">
        <v>13</v>
      </c>
      <c r="D7100" s="2" t="s">
        <v>10865</v>
      </c>
      <c r="E7100" s="2" t="s">
        <v>10866</v>
      </c>
      <c r="F7100" s="2" t="s">
        <v>174</v>
      </c>
      <c r="G7100" s="2" t="s">
        <v>17</v>
      </c>
      <c r="H7100" s="2"/>
      <c r="I7100" s="2"/>
      <c r="J7100" s="2"/>
      <c r="K7100" s="2"/>
      <c r="L7100" s="2"/>
      <c r="M7100" s="2"/>
      <c r="N7100" s="2"/>
      <c r="O7100" s="2"/>
      <c r="P7100" s="2"/>
      <c r="Q7100" s="2"/>
      <c r="R7100" s="2"/>
      <c r="S7100" s="2"/>
      <c r="T7100" s="2"/>
      <c r="U7100" s="2"/>
      <c r="V7100" s="2"/>
      <c r="W7100" s="2"/>
      <c r="X7100" s="2"/>
      <c r="Y7100" s="2"/>
    </row>
    <row r="7101" spans="1:25" x14ac:dyDescent="0.2">
      <c r="A7101">
        <v>316</v>
      </c>
      <c r="B7101" t="s">
        <v>10864</v>
      </c>
      <c r="C7101" t="s">
        <v>18</v>
      </c>
      <c r="D7101" t="s">
        <v>10865</v>
      </c>
      <c r="E7101" t="s">
        <v>293</v>
      </c>
      <c r="F7101" t="s">
        <v>174</v>
      </c>
      <c r="G7101" t="s">
        <v>17</v>
      </c>
      <c r="J7101" t="b">
        <v>1</v>
      </c>
      <c r="K7101" t="b">
        <v>1</v>
      </c>
      <c r="L7101" t="b">
        <v>1</v>
      </c>
      <c r="M7101" t="str">
        <f>HYPERLINK("https://arizona.app.box.com/file/389174394956")</f>
        <v>https://arizona.app.box.com/file/389174394956</v>
      </c>
      <c r="N7101" t="str">
        <f>HYPERLINK("https://arizona.app.box.com/file/386212022318")</f>
        <v>https://arizona.app.box.com/file/386212022318</v>
      </c>
    </row>
    <row r="7102" spans="1:25" x14ac:dyDescent="0.2">
      <c r="A7102">
        <v>317</v>
      </c>
      <c r="B7102" t="s">
        <v>10864</v>
      </c>
      <c r="C7102" t="s">
        <v>18</v>
      </c>
      <c r="D7102" t="s">
        <v>10867</v>
      </c>
      <c r="E7102" t="s">
        <v>1202</v>
      </c>
      <c r="F7102" t="s">
        <v>174</v>
      </c>
      <c r="G7102" t="s">
        <v>17</v>
      </c>
      <c r="J7102" t="b">
        <v>1</v>
      </c>
      <c r="K7102" t="b">
        <v>1</v>
      </c>
      <c r="L7102" t="b">
        <v>1</v>
      </c>
      <c r="M7102" t="str">
        <f>HYPERLINK("https://arizona.app.box.com/file/389268837864")</f>
        <v>https://arizona.app.box.com/file/389268837864</v>
      </c>
      <c r="N7102" t="str">
        <f>HYPERLINK("https://arizona.app.box.com/file/389172046794")</f>
        <v>https://arizona.app.box.com/file/389172046794</v>
      </c>
    </row>
    <row r="7103" spans="1:25" x14ac:dyDescent="0.2">
      <c r="A7103">
        <v>318</v>
      </c>
      <c r="B7103" t="s">
        <v>10864</v>
      </c>
      <c r="C7103" t="s">
        <v>18</v>
      </c>
      <c r="D7103" t="s">
        <v>10868</v>
      </c>
      <c r="E7103" t="s">
        <v>763</v>
      </c>
      <c r="F7103" t="s">
        <v>168</v>
      </c>
      <c r="G7103" t="s">
        <v>17</v>
      </c>
      <c r="J7103" t="b">
        <v>0</v>
      </c>
      <c r="K7103" t="b">
        <v>0</v>
      </c>
      <c r="L7103" t="b">
        <v>0</v>
      </c>
    </row>
    <row r="7104" spans="1:25" x14ac:dyDescent="0.2">
      <c r="A7104">
        <v>319</v>
      </c>
      <c r="B7104" t="s">
        <v>10864</v>
      </c>
      <c r="C7104" t="s">
        <v>18</v>
      </c>
      <c r="D7104" t="s">
        <v>10869</v>
      </c>
      <c r="E7104" t="s">
        <v>10870</v>
      </c>
      <c r="F7104" t="s">
        <v>168</v>
      </c>
      <c r="G7104" t="s">
        <v>17</v>
      </c>
      <c r="J7104" t="b">
        <v>0</v>
      </c>
      <c r="K7104" t="b">
        <v>0</v>
      </c>
      <c r="L7104" t="b">
        <v>0</v>
      </c>
      <c r="M7104" t="str">
        <f>HYPERLINK("https://arizona.app.box.com/file/386264907627")</f>
        <v>https://arizona.app.box.com/file/386264907627</v>
      </c>
    </row>
    <row r="7105" spans="1:25" x14ac:dyDescent="0.2">
      <c r="A7105">
        <v>320</v>
      </c>
      <c r="B7105" t="s">
        <v>10864</v>
      </c>
      <c r="C7105" t="s">
        <v>18</v>
      </c>
      <c r="D7105" t="s">
        <v>10871</v>
      </c>
      <c r="E7105" t="s">
        <v>10872</v>
      </c>
      <c r="F7105" t="s">
        <v>78</v>
      </c>
      <c r="G7105" t="s">
        <v>17</v>
      </c>
      <c r="J7105" t="b">
        <v>0</v>
      </c>
      <c r="K7105" t="b">
        <v>0</v>
      </c>
      <c r="L7105" t="b">
        <v>0</v>
      </c>
      <c r="M7105" t="str">
        <f>HYPERLINK("https://arizona.app.box.com/file/386248858871")</f>
        <v>https://arizona.app.box.com/file/386248858871</v>
      </c>
    </row>
    <row r="7107" spans="1:25" x14ac:dyDescent="0.2">
      <c r="A7107" s="2">
        <v>3213</v>
      </c>
      <c r="B7107" s="2" t="s">
        <v>10873</v>
      </c>
      <c r="C7107" s="2" t="s">
        <v>13</v>
      </c>
      <c r="D7107" s="2" t="s">
        <v>9977</v>
      </c>
      <c r="E7107" s="2" t="s">
        <v>9978</v>
      </c>
      <c r="F7107" s="2" t="s">
        <v>1153</v>
      </c>
      <c r="G7107" s="2" t="s">
        <v>62</v>
      </c>
      <c r="H7107" s="2"/>
      <c r="I7107" s="2"/>
      <c r="J7107" s="2"/>
      <c r="K7107" s="2"/>
      <c r="L7107" s="2"/>
      <c r="M7107" s="2"/>
      <c r="N7107" s="2"/>
      <c r="O7107" s="2"/>
      <c r="P7107" s="2"/>
      <c r="Q7107" s="2"/>
      <c r="R7107" s="2"/>
      <c r="S7107" s="2"/>
      <c r="T7107" s="2"/>
      <c r="U7107" s="2"/>
      <c r="V7107" s="2"/>
      <c r="W7107" s="2"/>
      <c r="X7107" s="2"/>
      <c r="Y7107" s="2"/>
    </row>
    <row r="7108" spans="1:25" x14ac:dyDescent="0.2">
      <c r="A7108">
        <v>3214</v>
      </c>
      <c r="B7108" t="s">
        <v>10873</v>
      </c>
      <c r="C7108" t="s">
        <v>18</v>
      </c>
      <c r="D7108" t="s">
        <v>9977</v>
      </c>
      <c r="E7108" t="s">
        <v>9978</v>
      </c>
      <c r="F7108" t="s">
        <v>9979</v>
      </c>
      <c r="G7108" t="s">
        <v>62</v>
      </c>
      <c r="J7108" t="b">
        <v>1</v>
      </c>
      <c r="K7108" t="b">
        <v>1</v>
      </c>
      <c r="L7108" t="b">
        <v>1</v>
      </c>
      <c r="M7108" t="str">
        <f>HYPERLINK("https://arizona.app.box.com/file/386244581069")</f>
        <v>https://arizona.app.box.com/file/386244581069</v>
      </c>
      <c r="N7108" t="str">
        <f>HYPERLINK("https://arizona.app.box.com/file/386241113911")</f>
        <v>https://arizona.app.box.com/file/386241113911</v>
      </c>
    </row>
    <row r="7109" spans="1:25" x14ac:dyDescent="0.2">
      <c r="A7109">
        <v>3215</v>
      </c>
      <c r="B7109" t="s">
        <v>10873</v>
      </c>
      <c r="C7109" t="s">
        <v>18</v>
      </c>
      <c r="D7109" t="s">
        <v>8129</v>
      </c>
      <c r="E7109" t="s">
        <v>8130</v>
      </c>
      <c r="F7109" t="s">
        <v>200</v>
      </c>
      <c r="G7109" t="s">
        <v>62</v>
      </c>
      <c r="J7109" t="b">
        <v>0</v>
      </c>
      <c r="K7109" t="b">
        <v>0</v>
      </c>
      <c r="L7109" t="b">
        <v>0</v>
      </c>
      <c r="M7109" t="str">
        <f>HYPERLINK("https://arizona.app.box.com/file/386238713862")</f>
        <v>https://arizona.app.box.com/file/386238713862</v>
      </c>
    </row>
    <row r="7110" spans="1:25" x14ac:dyDescent="0.2">
      <c r="A7110">
        <v>3216</v>
      </c>
      <c r="B7110" t="s">
        <v>10873</v>
      </c>
      <c r="C7110" t="s">
        <v>18</v>
      </c>
      <c r="D7110" t="s">
        <v>10874</v>
      </c>
      <c r="E7110" t="s">
        <v>10425</v>
      </c>
      <c r="F7110" t="s">
        <v>1153</v>
      </c>
      <c r="G7110" t="s">
        <v>62</v>
      </c>
      <c r="J7110" t="b">
        <v>0</v>
      </c>
      <c r="K7110" t="b">
        <v>0</v>
      </c>
      <c r="L7110" t="b">
        <v>0</v>
      </c>
      <c r="M7110" t="str">
        <f>HYPERLINK("https://arizona.app.box.com/file/386214920792")</f>
        <v>https://arizona.app.box.com/file/386214920792</v>
      </c>
    </row>
    <row r="7111" spans="1:25" x14ac:dyDescent="0.2">
      <c r="A7111">
        <v>3217</v>
      </c>
      <c r="B7111" t="s">
        <v>10873</v>
      </c>
      <c r="C7111" t="s">
        <v>18</v>
      </c>
      <c r="D7111" t="s">
        <v>10875</v>
      </c>
      <c r="E7111" t="s">
        <v>10876</v>
      </c>
      <c r="F7111" t="s">
        <v>1153</v>
      </c>
      <c r="G7111" t="s">
        <v>62</v>
      </c>
      <c r="J7111" t="b">
        <v>0</v>
      </c>
      <c r="K7111" t="b">
        <v>0</v>
      </c>
      <c r="L7111" t="b">
        <v>0</v>
      </c>
      <c r="M7111" t="str">
        <f>HYPERLINK("https://arizona.app.box.com/file/386229483713")</f>
        <v>https://arizona.app.box.com/file/386229483713</v>
      </c>
    </row>
    <row r="7112" spans="1:25" x14ac:dyDescent="0.2">
      <c r="A7112">
        <v>3218</v>
      </c>
      <c r="B7112" t="s">
        <v>10873</v>
      </c>
      <c r="C7112" t="s">
        <v>18</v>
      </c>
      <c r="D7112" t="s">
        <v>10877</v>
      </c>
      <c r="E7112" t="s">
        <v>10878</v>
      </c>
      <c r="F7112" t="s">
        <v>200</v>
      </c>
      <c r="G7112" t="s">
        <v>62</v>
      </c>
      <c r="J7112" t="b">
        <v>0</v>
      </c>
      <c r="K7112" t="b">
        <v>0</v>
      </c>
      <c r="L7112" t="b">
        <v>0</v>
      </c>
      <c r="M7112" t="str">
        <f>HYPERLINK("https://arizona.app.box.com/file/386244978610")</f>
        <v>https://arizona.app.box.com/file/386244978610</v>
      </c>
    </row>
    <row r="7114" spans="1:25" x14ac:dyDescent="0.2">
      <c r="A7114" s="2">
        <v>322</v>
      </c>
      <c r="B7114" s="2" t="s">
        <v>10879</v>
      </c>
      <c r="C7114" s="2" t="s">
        <v>13</v>
      </c>
      <c r="D7114" s="2" t="s">
        <v>10880</v>
      </c>
      <c r="E7114" s="2" t="s">
        <v>10881</v>
      </c>
      <c r="F7114" s="2" t="s">
        <v>196</v>
      </c>
      <c r="G7114" s="2" t="s">
        <v>255</v>
      </c>
      <c r="H7114" s="2"/>
      <c r="I7114" s="2"/>
      <c r="J7114" s="2"/>
      <c r="K7114" s="2"/>
      <c r="L7114" s="2"/>
      <c r="M7114" s="2"/>
      <c r="N7114" s="2"/>
      <c r="O7114" s="2"/>
      <c r="P7114" s="2"/>
      <c r="Q7114" s="2"/>
      <c r="R7114" s="2"/>
      <c r="S7114" s="2"/>
      <c r="T7114" s="2"/>
      <c r="U7114" s="2"/>
      <c r="V7114" s="2"/>
      <c r="W7114" s="2"/>
      <c r="X7114" s="2"/>
      <c r="Y7114" s="2"/>
    </row>
    <row r="7115" spans="1:25" x14ac:dyDescent="0.2">
      <c r="A7115">
        <v>323</v>
      </c>
      <c r="B7115" t="s">
        <v>10879</v>
      </c>
      <c r="C7115" t="s">
        <v>18</v>
      </c>
      <c r="D7115" t="s">
        <v>10880</v>
      </c>
      <c r="E7115" t="s">
        <v>10882</v>
      </c>
      <c r="F7115" t="s">
        <v>196</v>
      </c>
      <c r="G7115" t="s">
        <v>255</v>
      </c>
      <c r="J7115" t="b">
        <v>1</v>
      </c>
      <c r="K7115" t="b">
        <v>1</v>
      </c>
      <c r="L7115" t="b">
        <v>1</v>
      </c>
      <c r="M7115" t="str">
        <f>HYPERLINK("https://arizona.app.box.com/file/389162223112")</f>
        <v>https://arizona.app.box.com/file/389162223112</v>
      </c>
      <c r="N7115" t="str">
        <f>HYPERLINK("https://arizona.app.box.com/file/386241113911")</f>
        <v>https://arizona.app.box.com/file/386241113911</v>
      </c>
    </row>
    <row r="7116" spans="1:25" x14ac:dyDescent="0.2">
      <c r="A7116">
        <v>324</v>
      </c>
      <c r="B7116" t="s">
        <v>10879</v>
      </c>
      <c r="C7116" t="s">
        <v>18</v>
      </c>
      <c r="D7116" t="s">
        <v>10883</v>
      </c>
      <c r="E7116" t="s">
        <v>4097</v>
      </c>
      <c r="F7116" t="s">
        <v>196</v>
      </c>
      <c r="G7116" t="s">
        <v>255</v>
      </c>
      <c r="J7116" t="b">
        <v>1</v>
      </c>
      <c r="K7116" t="b">
        <v>1</v>
      </c>
      <c r="L7116" t="b">
        <v>1</v>
      </c>
      <c r="M7116" t="str">
        <f>HYPERLINK("https://arizona.app.box.com/file/389264049899")</f>
        <v>https://arizona.app.box.com/file/389264049899</v>
      </c>
      <c r="N7116" t="str">
        <f>HYPERLINK("https://arizona.app.box.com/file/386254719728")</f>
        <v>https://arizona.app.box.com/file/386254719728</v>
      </c>
    </row>
    <row r="7117" spans="1:25" x14ac:dyDescent="0.2">
      <c r="A7117">
        <v>325</v>
      </c>
      <c r="B7117" t="s">
        <v>10879</v>
      </c>
      <c r="C7117" t="s">
        <v>18</v>
      </c>
      <c r="D7117" t="s">
        <v>10867</v>
      </c>
      <c r="E7117" t="s">
        <v>1202</v>
      </c>
      <c r="F7117" t="s">
        <v>174</v>
      </c>
      <c r="G7117" t="s">
        <v>17</v>
      </c>
      <c r="J7117" t="b">
        <v>0</v>
      </c>
      <c r="K7117" t="b">
        <v>0</v>
      </c>
      <c r="L7117" t="b">
        <v>0</v>
      </c>
      <c r="M7117" t="str">
        <f>HYPERLINK("https://arizona.app.box.com/file/389268837864")</f>
        <v>https://arizona.app.box.com/file/389268837864</v>
      </c>
      <c r="N7117" t="str">
        <f>HYPERLINK("https://arizona.app.box.com/file/389172046794")</f>
        <v>https://arizona.app.box.com/file/389172046794</v>
      </c>
    </row>
    <row r="7118" spans="1:25" x14ac:dyDescent="0.2">
      <c r="A7118">
        <v>326</v>
      </c>
      <c r="B7118" t="s">
        <v>10879</v>
      </c>
      <c r="C7118" t="s">
        <v>18</v>
      </c>
      <c r="D7118" t="s">
        <v>10865</v>
      </c>
      <c r="E7118" t="s">
        <v>293</v>
      </c>
      <c r="F7118" t="s">
        <v>174</v>
      </c>
      <c r="G7118" t="s">
        <v>17</v>
      </c>
      <c r="J7118" t="b">
        <v>0</v>
      </c>
      <c r="K7118" t="b">
        <v>0</v>
      </c>
      <c r="L7118" t="b">
        <v>0</v>
      </c>
      <c r="M7118" t="str">
        <f>HYPERLINK("https://arizona.app.box.com/file/389174394956")</f>
        <v>https://arizona.app.box.com/file/389174394956</v>
      </c>
      <c r="N7118" t="str">
        <f>HYPERLINK("https://arizona.app.box.com/file/386212022318")</f>
        <v>https://arizona.app.box.com/file/386212022318</v>
      </c>
    </row>
    <row r="7119" spans="1:25" x14ac:dyDescent="0.2">
      <c r="A7119">
        <v>327</v>
      </c>
      <c r="B7119" t="s">
        <v>10879</v>
      </c>
      <c r="C7119" t="s">
        <v>18</v>
      </c>
      <c r="D7119" t="s">
        <v>10884</v>
      </c>
      <c r="E7119" t="s">
        <v>10885</v>
      </c>
      <c r="F7119" t="s">
        <v>174</v>
      </c>
      <c r="G7119" t="s">
        <v>134</v>
      </c>
      <c r="J7119" t="b">
        <v>0</v>
      </c>
      <c r="K7119" t="b">
        <v>0</v>
      </c>
      <c r="L7119" t="b">
        <v>0</v>
      </c>
    </row>
    <row r="7121" spans="1:25" x14ac:dyDescent="0.2">
      <c r="A7121" s="2">
        <v>3269</v>
      </c>
      <c r="B7121" s="2" t="s">
        <v>10886</v>
      </c>
      <c r="C7121" s="2" t="s">
        <v>13</v>
      </c>
      <c r="D7121" s="2" t="s">
        <v>10887</v>
      </c>
      <c r="E7121" s="2" t="s">
        <v>8376</v>
      </c>
      <c r="F7121" s="2" t="s">
        <v>159</v>
      </c>
      <c r="G7121" s="2" t="s">
        <v>24</v>
      </c>
      <c r="H7121" s="2"/>
      <c r="I7121" s="2"/>
      <c r="J7121" s="2"/>
      <c r="K7121" s="2"/>
      <c r="L7121" s="2"/>
      <c r="M7121" s="2"/>
      <c r="N7121" s="2"/>
      <c r="O7121" s="2"/>
      <c r="P7121" s="2"/>
      <c r="Q7121" s="2"/>
      <c r="R7121" s="2"/>
      <c r="S7121" s="2"/>
      <c r="T7121" s="2"/>
      <c r="U7121" s="2"/>
      <c r="V7121" s="2"/>
      <c r="W7121" s="2"/>
      <c r="X7121" s="2"/>
      <c r="Y7121" s="2"/>
    </row>
    <row r="7122" spans="1:25" x14ac:dyDescent="0.2">
      <c r="A7122">
        <v>3270</v>
      </c>
      <c r="B7122" t="s">
        <v>10886</v>
      </c>
      <c r="C7122" t="s">
        <v>18</v>
      </c>
      <c r="D7122" t="s">
        <v>10888</v>
      </c>
      <c r="E7122" t="s">
        <v>381</v>
      </c>
      <c r="F7122" t="s">
        <v>159</v>
      </c>
      <c r="G7122" t="s">
        <v>24</v>
      </c>
      <c r="J7122" t="b">
        <v>1</v>
      </c>
      <c r="K7122" t="b">
        <v>1</v>
      </c>
      <c r="L7122" t="b">
        <v>1</v>
      </c>
      <c r="M7122" t="str">
        <f>HYPERLINK("https://arizona.app.box.com/file/389163654373")</f>
        <v>https://arizona.app.box.com/file/389163654373</v>
      </c>
      <c r="N7122" t="str">
        <f>HYPERLINK("https://arizona.app.box.com/file/386239610864")</f>
        <v>https://arizona.app.box.com/file/386239610864</v>
      </c>
    </row>
    <row r="7123" spans="1:25" x14ac:dyDescent="0.2">
      <c r="A7123">
        <v>3271</v>
      </c>
      <c r="B7123" t="s">
        <v>10886</v>
      </c>
      <c r="C7123" t="s">
        <v>18</v>
      </c>
      <c r="D7123" t="s">
        <v>6016</v>
      </c>
      <c r="E7123" t="s">
        <v>6017</v>
      </c>
      <c r="F7123" t="s">
        <v>168</v>
      </c>
      <c r="G7123" t="s">
        <v>24</v>
      </c>
      <c r="J7123" t="b">
        <v>1</v>
      </c>
      <c r="K7123" t="b">
        <v>1</v>
      </c>
      <c r="L7123" t="b">
        <v>1</v>
      </c>
      <c r="M7123" t="str">
        <f>HYPERLINK("https://arizona.app.box.com/file/389264755106")</f>
        <v>https://arizona.app.box.com/file/389264755106</v>
      </c>
      <c r="N7123" t="str">
        <f>HYPERLINK("https://arizona.app.box.com/file/389166508484")</f>
        <v>https://arizona.app.box.com/file/389166508484</v>
      </c>
    </row>
    <row r="7124" spans="1:25" x14ac:dyDescent="0.2">
      <c r="A7124">
        <v>3272</v>
      </c>
      <c r="B7124" t="s">
        <v>10886</v>
      </c>
      <c r="C7124" t="s">
        <v>18</v>
      </c>
      <c r="D7124" t="s">
        <v>1824</v>
      </c>
      <c r="E7124" t="s">
        <v>381</v>
      </c>
      <c r="F7124" t="s">
        <v>159</v>
      </c>
      <c r="G7124" t="s">
        <v>24</v>
      </c>
      <c r="J7124" t="b">
        <v>1</v>
      </c>
      <c r="K7124" t="b">
        <v>0</v>
      </c>
      <c r="L7124" t="b">
        <v>1</v>
      </c>
      <c r="M7124" t="str">
        <f>HYPERLINK("https://arizona.app.box.com/file/389168655793")</f>
        <v>https://arizona.app.box.com/file/389168655793</v>
      </c>
    </row>
    <row r="7125" spans="1:25" x14ac:dyDescent="0.2">
      <c r="A7125">
        <v>3273</v>
      </c>
      <c r="B7125" t="s">
        <v>10886</v>
      </c>
      <c r="C7125" t="s">
        <v>18</v>
      </c>
      <c r="D7125" t="s">
        <v>1826</v>
      </c>
      <c r="E7125" t="s">
        <v>381</v>
      </c>
      <c r="F7125" t="s">
        <v>174</v>
      </c>
      <c r="G7125" t="s">
        <v>24</v>
      </c>
      <c r="J7125" t="b">
        <v>1</v>
      </c>
      <c r="K7125" t="b">
        <v>0</v>
      </c>
      <c r="L7125" t="b">
        <v>1</v>
      </c>
      <c r="M7125" t="str">
        <f>HYPERLINK("https://arizona.app.box.com/file/389153263907")</f>
        <v>https://arizona.app.box.com/file/389153263907</v>
      </c>
      <c r="N7125" t="str">
        <f>HYPERLINK("https://arizona.app.box.com/file/386211877715")</f>
        <v>https://arizona.app.box.com/file/386211877715</v>
      </c>
    </row>
    <row r="7126" spans="1:25" x14ac:dyDescent="0.2">
      <c r="A7126">
        <v>3274</v>
      </c>
      <c r="B7126" t="s">
        <v>10886</v>
      </c>
      <c r="C7126" t="s">
        <v>18</v>
      </c>
      <c r="D7126" t="s">
        <v>1822</v>
      </c>
      <c r="E7126" t="s">
        <v>381</v>
      </c>
      <c r="F7126" t="s">
        <v>16</v>
      </c>
      <c r="G7126" t="s">
        <v>24</v>
      </c>
      <c r="J7126" t="b">
        <v>1</v>
      </c>
      <c r="K7126" t="b">
        <v>0</v>
      </c>
      <c r="L7126" t="b">
        <v>1</v>
      </c>
    </row>
    <row r="7128" spans="1:25" x14ac:dyDescent="0.2">
      <c r="A7128" s="2">
        <v>3297</v>
      </c>
      <c r="B7128" s="2" t="s">
        <v>10889</v>
      </c>
      <c r="C7128" s="2" t="s">
        <v>13</v>
      </c>
      <c r="D7128" s="2" t="s">
        <v>10890</v>
      </c>
      <c r="E7128" s="2" t="s">
        <v>10891</v>
      </c>
      <c r="F7128" s="2" t="s">
        <v>717</v>
      </c>
      <c r="G7128" s="2" t="s">
        <v>62</v>
      </c>
      <c r="H7128" s="2"/>
      <c r="I7128" s="2"/>
      <c r="J7128" s="2"/>
      <c r="K7128" s="2"/>
      <c r="L7128" s="2"/>
      <c r="M7128" s="2"/>
      <c r="N7128" s="2"/>
      <c r="O7128" s="2"/>
      <c r="P7128" s="2"/>
      <c r="Q7128" s="2"/>
      <c r="R7128" s="2"/>
      <c r="S7128" s="2"/>
      <c r="T7128" s="2"/>
      <c r="U7128" s="2"/>
      <c r="V7128" s="2"/>
      <c r="W7128" s="2"/>
      <c r="X7128" s="2"/>
      <c r="Y7128" s="2"/>
    </row>
    <row r="7129" spans="1:25" x14ac:dyDescent="0.2">
      <c r="A7129">
        <v>3298</v>
      </c>
      <c r="B7129" t="s">
        <v>10889</v>
      </c>
      <c r="C7129" t="s">
        <v>18</v>
      </c>
      <c r="D7129" t="s">
        <v>10890</v>
      </c>
      <c r="E7129" t="s">
        <v>10892</v>
      </c>
      <c r="F7129" t="s">
        <v>717</v>
      </c>
      <c r="G7129" t="s">
        <v>62</v>
      </c>
      <c r="J7129" t="b">
        <v>1</v>
      </c>
      <c r="K7129" t="b">
        <v>1</v>
      </c>
      <c r="L7129" t="b">
        <v>1</v>
      </c>
      <c r="M7129" t="str">
        <f>HYPERLINK("https://arizona.app.box.com/file/386241068683")</f>
        <v>https://arizona.app.box.com/file/386241068683</v>
      </c>
      <c r="N7129" t="str">
        <f>HYPERLINK("https://arizona.app.box.com/file/386247822639")</f>
        <v>https://arizona.app.box.com/file/386247822639</v>
      </c>
    </row>
    <row r="7130" spans="1:25" x14ac:dyDescent="0.2">
      <c r="A7130">
        <v>3299</v>
      </c>
      <c r="B7130" t="s">
        <v>10889</v>
      </c>
      <c r="C7130" t="s">
        <v>18</v>
      </c>
      <c r="D7130" t="s">
        <v>9408</v>
      </c>
      <c r="E7130" t="s">
        <v>9409</v>
      </c>
      <c r="F7130" t="s">
        <v>717</v>
      </c>
      <c r="G7130" t="s">
        <v>62</v>
      </c>
      <c r="J7130" t="b">
        <v>0</v>
      </c>
      <c r="K7130" t="b">
        <v>0</v>
      </c>
      <c r="L7130" t="b">
        <v>0</v>
      </c>
    </row>
    <row r="7131" spans="1:25" x14ac:dyDescent="0.2">
      <c r="A7131">
        <v>3300</v>
      </c>
      <c r="B7131" t="s">
        <v>10889</v>
      </c>
      <c r="C7131" t="s">
        <v>18</v>
      </c>
      <c r="D7131" t="s">
        <v>10893</v>
      </c>
      <c r="E7131" t="s">
        <v>10894</v>
      </c>
      <c r="F7131" t="s">
        <v>717</v>
      </c>
      <c r="G7131" t="s">
        <v>62</v>
      </c>
      <c r="J7131" t="b">
        <v>0</v>
      </c>
      <c r="K7131" t="b">
        <v>0</v>
      </c>
      <c r="L7131" t="b">
        <v>0</v>
      </c>
      <c r="M7131" t="str">
        <f>HYPERLINK("https://arizona.app.box.com/file/386240529883")</f>
        <v>https://arizona.app.box.com/file/386240529883</v>
      </c>
    </row>
    <row r="7132" spans="1:25" x14ac:dyDescent="0.2">
      <c r="A7132">
        <v>3301</v>
      </c>
      <c r="B7132" t="s">
        <v>10889</v>
      </c>
      <c r="C7132" t="s">
        <v>18</v>
      </c>
      <c r="D7132" t="s">
        <v>10895</v>
      </c>
      <c r="E7132" t="s">
        <v>10896</v>
      </c>
      <c r="F7132" t="s">
        <v>717</v>
      </c>
      <c r="G7132" t="s">
        <v>62</v>
      </c>
      <c r="J7132" t="b">
        <v>0</v>
      </c>
      <c r="K7132" t="b">
        <v>0</v>
      </c>
      <c r="L7132" t="b">
        <v>0</v>
      </c>
      <c r="M7132" t="str">
        <f>HYPERLINK("https://arizona.app.box.com/file/386241989996")</f>
        <v>https://arizona.app.box.com/file/386241989996</v>
      </c>
      <c r="N7132" t="str">
        <f>HYPERLINK("https://arizona.app.box.com/file/386213166474")</f>
        <v>https://arizona.app.box.com/file/386213166474</v>
      </c>
    </row>
    <row r="7133" spans="1:25" x14ac:dyDescent="0.2">
      <c r="A7133">
        <v>3302</v>
      </c>
      <c r="B7133" t="s">
        <v>10889</v>
      </c>
      <c r="C7133" t="s">
        <v>18</v>
      </c>
      <c r="D7133" t="s">
        <v>9407</v>
      </c>
      <c r="E7133" t="s">
        <v>8076</v>
      </c>
      <c r="F7133" t="s">
        <v>717</v>
      </c>
      <c r="G7133" t="s">
        <v>62</v>
      </c>
      <c r="J7133" t="b">
        <v>0</v>
      </c>
      <c r="K7133" t="b">
        <v>0</v>
      </c>
      <c r="L7133" t="b">
        <v>0</v>
      </c>
      <c r="M7133" t="str">
        <f>HYPERLINK("https://arizona.app.box.com/file/386252547295")</f>
        <v>https://arizona.app.box.com/file/386252547295</v>
      </c>
    </row>
    <row r="7135" spans="1:25" x14ac:dyDescent="0.2">
      <c r="A7135" s="2">
        <v>3318</v>
      </c>
      <c r="B7135" s="2" t="s">
        <v>10897</v>
      </c>
      <c r="C7135" s="2" t="s">
        <v>13</v>
      </c>
      <c r="D7135" s="2" t="s">
        <v>10898</v>
      </c>
      <c r="E7135" s="2" t="s">
        <v>10899</v>
      </c>
      <c r="F7135" s="2" t="s">
        <v>78</v>
      </c>
      <c r="G7135" s="2" t="s">
        <v>24</v>
      </c>
      <c r="H7135" s="2"/>
      <c r="I7135" s="2"/>
      <c r="J7135" s="2"/>
      <c r="K7135" s="2"/>
      <c r="L7135" s="2"/>
      <c r="M7135" s="2"/>
      <c r="N7135" s="2"/>
      <c r="O7135" s="2"/>
      <c r="P7135" s="2"/>
      <c r="Q7135" s="2"/>
      <c r="R7135" s="2"/>
      <c r="S7135" s="2"/>
      <c r="T7135" s="2"/>
      <c r="U7135" s="2"/>
      <c r="V7135" s="2"/>
      <c r="W7135" s="2"/>
      <c r="X7135" s="2"/>
      <c r="Y7135" s="2"/>
    </row>
    <row r="7136" spans="1:25" x14ac:dyDescent="0.2">
      <c r="A7136">
        <v>3319</v>
      </c>
      <c r="B7136" t="s">
        <v>10897</v>
      </c>
      <c r="C7136" t="s">
        <v>18</v>
      </c>
      <c r="D7136" t="s">
        <v>10898</v>
      </c>
      <c r="E7136" t="s">
        <v>10900</v>
      </c>
      <c r="F7136" t="s">
        <v>78</v>
      </c>
      <c r="G7136" t="s">
        <v>24</v>
      </c>
      <c r="J7136" t="b">
        <v>1</v>
      </c>
      <c r="K7136" t="b">
        <v>1</v>
      </c>
      <c r="L7136" t="b">
        <v>1</v>
      </c>
      <c r="M7136" t="str">
        <f>HYPERLINK("https://arizona.app.box.com/file/386239902120")</f>
        <v>https://arizona.app.box.com/file/386239902120</v>
      </c>
    </row>
    <row r="7137" spans="1:25" x14ac:dyDescent="0.2">
      <c r="A7137">
        <v>3320</v>
      </c>
      <c r="B7137" t="s">
        <v>10897</v>
      </c>
      <c r="C7137" t="s">
        <v>18</v>
      </c>
      <c r="D7137" t="s">
        <v>10901</v>
      </c>
      <c r="E7137" t="s">
        <v>10902</v>
      </c>
      <c r="F7137" t="s">
        <v>78</v>
      </c>
      <c r="G7137" t="s">
        <v>24</v>
      </c>
      <c r="J7137" t="b">
        <v>1</v>
      </c>
      <c r="K7137" t="b">
        <v>1</v>
      </c>
      <c r="L7137" t="b">
        <v>1</v>
      </c>
      <c r="M7137" t="str">
        <f>HYPERLINK("https://arizona.app.box.com/file/386242770381")</f>
        <v>https://arizona.app.box.com/file/386242770381</v>
      </c>
    </row>
    <row r="7138" spans="1:25" x14ac:dyDescent="0.2">
      <c r="A7138">
        <v>3321</v>
      </c>
      <c r="B7138" t="s">
        <v>10897</v>
      </c>
      <c r="C7138" t="s">
        <v>18</v>
      </c>
      <c r="D7138" t="s">
        <v>1248</v>
      </c>
      <c r="E7138" t="s">
        <v>1249</v>
      </c>
      <c r="F7138" t="s">
        <v>78</v>
      </c>
      <c r="G7138" t="s">
        <v>24</v>
      </c>
      <c r="J7138" t="b">
        <v>0</v>
      </c>
      <c r="K7138" t="b">
        <v>0</v>
      </c>
      <c r="L7138" t="b">
        <v>0</v>
      </c>
      <c r="M7138" t="str">
        <f>HYPERLINK("https://arizona.app.box.com/file/386239784114")</f>
        <v>https://arizona.app.box.com/file/386239784114</v>
      </c>
      <c r="N7138" t="str">
        <f>HYPERLINK("https://arizona.app.box.com/file/386234140318")</f>
        <v>https://arizona.app.box.com/file/386234140318</v>
      </c>
    </row>
    <row r="7139" spans="1:25" x14ac:dyDescent="0.2">
      <c r="A7139">
        <v>3322</v>
      </c>
      <c r="B7139" t="s">
        <v>10897</v>
      </c>
      <c r="C7139" t="s">
        <v>18</v>
      </c>
      <c r="D7139" t="s">
        <v>10903</v>
      </c>
      <c r="E7139" t="s">
        <v>2709</v>
      </c>
      <c r="F7139" t="s">
        <v>78</v>
      </c>
      <c r="G7139" t="s">
        <v>88</v>
      </c>
      <c r="J7139" t="b">
        <v>0</v>
      </c>
      <c r="K7139" t="b">
        <v>0</v>
      </c>
      <c r="L7139" t="b">
        <v>0</v>
      </c>
      <c r="M7139" t="str">
        <f>HYPERLINK("https://arizona.app.box.com/file/389167681243")</f>
        <v>https://arizona.app.box.com/file/389167681243</v>
      </c>
      <c r="N7139" t="str">
        <f>HYPERLINK("https://arizona.app.box.com/file/386212593488")</f>
        <v>https://arizona.app.box.com/file/386212593488</v>
      </c>
    </row>
    <row r="7140" spans="1:25" x14ac:dyDescent="0.2">
      <c r="A7140">
        <v>3323</v>
      </c>
      <c r="B7140" t="s">
        <v>10897</v>
      </c>
      <c r="C7140" t="s">
        <v>18</v>
      </c>
      <c r="D7140" t="s">
        <v>10904</v>
      </c>
      <c r="E7140" t="s">
        <v>10905</v>
      </c>
      <c r="F7140" t="s">
        <v>20</v>
      </c>
      <c r="G7140" t="s">
        <v>1047</v>
      </c>
      <c r="J7140" t="b">
        <v>0</v>
      </c>
      <c r="K7140" t="b">
        <v>0</v>
      </c>
      <c r="L7140" t="b">
        <v>0</v>
      </c>
      <c r="M7140" t="str">
        <f>HYPERLINK("https://arizona.app.box.com/file/389162388330")</f>
        <v>https://arizona.app.box.com/file/389162388330</v>
      </c>
      <c r="N7140" t="str">
        <f>HYPERLINK("https://arizona.app.box.com/file/386241113911")</f>
        <v>https://arizona.app.box.com/file/386241113911</v>
      </c>
    </row>
    <row r="7142" spans="1:25" x14ac:dyDescent="0.2">
      <c r="A7142" s="2">
        <v>3339</v>
      </c>
      <c r="B7142" s="2" t="s">
        <v>10906</v>
      </c>
      <c r="C7142" s="2" t="s">
        <v>13</v>
      </c>
      <c r="D7142" s="2" t="s">
        <v>10907</v>
      </c>
      <c r="E7142" s="2" t="s">
        <v>10908</v>
      </c>
      <c r="F7142" s="2" t="s">
        <v>785</v>
      </c>
      <c r="G7142" s="2" t="s">
        <v>252</v>
      </c>
      <c r="H7142" s="2"/>
      <c r="I7142" s="2"/>
      <c r="J7142" s="2"/>
      <c r="K7142" s="2"/>
      <c r="L7142" s="2"/>
      <c r="M7142" s="2"/>
      <c r="N7142" s="2"/>
      <c r="O7142" s="2"/>
      <c r="P7142" s="2"/>
      <c r="Q7142" s="2"/>
      <c r="R7142" s="2"/>
      <c r="S7142" s="2"/>
      <c r="T7142" s="2"/>
      <c r="U7142" s="2"/>
      <c r="V7142" s="2"/>
      <c r="W7142" s="2"/>
      <c r="X7142" s="2"/>
      <c r="Y7142" s="2"/>
    </row>
    <row r="7143" spans="1:25" x14ac:dyDescent="0.2">
      <c r="A7143">
        <v>3340</v>
      </c>
      <c r="B7143" t="s">
        <v>10906</v>
      </c>
      <c r="C7143" t="s">
        <v>18</v>
      </c>
      <c r="D7143" t="s">
        <v>4763</v>
      </c>
      <c r="E7143" t="s">
        <v>379</v>
      </c>
      <c r="F7143" t="s">
        <v>785</v>
      </c>
      <c r="G7143" t="s">
        <v>252</v>
      </c>
      <c r="J7143" t="b">
        <v>1</v>
      </c>
      <c r="K7143" t="b">
        <v>1</v>
      </c>
      <c r="L7143" t="b">
        <v>1</v>
      </c>
      <c r="M7143" t="str">
        <f>HYPERLINK("https://arizona.app.box.com/file/386246857804")</f>
        <v>https://arizona.app.box.com/file/386246857804</v>
      </c>
    </row>
    <row r="7144" spans="1:25" x14ac:dyDescent="0.2">
      <c r="A7144">
        <v>3341</v>
      </c>
      <c r="B7144" t="s">
        <v>10906</v>
      </c>
      <c r="C7144" t="s">
        <v>18</v>
      </c>
      <c r="D7144" t="s">
        <v>4756</v>
      </c>
      <c r="E7144" t="s">
        <v>4758</v>
      </c>
      <c r="F7144" t="s">
        <v>785</v>
      </c>
      <c r="G7144" t="s">
        <v>252</v>
      </c>
      <c r="J7144" t="b">
        <v>0</v>
      </c>
      <c r="K7144" t="b">
        <v>0</v>
      </c>
      <c r="L7144" t="b">
        <v>0</v>
      </c>
      <c r="M7144" t="str">
        <f>HYPERLINK("https://arizona.app.box.com/file/386235831887")</f>
        <v>https://arizona.app.box.com/file/386235831887</v>
      </c>
    </row>
    <row r="7145" spans="1:25" x14ac:dyDescent="0.2">
      <c r="A7145">
        <v>3342</v>
      </c>
      <c r="B7145" t="s">
        <v>10906</v>
      </c>
      <c r="C7145" t="s">
        <v>18</v>
      </c>
      <c r="D7145" t="s">
        <v>4770</v>
      </c>
      <c r="E7145" t="s">
        <v>4771</v>
      </c>
      <c r="F7145" t="s">
        <v>785</v>
      </c>
      <c r="G7145" t="s">
        <v>252</v>
      </c>
      <c r="J7145" t="b">
        <v>0</v>
      </c>
      <c r="K7145" t="b">
        <v>0</v>
      </c>
      <c r="L7145" t="b">
        <v>0</v>
      </c>
    </row>
    <row r="7146" spans="1:25" x14ac:dyDescent="0.2">
      <c r="A7146">
        <v>3343</v>
      </c>
      <c r="B7146" t="s">
        <v>10906</v>
      </c>
      <c r="C7146" t="s">
        <v>18</v>
      </c>
      <c r="D7146" t="s">
        <v>4760</v>
      </c>
      <c r="E7146" t="s">
        <v>4761</v>
      </c>
      <c r="F7146" t="s">
        <v>785</v>
      </c>
      <c r="G7146" t="s">
        <v>252</v>
      </c>
      <c r="J7146" t="b">
        <v>0</v>
      </c>
      <c r="K7146" t="b">
        <v>0</v>
      </c>
      <c r="L7146" t="b">
        <v>0</v>
      </c>
      <c r="M7146" t="str">
        <f>HYPERLINK("https://arizona.app.box.com/file/386216037093")</f>
        <v>https://arizona.app.box.com/file/386216037093</v>
      </c>
    </row>
    <row r="7147" spans="1:25" x14ac:dyDescent="0.2">
      <c r="A7147">
        <v>3344</v>
      </c>
      <c r="B7147" t="s">
        <v>10906</v>
      </c>
      <c r="C7147" t="s">
        <v>18</v>
      </c>
      <c r="D7147" t="s">
        <v>10909</v>
      </c>
      <c r="E7147" t="s">
        <v>10910</v>
      </c>
      <c r="F7147" t="s">
        <v>785</v>
      </c>
      <c r="G7147" t="s">
        <v>252</v>
      </c>
      <c r="J7147" t="b">
        <v>0</v>
      </c>
      <c r="K7147" t="b">
        <v>0</v>
      </c>
      <c r="L7147" t="b">
        <v>0</v>
      </c>
    </row>
    <row r="7149" spans="1:25" x14ac:dyDescent="0.2">
      <c r="A7149" s="2">
        <v>3388</v>
      </c>
      <c r="B7149" s="2" t="s">
        <v>10911</v>
      </c>
      <c r="C7149" s="2" t="s">
        <v>13</v>
      </c>
      <c r="D7149" s="2" t="s">
        <v>10912</v>
      </c>
      <c r="E7149" s="2" t="s">
        <v>10913</v>
      </c>
      <c r="F7149" s="2" t="s">
        <v>264</v>
      </c>
      <c r="G7149" s="2" t="s">
        <v>62</v>
      </c>
      <c r="H7149" s="2"/>
      <c r="I7149" s="2"/>
      <c r="J7149" s="2"/>
      <c r="K7149" s="2"/>
      <c r="L7149" s="2"/>
      <c r="M7149" s="2"/>
      <c r="N7149" s="2"/>
      <c r="O7149" s="2"/>
      <c r="P7149" s="2"/>
      <c r="Q7149" s="2"/>
      <c r="R7149" s="2"/>
      <c r="S7149" s="2"/>
      <c r="T7149" s="2"/>
      <c r="U7149" s="2"/>
      <c r="V7149" s="2"/>
      <c r="W7149" s="2"/>
      <c r="X7149" s="2"/>
      <c r="Y7149" s="2"/>
    </row>
    <row r="7150" spans="1:25" x14ac:dyDescent="0.2">
      <c r="A7150">
        <v>3389</v>
      </c>
      <c r="B7150" t="s">
        <v>10911</v>
      </c>
      <c r="C7150" t="s">
        <v>18</v>
      </c>
      <c r="D7150" t="s">
        <v>630</v>
      </c>
      <c r="E7150" t="s">
        <v>190</v>
      </c>
      <c r="F7150" t="s">
        <v>264</v>
      </c>
      <c r="G7150" t="s">
        <v>62</v>
      </c>
      <c r="J7150" t="b">
        <v>1</v>
      </c>
      <c r="K7150" t="b">
        <v>1</v>
      </c>
      <c r="L7150" t="b">
        <v>1</v>
      </c>
      <c r="M7150" t="str">
        <f>HYPERLINK("https://arizona.app.box.com/file/389266601982")</f>
        <v>https://arizona.app.box.com/file/389266601982</v>
      </c>
      <c r="N7150" t="str">
        <f>HYPERLINK("https://arizona.app.box.com/file/389141123877")</f>
        <v>https://arizona.app.box.com/file/389141123877</v>
      </c>
    </row>
    <row r="7151" spans="1:25" x14ac:dyDescent="0.2">
      <c r="A7151">
        <v>3390</v>
      </c>
      <c r="B7151" t="s">
        <v>10911</v>
      </c>
      <c r="C7151" t="s">
        <v>18</v>
      </c>
      <c r="D7151" t="s">
        <v>2604</v>
      </c>
      <c r="E7151" t="s">
        <v>2605</v>
      </c>
      <c r="F7151" t="s">
        <v>78</v>
      </c>
      <c r="G7151" t="s">
        <v>88</v>
      </c>
      <c r="J7151" t="b">
        <v>0</v>
      </c>
      <c r="K7151" t="b">
        <v>0</v>
      </c>
      <c r="L7151" t="b">
        <v>0</v>
      </c>
      <c r="M7151" t="str">
        <f>HYPERLINK("https://arizona.app.box.com/file/389172393202")</f>
        <v>https://arizona.app.box.com/file/389172393202</v>
      </c>
    </row>
    <row r="7152" spans="1:25" x14ac:dyDescent="0.2">
      <c r="A7152">
        <v>3391</v>
      </c>
      <c r="B7152" t="s">
        <v>10911</v>
      </c>
      <c r="C7152" t="s">
        <v>18</v>
      </c>
      <c r="D7152" t="s">
        <v>2607</v>
      </c>
      <c r="E7152" t="s">
        <v>2608</v>
      </c>
      <c r="F7152" t="s">
        <v>78</v>
      </c>
      <c r="G7152" t="s">
        <v>62</v>
      </c>
      <c r="J7152" t="b">
        <v>0</v>
      </c>
      <c r="K7152" t="b">
        <v>0</v>
      </c>
      <c r="L7152" t="b">
        <v>0</v>
      </c>
      <c r="M7152" t="str">
        <f>HYPERLINK("https://arizona.app.box.com/file/389256647401")</f>
        <v>https://arizona.app.box.com/file/389256647401</v>
      </c>
      <c r="N7152" t="str">
        <f>HYPERLINK("https://arizona.app.box.com/file/389162626517")</f>
        <v>https://arizona.app.box.com/file/389162626517</v>
      </c>
    </row>
    <row r="7153" spans="1:25" x14ac:dyDescent="0.2">
      <c r="A7153">
        <v>3392</v>
      </c>
      <c r="B7153" t="s">
        <v>10911</v>
      </c>
      <c r="C7153" t="s">
        <v>18</v>
      </c>
      <c r="D7153" t="s">
        <v>7927</v>
      </c>
      <c r="E7153" t="s">
        <v>6653</v>
      </c>
      <c r="F7153" t="s">
        <v>670</v>
      </c>
      <c r="G7153" t="s">
        <v>62</v>
      </c>
      <c r="J7153" t="b">
        <v>0</v>
      </c>
      <c r="K7153" t="b">
        <v>0</v>
      </c>
      <c r="L7153" t="b">
        <v>0</v>
      </c>
      <c r="M7153" t="str">
        <f>HYPERLINK("https://arizona.app.box.com/file/389266479877")</f>
        <v>https://arizona.app.box.com/file/389266479877</v>
      </c>
      <c r="N7153" t="str">
        <f>HYPERLINK("https://arizona.app.box.com/file/389171580086")</f>
        <v>https://arizona.app.box.com/file/389171580086</v>
      </c>
    </row>
    <row r="7154" spans="1:25" x14ac:dyDescent="0.2">
      <c r="A7154">
        <v>3393</v>
      </c>
      <c r="B7154" t="s">
        <v>10911</v>
      </c>
      <c r="C7154" t="s">
        <v>18</v>
      </c>
      <c r="D7154" t="s">
        <v>1293</v>
      </c>
      <c r="E7154" t="s">
        <v>1294</v>
      </c>
      <c r="F7154" t="s">
        <v>151</v>
      </c>
      <c r="G7154" t="s">
        <v>62</v>
      </c>
      <c r="J7154" t="b">
        <v>0</v>
      </c>
      <c r="K7154" t="b">
        <v>0</v>
      </c>
      <c r="L7154" t="b">
        <v>0</v>
      </c>
      <c r="M7154" t="str">
        <f>HYPERLINK("https://arizona.app.box.com/file/389174331584")</f>
        <v>https://arizona.app.box.com/file/389174331584</v>
      </c>
    </row>
    <row r="7156" spans="1:25" x14ac:dyDescent="0.2">
      <c r="A7156" s="2">
        <v>3423</v>
      </c>
      <c r="B7156" s="2" t="s">
        <v>10914</v>
      </c>
      <c r="C7156" s="2" t="s">
        <v>13</v>
      </c>
      <c r="D7156" s="2" t="s">
        <v>10915</v>
      </c>
      <c r="E7156" s="2" t="s">
        <v>10916</v>
      </c>
      <c r="F7156" s="2" t="s">
        <v>87</v>
      </c>
      <c r="G7156" s="2" t="s">
        <v>62</v>
      </c>
      <c r="H7156" s="2"/>
      <c r="I7156" s="2"/>
      <c r="J7156" s="2"/>
      <c r="K7156" s="2"/>
      <c r="L7156" s="2"/>
      <c r="M7156" s="2"/>
      <c r="N7156" s="2"/>
      <c r="O7156" s="2"/>
      <c r="P7156" s="2"/>
      <c r="Q7156" s="2"/>
      <c r="R7156" s="2"/>
      <c r="S7156" s="2"/>
      <c r="T7156" s="2"/>
      <c r="U7156" s="2"/>
      <c r="V7156" s="2"/>
      <c r="W7156" s="2"/>
      <c r="X7156" s="2"/>
      <c r="Y7156" s="2"/>
    </row>
    <row r="7157" spans="1:25" x14ac:dyDescent="0.2">
      <c r="A7157">
        <v>3424</v>
      </c>
      <c r="B7157" t="s">
        <v>10914</v>
      </c>
      <c r="C7157" t="s">
        <v>18</v>
      </c>
      <c r="D7157" t="s">
        <v>8332</v>
      </c>
      <c r="E7157" t="s">
        <v>4847</v>
      </c>
      <c r="F7157" t="s">
        <v>87</v>
      </c>
      <c r="G7157" t="s">
        <v>62</v>
      </c>
      <c r="J7157" t="b">
        <v>1</v>
      </c>
      <c r="K7157" t="b">
        <v>1</v>
      </c>
      <c r="L7157" t="b">
        <v>1</v>
      </c>
      <c r="M7157" t="str">
        <f>HYPERLINK("https://arizona.app.box.com/file/389265515737")</f>
        <v>https://arizona.app.box.com/file/389265515737</v>
      </c>
    </row>
    <row r="7158" spans="1:25" x14ac:dyDescent="0.2">
      <c r="A7158">
        <v>3425</v>
      </c>
      <c r="B7158" t="s">
        <v>10914</v>
      </c>
      <c r="C7158" t="s">
        <v>18</v>
      </c>
      <c r="D7158" t="s">
        <v>10917</v>
      </c>
      <c r="E7158" t="s">
        <v>10918</v>
      </c>
      <c r="F7158" t="s">
        <v>87</v>
      </c>
      <c r="G7158" t="s">
        <v>62</v>
      </c>
      <c r="J7158" t="b">
        <v>1</v>
      </c>
      <c r="K7158" t="b">
        <v>1</v>
      </c>
      <c r="L7158" t="b">
        <v>1</v>
      </c>
      <c r="M7158" t="str">
        <f>HYPERLINK("https://arizona.app.box.com/file/389138262470")</f>
        <v>https://arizona.app.box.com/file/389138262470</v>
      </c>
    </row>
    <row r="7159" spans="1:25" x14ac:dyDescent="0.2">
      <c r="A7159">
        <v>3426</v>
      </c>
      <c r="B7159" t="s">
        <v>10914</v>
      </c>
      <c r="C7159" t="s">
        <v>18</v>
      </c>
      <c r="D7159" t="s">
        <v>2604</v>
      </c>
      <c r="E7159" t="s">
        <v>2605</v>
      </c>
      <c r="F7159" t="s">
        <v>78</v>
      </c>
      <c r="G7159" t="s">
        <v>88</v>
      </c>
      <c r="J7159" t="b">
        <v>0</v>
      </c>
      <c r="K7159" t="b">
        <v>0</v>
      </c>
      <c r="L7159" t="b">
        <v>0</v>
      </c>
      <c r="M7159" t="str">
        <f>HYPERLINK("https://arizona.app.box.com/file/389172393202")</f>
        <v>https://arizona.app.box.com/file/389172393202</v>
      </c>
    </row>
    <row r="7160" spans="1:25" x14ac:dyDescent="0.2">
      <c r="A7160">
        <v>3427</v>
      </c>
      <c r="B7160" t="s">
        <v>10914</v>
      </c>
      <c r="C7160" t="s">
        <v>18</v>
      </c>
      <c r="D7160" t="s">
        <v>2607</v>
      </c>
      <c r="E7160" t="s">
        <v>2608</v>
      </c>
      <c r="F7160" t="s">
        <v>78</v>
      </c>
      <c r="G7160" t="s">
        <v>62</v>
      </c>
      <c r="J7160" t="b">
        <v>0</v>
      </c>
      <c r="K7160" t="b">
        <v>0</v>
      </c>
      <c r="L7160" t="b">
        <v>0</v>
      </c>
      <c r="M7160" t="str">
        <f>HYPERLINK("https://arizona.app.box.com/file/389256647401")</f>
        <v>https://arizona.app.box.com/file/389256647401</v>
      </c>
      <c r="N7160" t="str">
        <f>HYPERLINK("https://arizona.app.box.com/file/389162626517")</f>
        <v>https://arizona.app.box.com/file/389162626517</v>
      </c>
    </row>
    <row r="7161" spans="1:25" x14ac:dyDescent="0.2">
      <c r="A7161">
        <v>3428</v>
      </c>
      <c r="B7161" t="s">
        <v>10914</v>
      </c>
      <c r="C7161" t="s">
        <v>18</v>
      </c>
      <c r="D7161" t="s">
        <v>4718</v>
      </c>
      <c r="E7161" t="s">
        <v>4719</v>
      </c>
      <c r="F7161" t="s">
        <v>717</v>
      </c>
      <c r="G7161" t="s">
        <v>62</v>
      </c>
      <c r="J7161" t="b">
        <v>0</v>
      </c>
      <c r="K7161" t="b">
        <v>0</v>
      </c>
      <c r="L7161" t="b">
        <v>0</v>
      </c>
      <c r="M7161" t="str">
        <f>HYPERLINK("https://arizona.app.box.com/file/389261393825")</f>
        <v>https://arizona.app.box.com/file/389261393825</v>
      </c>
      <c r="N7161" t="str">
        <f>HYPERLINK("https://arizona.app.box.com/file/389162616730")</f>
        <v>https://arizona.app.box.com/file/389162616730</v>
      </c>
    </row>
    <row r="7163" spans="1:25" x14ac:dyDescent="0.2">
      <c r="A7163" s="2">
        <v>3437</v>
      </c>
      <c r="B7163" s="2" t="s">
        <v>10919</v>
      </c>
      <c r="C7163" s="2" t="s">
        <v>13</v>
      </c>
      <c r="D7163" s="2" t="s">
        <v>1284</v>
      </c>
      <c r="E7163" s="2" t="s">
        <v>10920</v>
      </c>
      <c r="F7163" s="2" t="s">
        <v>78</v>
      </c>
      <c r="G7163" s="2" t="s">
        <v>62</v>
      </c>
      <c r="H7163" s="2"/>
      <c r="I7163" s="2"/>
      <c r="J7163" s="2"/>
      <c r="K7163" s="2"/>
      <c r="L7163" s="2"/>
      <c r="M7163" s="2"/>
      <c r="N7163" s="2"/>
      <c r="O7163" s="2"/>
      <c r="P7163" s="2"/>
      <c r="Q7163" s="2"/>
      <c r="R7163" s="2"/>
      <c r="S7163" s="2"/>
      <c r="T7163" s="2"/>
      <c r="U7163" s="2"/>
      <c r="V7163" s="2"/>
      <c r="W7163" s="2"/>
      <c r="X7163" s="2"/>
      <c r="Y7163" s="2"/>
    </row>
    <row r="7164" spans="1:25" x14ac:dyDescent="0.2">
      <c r="A7164">
        <v>3438</v>
      </c>
      <c r="B7164" t="s">
        <v>10919</v>
      </c>
      <c r="C7164" t="s">
        <v>18</v>
      </c>
      <c r="D7164" t="s">
        <v>1284</v>
      </c>
      <c r="E7164" t="s">
        <v>1285</v>
      </c>
      <c r="F7164" t="s">
        <v>78</v>
      </c>
      <c r="G7164" t="s">
        <v>62</v>
      </c>
      <c r="J7164" t="b">
        <v>1</v>
      </c>
      <c r="K7164" t="b">
        <v>1</v>
      </c>
      <c r="L7164" t="b">
        <v>1</v>
      </c>
      <c r="M7164" t="str">
        <f>HYPERLINK("https://arizona.app.box.com/file/389181364123")</f>
        <v>https://arizona.app.box.com/file/389181364123</v>
      </c>
      <c r="N7164" t="str">
        <f>HYPERLINK("https://arizona.app.box.com/file/386238865286")</f>
        <v>https://arizona.app.box.com/file/386238865286</v>
      </c>
    </row>
    <row r="7165" spans="1:25" x14ac:dyDescent="0.2">
      <c r="A7165">
        <v>3439</v>
      </c>
      <c r="B7165" t="s">
        <v>10919</v>
      </c>
      <c r="C7165" t="s">
        <v>18</v>
      </c>
      <c r="D7165" t="s">
        <v>10921</v>
      </c>
      <c r="E7165" t="s">
        <v>8942</v>
      </c>
      <c r="F7165" t="s">
        <v>78</v>
      </c>
      <c r="G7165" t="s">
        <v>62</v>
      </c>
      <c r="J7165" t="b">
        <v>1</v>
      </c>
      <c r="K7165" t="b">
        <v>1</v>
      </c>
      <c r="L7165" t="b">
        <v>1</v>
      </c>
      <c r="M7165" t="str">
        <f>HYPERLINK("https://arizona.app.box.com/file/386243300020")</f>
        <v>https://arizona.app.box.com/file/386243300020</v>
      </c>
    </row>
    <row r="7166" spans="1:25" x14ac:dyDescent="0.2">
      <c r="A7166">
        <v>3440</v>
      </c>
      <c r="B7166" t="s">
        <v>10919</v>
      </c>
      <c r="C7166" t="s">
        <v>18</v>
      </c>
      <c r="D7166" t="s">
        <v>1280</v>
      </c>
      <c r="E7166" t="s">
        <v>1279</v>
      </c>
      <c r="F7166" t="s">
        <v>122</v>
      </c>
      <c r="G7166" t="s">
        <v>62</v>
      </c>
      <c r="J7166" t="b">
        <v>0</v>
      </c>
      <c r="K7166" t="b">
        <v>0</v>
      </c>
      <c r="L7166" t="b">
        <v>0</v>
      </c>
      <c r="M7166" t="str">
        <f>HYPERLINK("https://arizona.app.box.com/file/389163674140")</f>
        <v>https://arizona.app.box.com/file/389163674140</v>
      </c>
      <c r="N7166" t="str">
        <f>HYPERLINK("https://arizona.app.box.com/file/386225900227")</f>
        <v>https://arizona.app.box.com/file/386225900227</v>
      </c>
      <c r="O7166" t="str">
        <f>HYPERLINK("https://arizona.app.box.com/file/389176656034")</f>
        <v>https://arizona.app.box.com/file/389176656034</v>
      </c>
    </row>
    <row r="7167" spans="1:25" x14ac:dyDescent="0.2">
      <c r="A7167">
        <v>3441</v>
      </c>
      <c r="B7167" t="s">
        <v>10919</v>
      </c>
      <c r="C7167" t="s">
        <v>18</v>
      </c>
      <c r="D7167" t="s">
        <v>10922</v>
      </c>
      <c r="E7167" t="s">
        <v>10923</v>
      </c>
      <c r="F7167" t="s">
        <v>78</v>
      </c>
      <c r="G7167" t="s">
        <v>62</v>
      </c>
      <c r="J7167" t="b">
        <v>0</v>
      </c>
      <c r="K7167" t="b">
        <v>0</v>
      </c>
      <c r="L7167" t="b">
        <v>0</v>
      </c>
    </row>
    <row r="7168" spans="1:25" x14ac:dyDescent="0.2">
      <c r="A7168">
        <v>3442</v>
      </c>
      <c r="B7168" t="s">
        <v>10919</v>
      </c>
      <c r="C7168" t="s">
        <v>18</v>
      </c>
      <c r="D7168" t="s">
        <v>10924</v>
      </c>
      <c r="E7168" t="s">
        <v>10925</v>
      </c>
      <c r="F7168" t="s">
        <v>78</v>
      </c>
      <c r="G7168" t="s">
        <v>62</v>
      </c>
      <c r="J7168" t="b">
        <v>0</v>
      </c>
      <c r="K7168" t="b">
        <v>0</v>
      </c>
      <c r="L7168" t="b">
        <v>0</v>
      </c>
    </row>
    <row r="7170" spans="1:25" x14ac:dyDescent="0.2">
      <c r="A7170" s="2">
        <v>3486</v>
      </c>
      <c r="B7170" s="2" t="s">
        <v>10926</v>
      </c>
      <c r="C7170" s="2" t="s">
        <v>13</v>
      </c>
      <c r="D7170" s="2" t="s">
        <v>10927</v>
      </c>
      <c r="E7170" s="2" t="s">
        <v>10928</v>
      </c>
      <c r="F7170" s="2" t="s">
        <v>260</v>
      </c>
      <c r="G7170" s="2" t="s">
        <v>134</v>
      </c>
      <c r="H7170" s="2"/>
      <c r="I7170" s="2"/>
      <c r="J7170" s="2"/>
      <c r="K7170" s="2"/>
      <c r="L7170" s="2"/>
      <c r="M7170" s="2"/>
      <c r="N7170" s="2"/>
      <c r="O7170" s="2"/>
      <c r="P7170" s="2"/>
      <c r="Q7170" s="2"/>
      <c r="R7170" s="2"/>
      <c r="S7170" s="2"/>
      <c r="T7170" s="2"/>
      <c r="U7170" s="2"/>
      <c r="V7170" s="2"/>
      <c r="W7170" s="2"/>
      <c r="X7170" s="2"/>
      <c r="Y7170" s="2"/>
    </row>
    <row r="7171" spans="1:25" x14ac:dyDescent="0.2">
      <c r="A7171">
        <v>3487</v>
      </c>
      <c r="B7171" t="s">
        <v>10926</v>
      </c>
      <c r="C7171" t="s">
        <v>18</v>
      </c>
      <c r="D7171" t="s">
        <v>8641</v>
      </c>
      <c r="E7171" t="s">
        <v>3656</v>
      </c>
      <c r="F7171" t="s">
        <v>260</v>
      </c>
      <c r="G7171" t="s">
        <v>134</v>
      </c>
      <c r="J7171" t="b">
        <v>1</v>
      </c>
      <c r="K7171" t="b">
        <v>1</v>
      </c>
      <c r="L7171" t="b">
        <v>1</v>
      </c>
      <c r="M7171" t="str">
        <f>HYPERLINK("https://arizona.app.box.com/file/389263415047")</f>
        <v>https://arizona.app.box.com/file/389263415047</v>
      </c>
    </row>
    <row r="7172" spans="1:25" x14ac:dyDescent="0.2">
      <c r="A7172">
        <v>3488</v>
      </c>
      <c r="B7172" t="s">
        <v>10926</v>
      </c>
      <c r="C7172" t="s">
        <v>18</v>
      </c>
      <c r="D7172" t="s">
        <v>10929</v>
      </c>
      <c r="E7172" t="s">
        <v>1701</v>
      </c>
      <c r="F7172" t="s">
        <v>260</v>
      </c>
      <c r="G7172" t="s">
        <v>134</v>
      </c>
      <c r="J7172" t="b">
        <v>1</v>
      </c>
      <c r="K7172" t="b">
        <v>1</v>
      </c>
      <c r="L7172" t="b">
        <v>1</v>
      </c>
      <c r="M7172" t="str">
        <f>HYPERLINK("https://arizona.app.box.com/file/389264544241")</f>
        <v>https://arizona.app.box.com/file/389264544241</v>
      </c>
    </row>
    <row r="7173" spans="1:25" x14ac:dyDescent="0.2">
      <c r="A7173">
        <v>3489</v>
      </c>
      <c r="B7173" t="s">
        <v>10926</v>
      </c>
      <c r="C7173" t="s">
        <v>18</v>
      </c>
      <c r="D7173" t="s">
        <v>3863</v>
      </c>
      <c r="E7173" t="s">
        <v>3800</v>
      </c>
      <c r="F7173" t="s">
        <v>785</v>
      </c>
      <c r="G7173" t="s">
        <v>134</v>
      </c>
      <c r="J7173" t="b">
        <v>0</v>
      </c>
      <c r="K7173" t="b">
        <v>0</v>
      </c>
      <c r="L7173" t="b">
        <v>0</v>
      </c>
      <c r="M7173" t="str">
        <f>HYPERLINK("https://arizona.app.box.com/file/389267414834")</f>
        <v>https://arizona.app.box.com/file/389267414834</v>
      </c>
      <c r="N7173" t="str">
        <f>HYPERLINK("https://arizona.app.box.com/file/389155905868")</f>
        <v>https://arizona.app.box.com/file/389155905868</v>
      </c>
    </row>
    <row r="7174" spans="1:25" x14ac:dyDescent="0.2">
      <c r="A7174">
        <v>3490</v>
      </c>
      <c r="B7174" t="s">
        <v>10926</v>
      </c>
      <c r="C7174" t="s">
        <v>18</v>
      </c>
      <c r="D7174" t="s">
        <v>2492</v>
      </c>
      <c r="E7174" t="s">
        <v>2493</v>
      </c>
      <c r="F7174" t="s">
        <v>78</v>
      </c>
      <c r="G7174" t="s">
        <v>134</v>
      </c>
      <c r="J7174" t="b">
        <v>0</v>
      </c>
      <c r="K7174" t="b">
        <v>0</v>
      </c>
      <c r="L7174" t="b">
        <v>0</v>
      </c>
    </row>
    <row r="7175" spans="1:25" x14ac:dyDescent="0.2">
      <c r="A7175">
        <v>3491</v>
      </c>
      <c r="B7175" t="s">
        <v>10926</v>
      </c>
      <c r="C7175" t="s">
        <v>18</v>
      </c>
      <c r="D7175" t="s">
        <v>2486</v>
      </c>
      <c r="E7175" t="s">
        <v>2487</v>
      </c>
      <c r="F7175" t="s">
        <v>205</v>
      </c>
      <c r="G7175" t="s">
        <v>134</v>
      </c>
      <c r="J7175" t="b">
        <v>0</v>
      </c>
      <c r="K7175" t="b">
        <v>0</v>
      </c>
      <c r="L7175" t="b">
        <v>0</v>
      </c>
      <c r="M7175" t="str">
        <f>HYPERLINK("https://arizona.app.box.com/file/389163865673")</f>
        <v>https://arizona.app.box.com/file/389163865673</v>
      </c>
      <c r="N7175" t="str">
        <f>HYPERLINK("https://arizona.app.box.com/file/386241113911")</f>
        <v>https://arizona.app.box.com/file/386241113911</v>
      </c>
    </row>
    <row r="7177" spans="1:25" x14ac:dyDescent="0.2">
      <c r="A7177" s="2">
        <v>350</v>
      </c>
      <c r="B7177" s="2" t="s">
        <v>10930</v>
      </c>
      <c r="C7177" s="2" t="s">
        <v>13</v>
      </c>
      <c r="D7177" s="2" t="s">
        <v>10931</v>
      </c>
      <c r="E7177" s="2" t="s">
        <v>10932</v>
      </c>
      <c r="F7177" s="2" t="s">
        <v>264</v>
      </c>
      <c r="G7177" s="2" t="s">
        <v>252</v>
      </c>
      <c r="H7177" s="2"/>
      <c r="I7177" s="2"/>
      <c r="J7177" s="2"/>
      <c r="K7177" s="2"/>
      <c r="L7177" s="2"/>
      <c r="M7177" s="2"/>
      <c r="N7177" s="2"/>
      <c r="O7177" s="2"/>
      <c r="P7177" s="2"/>
      <c r="Q7177" s="2"/>
      <c r="R7177" s="2"/>
      <c r="S7177" s="2"/>
      <c r="T7177" s="2"/>
      <c r="U7177" s="2"/>
      <c r="V7177" s="2"/>
      <c r="W7177" s="2"/>
      <c r="X7177" s="2"/>
      <c r="Y7177" s="2"/>
    </row>
    <row r="7178" spans="1:25" x14ac:dyDescent="0.2">
      <c r="A7178">
        <v>351</v>
      </c>
      <c r="B7178" t="s">
        <v>10930</v>
      </c>
      <c r="C7178" t="s">
        <v>18</v>
      </c>
      <c r="D7178" t="s">
        <v>10931</v>
      </c>
      <c r="E7178" t="s">
        <v>10932</v>
      </c>
      <c r="F7178" t="s">
        <v>264</v>
      </c>
      <c r="G7178" t="s">
        <v>252</v>
      </c>
      <c r="J7178" t="b">
        <v>1</v>
      </c>
      <c r="K7178" t="b">
        <v>1</v>
      </c>
      <c r="L7178" t="b">
        <v>1</v>
      </c>
      <c r="M7178" t="str">
        <f>HYPERLINK("https://arizona.app.box.com/file/386242255249")</f>
        <v>https://arizona.app.box.com/file/386242255249</v>
      </c>
      <c r="N7178" t="str">
        <f>HYPERLINK("https://arizona.app.box.com/file/386245133895")</f>
        <v>https://arizona.app.box.com/file/386245133895</v>
      </c>
    </row>
    <row r="7179" spans="1:25" x14ac:dyDescent="0.2">
      <c r="A7179">
        <v>352</v>
      </c>
      <c r="B7179" t="s">
        <v>10930</v>
      </c>
      <c r="C7179" t="s">
        <v>18</v>
      </c>
      <c r="D7179" t="s">
        <v>10933</v>
      </c>
      <c r="E7179" t="s">
        <v>1137</v>
      </c>
      <c r="F7179" t="s">
        <v>264</v>
      </c>
      <c r="G7179" t="s">
        <v>252</v>
      </c>
      <c r="J7179" t="b">
        <v>0</v>
      </c>
      <c r="K7179" t="b">
        <v>0</v>
      </c>
      <c r="L7179" t="b">
        <v>0</v>
      </c>
      <c r="M7179" t="str">
        <f>HYPERLINK("https://arizona.app.box.com/file/386244485880")</f>
        <v>https://arizona.app.box.com/file/386244485880</v>
      </c>
    </row>
    <row r="7180" spans="1:25" x14ac:dyDescent="0.2">
      <c r="A7180">
        <v>353</v>
      </c>
      <c r="B7180" t="s">
        <v>10930</v>
      </c>
      <c r="C7180" t="s">
        <v>18</v>
      </c>
      <c r="D7180" t="s">
        <v>10934</v>
      </c>
      <c r="E7180" t="s">
        <v>4675</v>
      </c>
      <c r="F7180" t="s">
        <v>264</v>
      </c>
      <c r="G7180" t="s">
        <v>252</v>
      </c>
      <c r="J7180" t="b">
        <v>0</v>
      </c>
      <c r="K7180" t="b">
        <v>0</v>
      </c>
      <c r="L7180" t="b">
        <v>0</v>
      </c>
      <c r="M7180" t="str">
        <f>HYPERLINK("https://arizona.app.box.com/file/386230411381")</f>
        <v>https://arizona.app.box.com/file/386230411381</v>
      </c>
    </row>
    <row r="7181" spans="1:25" x14ac:dyDescent="0.2">
      <c r="A7181">
        <v>354</v>
      </c>
      <c r="B7181" t="s">
        <v>10930</v>
      </c>
      <c r="C7181" t="s">
        <v>18</v>
      </c>
      <c r="D7181" t="s">
        <v>3497</v>
      </c>
      <c r="E7181" t="s">
        <v>1472</v>
      </c>
      <c r="F7181" t="s">
        <v>78</v>
      </c>
      <c r="G7181" t="s">
        <v>252</v>
      </c>
      <c r="J7181" t="b">
        <v>0</v>
      </c>
      <c r="K7181" t="b">
        <v>0</v>
      </c>
      <c r="L7181" t="b">
        <v>0</v>
      </c>
      <c r="M7181" t="str">
        <f>HYPERLINK("https://arizona.app.box.com/file/389264006612")</f>
        <v>https://arizona.app.box.com/file/389264006612</v>
      </c>
      <c r="N7181" t="str">
        <f>HYPERLINK("https://arizona.app.box.com/file/389162830913")</f>
        <v>https://arizona.app.box.com/file/389162830913</v>
      </c>
    </row>
    <row r="7182" spans="1:25" x14ac:dyDescent="0.2">
      <c r="A7182">
        <v>355</v>
      </c>
      <c r="B7182" t="s">
        <v>10930</v>
      </c>
      <c r="C7182" t="s">
        <v>18</v>
      </c>
      <c r="D7182" t="s">
        <v>3500</v>
      </c>
      <c r="E7182" t="s">
        <v>3501</v>
      </c>
      <c r="F7182" t="s">
        <v>78</v>
      </c>
      <c r="G7182" t="s">
        <v>252</v>
      </c>
      <c r="J7182" t="b">
        <v>0</v>
      </c>
      <c r="K7182" t="b">
        <v>0</v>
      </c>
      <c r="L7182" t="b">
        <v>0</v>
      </c>
      <c r="M7182" t="str">
        <f>HYPERLINK("https://arizona.app.box.com/file/389268934785")</f>
        <v>https://arizona.app.box.com/file/389268934785</v>
      </c>
      <c r="N7182" t="str">
        <f>HYPERLINK("https://arizona.app.box.com/file/389153112707")</f>
        <v>https://arizona.app.box.com/file/389153112707</v>
      </c>
    </row>
    <row r="7184" spans="1:25" x14ac:dyDescent="0.2">
      <c r="A7184" s="2">
        <v>3535</v>
      </c>
      <c r="B7184" s="2" t="s">
        <v>10935</v>
      </c>
      <c r="C7184" s="2" t="s">
        <v>13</v>
      </c>
      <c r="D7184" s="2" t="s">
        <v>10936</v>
      </c>
      <c r="E7184" s="2" t="s">
        <v>10937</v>
      </c>
      <c r="F7184" s="2" t="s">
        <v>174</v>
      </c>
      <c r="G7184" s="2" t="s">
        <v>17</v>
      </c>
      <c r="H7184" s="2"/>
      <c r="I7184" s="2"/>
      <c r="J7184" s="2"/>
      <c r="K7184" s="2"/>
      <c r="L7184" s="2"/>
      <c r="M7184" s="2"/>
      <c r="N7184" s="2"/>
      <c r="O7184" s="2"/>
      <c r="P7184" s="2"/>
      <c r="Q7184" s="2"/>
      <c r="R7184" s="2"/>
      <c r="S7184" s="2"/>
      <c r="T7184" s="2"/>
      <c r="U7184" s="2"/>
      <c r="V7184" s="2"/>
      <c r="W7184" s="2"/>
      <c r="X7184" s="2"/>
      <c r="Y7184" s="2"/>
    </row>
    <row r="7185" spans="1:25" x14ac:dyDescent="0.2">
      <c r="A7185">
        <v>3536</v>
      </c>
      <c r="B7185" t="s">
        <v>10935</v>
      </c>
      <c r="C7185" t="s">
        <v>18</v>
      </c>
      <c r="D7185" t="s">
        <v>10936</v>
      </c>
      <c r="E7185" t="s">
        <v>2299</v>
      </c>
      <c r="F7185" t="s">
        <v>174</v>
      </c>
      <c r="G7185" t="s">
        <v>17</v>
      </c>
      <c r="J7185" t="b">
        <v>1</v>
      </c>
      <c r="K7185" t="b">
        <v>1</v>
      </c>
      <c r="L7185" t="b">
        <v>1</v>
      </c>
      <c r="M7185" t="str">
        <f>HYPERLINK("https://arizona.app.box.com/file/389253879173")</f>
        <v>https://arizona.app.box.com/file/389253879173</v>
      </c>
      <c r="N7185" t="str">
        <f>HYPERLINK("https://arizona.app.box.com/file/389151402149")</f>
        <v>https://arizona.app.box.com/file/389151402149</v>
      </c>
    </row>
    <row r="7186" spans="1:25" x14ac:dyDescent="0.2">
      <c r="A7186">
        <v>3537</v>
      </c>
      <c r="B7186" t="s">
        <v>10935</v>
      </c>
      <c r="C7186" t="s">
        <v>18</v>
      </c>
      <c r="D7186" t="s">
        <v>10938</v>
      </c>
      <c r="E7186" t="s">
        <v>10939</v>
      </c>
      <c r="F7186" t="s">
        <v>174</v>
      </c>
      <c r="G7186" t="s">
        <v>17</v>
      </c>
      <c r="J7186" t="b">
        <v>0</v>
      </c>
      <c r="K7186" t="b">
        <v>0</v>
      </c>
      <c r="L7186" t="b">
        <v>0</v>
      </c>
      <c r="M7186" t="str">
        <f>HYPERLINK("https://arizona.app.box.com/file/386243202914")</f>
        <v>https://arizona.app.box.com/file/386243202914</v>
      </c>
      <c r="N7186" t="str">
        <f>HYPERLINK("https://arizona.app.box.com/file/386244048331")</f>
        <v>https://arizona.app.box.com/file/386244048331</v>
      </c>
    </row>
    <row r="7187" spans="1:25" x14ac:dyDescent="0.2">
      <c r="A7187">
        <v>3538</v>
      </c>
      <c r="B7187" t="s">
        <v>10935</v>
      </c>
      <c r="C7187" t="s">
        <v>18</v>
      </c>
      <c r="D7187" t="s">
        <v>10940</v>
      </c>
      <c r="E7187" t="s">
        <v>10941</v>
      </c>
      <c r="F7187" t="s">
        <v>174</v>
      </c>
      <c r="G7187" t="s">
        <v>17</v>
      </c>
      <c r="J7187" t="b">
        <v>0</v>
      </c>
      <c r="K7187" t="b">
        <v>0</v>
      </c>
      <c r="L7187" t="b">
        <v>0</v>
      </c>
    </row>
    <row r="7188" spans="1:25" x14ac:dyDescent="0.2">
      <c r="A7188">
        <v>3539</v>
      </c>
      <c r="B7188" t="s">
        <v>10935</v>
      </c>
      <c r="C7188" t="s">
        <v>18</v>
      </c>
      <c r="D7188" t="s">
        <v>10942</v>
      </c>
      <c r="E7188" t="s">
        <v>10943</v>
      </c>
      <c r="F7188" t="s">
        <v>174</v>
      </c>
      <c r="G7188" t="s">
        <v>17</v>
      </c>
      <c r="J7188" t="b">
        <v>0</v>
      </c>
      <c r="K7188" t="b">
        <v>0</v>
      </c>
      <c r="L7188" t="b">
        <v>0</v>
      </c>
      <c r="M7188" t="str">
        <f>HYPERLINK("https://arizona.app.box.com/file/386244511144")</f>
        <v>https://arizona.app.box.com/file/386244511144</v>
      </c>
    </row>
    <row r="7189" spans="1:25" x14ac:dyDescent="0.2">
      <c r="A7189">
        <v>3540</v>
      </c>
      <c r="B7189" t="s">
        <v>10935</v>
      </c>
      <c r="C7189" t="s">
        <v>18</v>
      </c>
      <c r="D7189" t="s">
        <v>8424</v>
      </c>
      <c r="E7189" t="s">
        <v>517</v>
      </c>
      <c r="F7189" t="s">
        <v>174</v>
      </c>
      <c r="G7189" t="s">
        <v>17</v>
      </c>
      <c r="J7189" t="b">
        <v>1</v>
      </c>
      <c r="K7189" t="b">
        <v>1</v>
      </c>
      <c r="L7189" t="b">
        <v>1</v>
      </c>
      <c r="M7189" t="str">
        <f>HYPERLINK("https://arizona.app.box.com/file/389151324325")</f>
        <v>https://arizona.app.box.com/file/389151324325</v>
      </c>
    </row>
    <row r="7191" spans="1:25" x14ac:dyDescent="0.2">
      <c r="A7191" s="2">
        <v>3542</v>
      </c>
      <c r="B7191" s="2" t="s">
        <v>10944</v>
      </c>
      <c r="C7191" s="2" t="s">
        <v>13</v>
      </c>
      <c r="D7191" s="2" t="s">
        <v>10945</v>
      </c>
      <c r="E7191" s="2" t="s">
        <v>10946</v>
      </c>
      <c r="F7191" s="2" t="s">
        <v>168</v>
      </c>
      <c r="G7191" s="2" t="s">
        <v>24</v>
      </c>
      <c r="H7191" s="2"/>
      <c r="I7191" s="2"/>
      <c r="J7191" s="2"/>
      <c r="K7191" s="2"/>
      <c r="L7191" s="2"/>
      <c r="M7191" s="2"/>
      <c r="N7191" s="2"/>
      <c r="O7191" s="2"/>
      <c r="P7191" s="2"/>
      <c r="Q7191" s="2"/>
      <c r="R7191" s="2"/>
      <c r="S7191" s="2"/>
      <c r="T7191" s="2"/>
      <c r="U7191" s="2"/>
      <c r="V7191" s="2"/>
      <c r="W7191" s="2"/>
      <c r="X7191" s="2"/>
      <c r="Y7191" s="2"/>
    </row>
    <row r="7192" spans="1:25" x14ac:dyDescent="0.2">
      <c r="A7192">
        <v>3543</v>
      </c>
      <c r="B7192" t="s">
        <v>10944</v>
      </c>
      <c r="C7192" t="s">
        <v>18</v>
      </c>
      <c r="D7192" t="s">
        <v>6774</v>
      </c>
      <c r="E7192" t="s">
        <v>1299</v>
      </c>
      <c r="F7192" t="s">
        <v>168</v>
      </c>
      <c r="G7192" t="s">
        <v>24</v>
      </c>
      <c r="J7192" t="b">
        <v>1</v>
      </c>
      <c r="K7192" t="b">
        <v>1</v>
      </c>
      <c r="L7192" t="b">
        <v>1</v>
      </c>
      <c r="M7192" t="str">
        <f>HYPERLINK("https://arizona.app.box.com/file/389167316675")</f>
        <v>https://arizona.app.box.com/file/389167316675</v>
      </c>
    </row>
    <row r="7193" spans="1:25" x14ac:dyDescent="0.2">
      <c r="A7193">
        <v>3544</v>
      </c>
      <c r="B7193" t="s">
        <v>10944</v>
      </c>
      <c r="C7193" t="s">
        <v>18</v>
      </c>
      <c r="D7193" t="s">
        <v>10947</v>
      </c>
      <c r="E7193" t="s">
        <v>10948</v>
      </c>
      <c r="F7193" t="s">
        <v>82</v>
      </c>
      <c r="G7193" t="s">
        <v>24</v>
      </c>
      <c r="J7193" t="b">
        <v>0</v>
      </c>
      <c r="K7193" t="b">
        <v>0</v>
      </c>
      <c r="L7193" t="b">
        <v>0</v>
      </c>
    </row>
    <row r="7194" spans="1:25" x14ac:dyDescent="0.2">
      <c r="A7194">
        <v>3545</v>
      </c>
      <c r="B7194" t="s">
        <v>10944</v>
      </c>
      <c r="C7194" t="s">
        <v>18</v>
      </c>
      <c r="D7194" t="s">
        <v>10949</v>
      </c>
      <c r="E7194" t="s">
        <v>8942</v>
      </c>
      <c r="F7194" t="s">
        <v>168</v>
      </c>
      <c r="G7194" t="s">
        <v>24</v>
      </c>
      <c r="J7194" t="b">
        <v>0</v>
      </c>
      <c r="K7194" t="b">
        <v>1</v>
      </c>
      <c r="L7194" t="b">
        <v>1</v>
      </c>
      <c r="M7194" t="str">
        <f>HYPERLINK("https://arizona.app.box.com/file/386240410628")</f>
        <v>https://arizona.app.box.com/file/386240410628</v>
      </c>
      <c r="N7194" t="str">
        <f>HYPERLINK("https://arizona.app.box.com/file/386215017248")</f>
        <v>https://arizona.app.box.com/file/386215017248</v>
      </c>
    </row>
    <row r="7195" spans="1:25" x14ac:dyDescent="0.2">
      <c r="A7195">
        <v>3546</v>
      </c>
      <c r="B7195" t="s">
        <v>10944</v>
      </c>
      <c r="C7195" t="s">
        <v>18</v>
      </c>
      <c r="D7195" t="s">
        <v>10950</v>
      </c>
      <c r="E7195" t="s">
        <v>10951</v>
      </c>
      <c r="F7195" t="s">
        <v>151</v>
      </c>
      <c r="G7195" t="s">
        <v>17</v>
      </c>
      <c r="J7195" t="b">
        <v>0</v>
      </c>
      <c r="K7195" t="b">
        <v>0</v>
      </c>
      <c r="L7195" t="b">
        <v>0</v>
      </c>
      <c r="M7195" t="str">
        <f>HYPERLINK("https://arizona.app.box.com/file/389150337205")</f>
        <v>https://arizona.app.box.com/file/389150337205</v>
      </c>
    </row>
    <row r="7196" spans="1:25" x14ac:dyDescent="0.2">
      <c r="A7196">
        <v>3547</v>
      </c>
      <c r="B7196" t="s">
        <v>10944</v>
      </c>
      <c r="C7196" t="s">
        <v>18</v>
      </c>
      <c r="D7196" t="s">
        <v>10952</v>
      </c>
      <c r="E7196" t="s">
        <v>9737</v>
      </c>
      <c r="F7196" t="s">
        <v>151</v>
      </c>
      <c r="G7196" t="s">
        <v>17</v>
      </c>
      <c r="J7196" t="b">
        <v>0</v>
      </c>
      <c r="K7196" t="b">
        <v>0</v>
      </c>
      <c r="L7196" t="b">
        <v>0</v>
      </c>
      <c r="M7196" t="str">
        <f>HYPERLINK("https://arizona.app.box.com/file/386265339198")</f>
        <v>https://arizona.app.box.com/file/386265339198</v>
      </c>
    </row>
    <row r="7198" spans="1:25" x14ac:dyDescent="0.2">
      <c r="A7198" s="2">
        <v>3563</v>
      </c>
      <c r="B7198" s="2" t="s">
        <v>10953</v>
      </c>
      <c r="C7198" s="2" t="s">
        <v>13</v>
      </c>
      <c r="D7198" s="2" t="s">
        <v>10954</v>
      </c>
      <c r="E7198" s="2" t="s">
        <v>10955</v>
      </c>
      <c r="F7198" s="2" t="s">
        <v>151</v>
      </c>
      <c r="G7198" s="2" t="s">
        <v>252</v>
      </c>
      <c r="H7198" s="2"/>
      <c r="I7198" s="2"/>
      <c r="J7198" s="2"/>
      <c r="K7198" s="2"/>
      <c r="L7198" s="2"/>
      <c r="M7198" s="2"/>
      <c r="N7198" s="2"/>
      <c r="O7198" s="2"/>
      <c r="P7198" s="2"/>
      <c r="Q7198" s="2"/>
      <c r="R7198" s="2"/>
      <c r="S7198" s="2"/>
      <c r="T7198" s="2"/>
      <c r="U7198" s="2"/>
      <c r="V7198" s="2"/>
      <c r="W7198" s="2"/>
      <c r="X7198" s="2"/>
      <c r="Y7198" s="2"/>
    </row>
    <row r="7199" spans="1:25" x14ac:dyDescent="0.2">
      <c r="A7199">
        <v>3564</v>
      </c>
      <c r="B7199" t="s">
        <v>10953</v>
      </c>
      <c r="C7199" t="s">
        <v>18</v>
      </c>
      <c r="D7199" t="s">
        <v>10954</v>
      </c>
      <c r="E7199" t="s">
        <v>9681</v>
      </c>
      <c r="F7199" t="s">
        <v>151</v>
      </c>
      <c r="G7199" t="s">
        <v>252</v>
      </c>
      <c r="J7199" t="b">
        <v>1</v>
      </c>
      <c r="K7199" t="b">
        <v>1</v>
      </c>
      <c r="L7199" t="b">
        <v>1</v>
      </c>
    </row>
    <row r="7200" spans="1:25" x14ac:dyDescent="0.2">
      <c r="A7200">
        <v>3565</v>
      </c>
      <c r="B7200" t="s">
        <v>10953</v>
      </c>
      <c r="C7200" t="s">
        <v>18</v>
      </c>
      <c r="D7200" t="s">
        <v>10956</v>
      </c>
      <c r="E7200" t="s">
        <v>9681</v>
      </c>
      <c r="F7200" t="s">
        <v>151</v>
      </c>
      <c r="G7200" t="s">
        <v>252</v>
      </c>
      <c r="J7200" t="b">
        <v>1</v>
      </c>
      <c r="K7200" t="b">
        <v>0</v>
      </c>
      <c r="L7200" t="b">
        <v>1</v>
      </c>
      <c r="M7200" t="str">
        <f>HYPERLINK("https://arizona.app.box.com/file/389262483245")</f>
        <v>https://arizona.app.box.com/file/389262483245</v>
      </c>
    </row>
    <row r="7201" spans="1:25" x14ac:dyDescent="0.2">
      <c r="A7201">
        <v>3566</v>
      </c>
      <c r="B7201" t="s">
        <v>10953</v>
      </c>
      <c r="C7201" t="s">
        <v>18</v>
      </c>
      <c r="D7201" t="s">
        <v>10957</v>
      </c>
      <c r="E7201" t="s">
        <v>2087</v>
      </c>
      <c r="F7201" t="s">
        <v>151</v>
      </c>
      <c r="G7201" t="s">
        <v>252</v>
      </c>
      <c r="J7201" t="b">
        <v>1</v>
      </c>
      <c r="K7201" t="b">
        <v>1</v>
      </c>
      <c r="L7201" t="b">
        <v>1</v>
      </c>
      <c r="M7201" t="str">
        <f>HYPERLINK("https://arizona.app.box.com/file/389261705889")</f>
        <v>https://arizona.app.box.com/file/389261705889</v>
      </c>
      <c r="N7201" t="str">
        <f>HYPERLINK("https://arizona.app.box.com/file/389162163610")</f>
        <v>https://arizona.app.box.com/file/389162163610</v>
      </c>
    </row>
    <row r="7202" spans="1:25" x14ac:dyDescent="0.2">
      <c r="A7202">
        <v>3567</v>
      </c>
      <c r="B7202" t="s">
        <v>10953</v>
      </c>
      <c r="C7202" t="s">
        <v>18</v>
      </c>
      <c r="D7202" t="s">
        <v>663</v>
      </c>
      <c r="E7202" t="s">
        <v>664</v>
      </c>
      <c r="F7202" t="s">
        <v>78</v>
      </c>
      <c r="G7202" t="s">
        <v>17</v>
      </c>
      <c r="J7202" t="b">
        <v>0</v>
      </c>
      <c r="K7202" t="b">
        <v>0</v>
      </c>
      <c r="L7202" t="b">
        <v>0</v>
      </c>
      <c r="M7202" t="str">
        <f>HYPERLINK("https://arizona.app.box.com/file/389266248328")</f>
        <v>https://arizona.app.box.com/file/389266248328</v>
      </c>
      <c r="N7202" t="str">
        <f>HYPERLINK("https://arizona.app.box.com/file/389138391869")</f>
        <v>https://arizona.app.box.com/file/389138391869</v>
      </c>
      <c r="O7202" t="str">
        <f>HYPERLINK("https://arizona.app.box.com/file/389261561102")</f>
        <v>https://arizona.app.box.com/file/389261561102</v>
      </c>
    </row>
    <row r="7203" spans="1:25" x14ac:dyDescent="0.2">
      <c r="A7203">
        <v>3568</v>
      </c>
      <c r="B7203" t="s">
        <v>10953</v>
      </c>
      <c r="C7203" t="s">
        <v>18</v>
      </c>
      <c r="D7203" t="s">
        <v>10958</v>
      </c>
      <c r="E7203" t="s">
        <v>10959</v>
      </c>
      <c r="F7203" t="s">
        <v>670</v>
      </c>
      <c r="G7203" t="s">
        <v>252</v>
      </c>
      <c r="J7203" t="b">
        <v>0</v>
      </c>
      <c r="K7203" t="b">
        <v>0</v>
      </c>
      <c r="L7203" t="b">
        <v>0</v>
      </c>
      <c r="M7203" t="str">
        <f>HYPERLINK("https://arizona.app.box.com/file/386214382090")</f>
        <v>https://arizona.app.box.com/file/386214382090</v>
      </c>
    </row>
    <row r="7205" spans="1:25" x14ac:dyDescent="0.2">
      <c r="A7205" s="2">
        <v>357</v>
      </c>
      <c r="B7205" s="2" t="s">
        <v>10960</v>
      </c>
      <c r="C7205" s="2" t="s">
        <v>13</v>
      </c>
      <c r="D7205" s="2" t="s">
        <v>10961</v>
      </c>
      <c r="E7205" s="2" t="s">
        <v>10962</v>
      </c>
      <c r="F7205" s="2" t="s">
        <v>148</v>
      </c>
      <c r="G7205" s="2" t="s">
        <v>252</v>
      </c>
      <c r="H7205" s="2"/>
      <c r="I7205" s="2"/>
      <c r="J7205" s="2"/>
      <c r="K7205" s="2"/>
      <c r="L7205" s="2"/>
      <c r="M7205" s="2"/>
      <c r="N7205" s="2"/>
      <c r="O7205" s="2"/>
      <c r="P7205" s="2"/>
      <c r="Q7205" s="2"/>
      <c r="R7205" s="2"/>
      <c r="S7205" s="2"/>
      <c r="T7205" s="2"/>
      <c r="U7205" s="2"/>
      <c r="V7205" s="2"/>
      <c r="W7205" s="2"/>
      <c r="X7205" s="2"/>
      <c r="Y7205" s="2"/>
    </row>
    <row r="7206" spans="1:25" x14ac:dyDescent="0.2">
      <c r="A7206">
        <v>358</v>
      </c>
      <c r="B7206" t="s">
        <v>10960</v>
      </c>
      <c r="C7206" t="s">
        <v>18</v>
      </c>
      <c r="D7206" t="s">
        <v>10961</v>
      </c>
      <c r="E7206" t="s">
        <v>2493</v>
      </c>
      <c r="F7206" t="s">
        <v>148</v>
      </c>
      <c r="G7206" t="s">
        <v>252</v>
      </c>
      <c r="J7206" t="b">
        <v>1</v>
      </c>
      <c r="K7206" t="b">
        <v>1</v>
      </c>
      <c r="L7206" t="b">
        <v>1</v>
      </c>
      <c r="M7206" t="str">
        <f>HYPERLINK("https://arizona.app.box.com/file/386247780530")</f>
        <v>https://arizona.app.box.com/file/386247780530</v>
      </c>
    </row>
    <row r="7207" spans="1:25" x14ac:dyDescent="0.2">
      <c r="A7207">
        <v>359</v>
      </c>
      <c r="B7207" t="s">
        <v>10960</v>
      </c>
      <c r="C7207" t="s">
        <v>18</v>
      </c>
      <c r="D7207" t="s">
        <v>10963</v>
      </c>
      <c r="E7207" t="s">
        <v>982</v>
      </c>
      <c r="F7207" t="s">
        <v>148</v>
      </c>
      <c r="G7207" t="s">
        <v>252</v>
      </c>
      <c r="J7207" t="b">
        <v>1</v>
      </c>
      <c r="K7207" t="b">
        <v>1</v>
      </c>
      <c r="L7207" t="b">
        <v>1</v>
      </c>
      <c r="M7207" t="str">
        <f>HYPERLINK("https://arizona.app.box.com/file/386245016228")</f>
        <v>https://arizona.app.box.com/file/386245016228</v>
      </c>
    </row>
    <row r="7208" spans="1:25" x14ac:dyDescent="0.2">
      <c r="A7208">
        <v>360</v>
      </c>
      <c r="B7208" t="s">
        <v>10960</v>
      </c>
      <c r="C7208" t="s">
        <v>18</v>
      </c>
      <c r="D7208" t="s">
        <v>10964</v>
      </c>
      <c r="E7208" t="s">
        <v>10965</v>
      </c>
      <c r="F7208" t="s">
        <v>10966</v>
      </c>
      <c r="G7208" t="s">
        <v>252</v>
      </c>
      <c r="J7208" t="b">
        <v>0</v>
      </c>
      <c r="K7208" t="b">
        <v>0</v>
      </c>
      <c r="L7208" t="b">
        <v>0</v>
      </c>
      <c r="M7208" t="str">
        <f>HYPERLINK("https://arizona.app.box.com/file/386219511727")</f>
        <v>https://arizona.app.box.com/file/386219511727</v>
      </c>
      <c r="N7208" t="str">
        <f>HYPERLINK("https://arizona.app.box.com/file/386241113911")</f>
        <v>https://arizona.app.box.com/file/386241113911</v>
      </c>
    </row>
    <row r="7209" spans="1:25" x14ac:dyDescent="0.2">
      <c r="A7209">
        <v>361</v>
      </c>
      <c r="B7209" t="s">
        <v>10960</v>
      </c>
      <c r="C7209" t="s">
        <v>18</v>
      </c>
      <c r="D7209" t="s">
        <v>10967</v>
      </c>
      <c r="E7209" t="s">
        <v>10968</v>
      </c>
      <c r="F7209" t="s">
        <v>82</v>
      </c>
      <c r="G7209" t="s">
        <v>252</v>
      </c>
      <c r="J7209" t="b">
        <v>0</v>
      </c>
      <c r="K7209" t="b">
        <v>0</v>
      </c>
      <c r="L7209" t="b">
        <v>0</v>
      </c>
    </row>
    <row r="7210" spans="1:25" x14ac:dyDescent="0.2">
      <c r="A7210">
        <v>362</v>
      </c>
      <c r="B7210" t="s">
        <v>10960</v>
      </c>
      <c r="C7210" t="s">
        <v>18</v>
      </c>
      <c r="D7210" t="s">
        <v>9001</v>
      </c>
      <c r="E7210" t="s">
        <v>9002</v>
      </c>
      <c r="F7210" t="s">
        <v>5215</v>
      </c>
      <c r="G7210" t="s">
        <v>17</v>
      </c>
      <c r="J7210" t="b">
        <v>0</v>
      </c>
      <c r="K7210" t="b">
        <v>0</v>
      </c>
      <c r="L7210" t="b">
        <v>0</v>
      </c>
      <c r="M7210" t="str">
        <f>HYPERLINK("https://arizona.app.box.com/file/386272227814")</f>
        <v>https://arizona.app.box.com/file/386272227814</v>
      </c>
      <c r="N7210" t="str">
        <f>HYPERLINK("https://arizona.app.box.com/file/389166454520")</f>
        <v>https://arizona.app.box.com/file/389166454520</v>
      </c>
    </row>
    <row r="7212" spans="1:25" x14ac:dyDescent="0.2">
      <c r="A7212" s="2">
        <v>3584</v>
      </c>
      <c r="B7212" s="2" t="s">
        <v>10969</v>
      </c>
      <c r="C7212" s="2" t="s">
        <v>13</v>
      </c>
      <c r="D7212" s="2" t="s">
        <v>4056</v>
      </c>
      <c r="E7212" s="2" t="s">
        <v>10970</v>
      </c>
      <c r="F7212" s="2" t="s">
        <v>168</v>
      </c>
      <c r="G7212" s="2" t="s">
        <v>17</v>
      </c>
      <c r="H7212" s="2"/>
      <c r="I7212" s="2"/>
      <c r="J7212" s="2"/>
      <c r="K7212" s="2"/>
      <c r="L7212" s="2"/>
      <c r="M7212" s="2"/>
      <c r="N7212" s="2"/>
      <c r="O7212" s="2"/>
      <c r="P7212" s="2"/>
      <c r="Q7212" s="2"/>
      <c r="R7212" s="2"/>
      <c r="S7212" s="2"/>
      <c r="T7212" s="2"/>
      <c r="U7212" s="2"/>
      <c r="V7212" s="2"/>
      <c r="W7212" s="2"/>
      <c r="X7212" s="2"/>
      <c r="Y7212" s="2"/>
    </row>
    <row r="7213" spans="1:25" x14ac:dyDescent="0.2">
      <c r="A7213">
        <v>3585</v>
      </c>
      <c r="B7213" t="s">
        <v>10969</v>
      </c>
      <c r="C7213" t="s">
        <v>18</v>
      </c>
      <c r="D7213" t="s">
        <v>4056</v>
      </c>
      <c r="E7213" t="s">
        <v>1185</v>
      </c>
      <c r="F7213" t="s">
        <v>168</v>
      </c>
      <c r="G7213" t="s">
        <v>17</v>
      </c>
      <c r="J7213" t="b">
        <v>1</v>
      </c>
      <c r="K7213" t="b">
        <v>1</v>
      </c>
      <c r="L7213" t="b">
        <v>1</v>
      </c>
      <c r="M7213" t="str">
        <f>HYPERLINK("https://arizona.app.box.com/file/389167317528")</f>
        <v>https://arizona.app.box.com/file/389167317528</v>
      </c>
      <c r="N7213" t="str">
        <f>HYPERLINK("https://arizona.app.box.com/file/386240945928")</f>
        <v>https://arizona.app.box.com/file/386240945928</v>
      </c>
    </row>
    <row r="7214" spans="1:25" x14ac:dyDescent="0.2">
      <c r="A7214">
        <v>3586</v>
      </c>
      <c r="B7214" t="s">
        <v>10969</v>
      </c>
      <c r="C7214" t="s">
        <v>18</v>
      </c>
      <c r="D7214" t="s">
        <v>8774</v>
      </c>
      <c r="E7214" t="s">
        <v>4336</v>
      </c>
      <c r="F7214" t="s">
        <v>168</v>
      </c>
      <c r="G7214" t="s">
        <v>17</v>
      </c>
      <c r="J7214" t="b">
        <v>1</v>
      </c>
      <c r="K7214" t="b">
        <v>1</v>
      </c>
      <c r="L7214" t="b">
        <v>1</v>
      </c>
      <c r="M7214" t="str">
        <f>HYPERLINK("https://arizona.app.box.com/file/389267083478")</f>
        <v>https://arizona.app.box.com/file/389267083478</v>
      </c>
      <c r="N7214" t="str">
        <f>HYPERLINK("https://arizona.app.box.com/file/389172156057")</f>
        <v>https://arizona.app.box.com/file/389172156057</v>
      </c>
    </row>
    <row r="7215" spans="1:25" x14ac:dyDescent="0.2">
      <c r="A7215">
        <v>3587</v>
      </c>
      <c r="B7215" t="s">
        <v>10969</v>
      </c>
      <c r="C7215" t="s">
        <v>18</v>
      </c>
      <c r="D7215" t="s">
        <v>4038</v>
      </c>
      <c r="E7215" t="s">
        <v>4040</v>
      </c>
      <c r="F7215" t="s">
        <v>151</v>
      </c>
      <c r="G7215" t="s">
        <v>24</v>
      </c>
      <c r="J7215" t="b">
        <v>0</v>
      </c>
      <c r="K7215" t="b">
        <v>0</v>
      </c>
      <c r="L7215" t="b">
        <v>0</v>
      </c>
      <c r="M7215" t="str">
        <f>HYPERLINK("https://arizona.app.box.com/file/389173778635")</f>
        <v>https://arizona.app.box.com/file/389173778635</v>
      </c>
      <c r="N7215" t="str">
        <f>HYPERLINK("https://arizona.app.box.com/file/386226309731")</f>
        <v>https://arizona.app.box.com/file/386226309731</v>
      </c>
    </row>
    <row r="7216" spans="1:25" x14ac:dyDescent="0.2">
      <c r="A7216">
        <v>3588</v>
      </c>
      <c r="B7216" t="s">
        <v>10969</v>
      </c>
      <c r="C7216" t="s">
        <v>18</v>
      </c>
      <c r="D7216" t="s">
        <v>2330</v>
      </c>
      <c r="E7216" t="s">
        <v>2331</v>
      </c>
      <c r="F7216" t="s">
        <v>78</v>
      </c>
      <c r="G7216" t="s">
        <v>17</v>
      </c>
      <c r="J7216" t="b">
        <v>0</v>
      </c>
      <c r="K7216" t="b">
        <v>0</v>
      </c>
      <c r="L7216" t="b">
        <v>0</v>
      </c>
      <c r="M7216" t="str">
        <f>HYPERLINK("https://arizona.app.box.com/file/389176167042")</f>
        <v>https://arizona.app.box.com/file/389176167042</v>
      </c>
      <c r="N7216" t="str">
        <f>HYPERLINK("https://arizona.app.box.com/file/386245332300")</f>
        <v>https://arizona.app.box.com/file/386245332300</v>
      </c>
      <c r="O7216" t="str">
        <f>HYPERLINK("https://arizona.app.box.com/file/389164653116")</f>
        <v>https://arizona.app.box.com/file/389164653116</v>
      </c>
    </row>
    <row r="7217" spans="1:25" x14ac:dyDescent="0.2">
      <c r="A7217">
        <v>3589</v>
      </c>
      <c r="B7217" t="s">
        <v>10969</v>
      </c>
      <c r="C7217" t="s">
        <v>18</v>
      </c>
      <c r="D7217" t="s">
        <v>4043</v>
      </c>
      <c r="E7217" t="s">
        <v>4044</v>
      </c>
      <c r="F7217" t="s">
        <v>151</v>
      </c>
      <c r="G7217" t="s">
        <v>24</v>
      </c>
      <c r="J7217" t="b">
        <v>0</v>
      </c>
      <c r="K7217" t="b">
        <v>0</v>
      </c>
      <c r="L7217" t="b">
        <v>0</v>
      </c>
      <c r="M7217" t="str">
        <f>HYPERLINK("https://arizona.app.box.com/file/389174199670")</f>
        <v>https://arizona.app.box.com/file/389174199670</v>
      </c>
      <c r="N7217" t="str">
        <f>HYPERLINK("https://arizona.app.box.com/file/386214478848")</f>
        <v>https://arizona.app.box.com/file/386214478848</v>
      </c>
    </row>
    <row r="7219" spans="1:25" x14ac:dyDescent="0.2">
      <c r="A7219" s="2">
        <v>3598</v>
      </c>
      <c r="B7219" s="2" t="s">
        <v>10971</v>
      </c>
      <c r="C7219" s="2" t="s">
        <v>13</v>
      </c>
      <c r="D7219" s="2" t="s">
        <v>10972</v>
      </c>
      <c r="E7219" s="2" t="s">
        <v>10973</v>
      </c>
      <c r="F7219" s="2" t="s">
        <v>174</v>
      </c>
      <c r="G7219" s="2" t="s">
        <v>345</v>
      </c>
      <c r="H7219" s="2"/>
      <c r="I7219" s="2"/>
      <c r="J7219" s="2"/>
      <c r="K7219" s="2"/>
      <c r="L7219" s="2"/>
      <c r="M7219" s="2"/>
      <c r="N7219" s="2"/>
      <c r="O7219" s="2"/>
      <c r="P7219" s="2"/>
      <c r="Q7219" s="2"/>
      <c r="R7219" s="2"/>
      <c r="S7219" s="2"/>
      <c r="T7219" s="2"/>
      <c r="U7219" s="2"/>
      <c r="V7219" s="2"/>
      <c r="W7219" s="2"/>
      <c r="X7219" s="2"/>
      <c r="Y7219" s="2"/>
    </row>
    <row r="7220" spans="1:25" x14ac:dyDescent="0.2">
      <c r="A7220">
        <v>3599</v>
      </c>
      <c r="B7220" t="s">
        <v>10971</v>
      </c>
      <c r="C7220" t="s">
        <v>18</v>
      </c>
      <c r="D7220" t="s">
        <v>10972</v>
      </c>
      <c r="E7220" t="s">
        <v>10973</v>
      </c>
      <c r="F7220" t="s">
        <v>174</v>
      </c>
      <c r="G7220" t="s">
        <v>345</v>
      </c>
      <c r="J7220" t="b">
        <v>1</v>
      </c>
      <c r="K7220" t="b">
        <v>1</v>
      </c>
      <c r="L7220" t="b">
        <v>1</v>
      </c>
      <c r="M7220" t="str">
        <f>HYPERLINK("https://arizona.app.box.com/file/389261872013")</f>
        <v>https://arizona.app.box.com/file/389261872013</v>
      </c>
      <c r="N7220" t="str">
        <f>HYPERLINK("https://arizona.app.box.com/file/389173782306")</f>
        <v>https://arizona.app.box.com/file/389173782306</v>
      </c>
      <c r="O7220" t="str">
        <f>HYPERLINK("https://arizona.app.box.com/file/386212720985")</f>
        <v>https://arizona.app.box.com/file/386212720985</v>
      </c>
    </row>
    <row r="7221" spans="1:25" x14ac:dyDescent="0.2">
      <c r="A7221">
        <v>3600</v>
      </c>
      <c r="B7221" t="s">
        <v>10971</v>
      </c>
      <c r="C7221" t="s">
        <v>18</v>
      </c>
      <c r="D7221" t="s">
        <v>10974</v>
      </c>
      <c r="E7221" t="s">
        <v>9249</v>
      </c>
      <c r="F7221" t="s">
        <v>174</v>
      </c>
      <c r="G7221" t="s">
        <v>161</v>
      </c>
      <c r="J7221" t="b">
        <v>0</v>
      </c>
      <c r="K7221" t="b">
        <v>1</v>
      </c>
      <c r="L7221" t="b">
        <v>0</v>
      </c>
      <c r="M7221" t="str">
        <f>HYPERLINK("https://arizona.app.box.com/file/389174498005")</f>
        <v>https://arizona.app.box.com/file/389174498005</v>
      </c>
      <c r="N7221" t="str">
        <f>HYPERLINK("https://arizona.app.box.com/file/389168739456")</f>
        <v>https://arizona.app.box.com/file/389168739456</v>
      </c>
    </row>
    <row r="7222" spans="1:25" x14ac:dyDescent="0.2">
      <c r="A7222">
        <v>3601</v>
      </c>
      <c r="B7222" t="s">
        <v>10971</v>
      </c>
      <c r="C7222" t="s">
        <v>18</v>
      </c>
      <c r="D7222" t="s">
        <v>10975</v>
      </c>
      <c r="E7222" t="s">
        <v>10976</v>
      </c>
      <c r="F7222" t="s">
        <v>174</v>
      </c>
      <c r="G7222" t="s">
        <v>345</v>
      </c>
      <c r="J7222" t="b">
        <v>0</v>
      </c>
      <c r="K7222" t="b">
        <v>1</v>
      </c>
      <c r="L7222" t="b">
        <v>0</v>
      </c>
      <c r="M7222" t="str">
        <f>HYPERLINK("https://arizona.app.box.com/file/386217617498")</f>
        <v>https://arizona.app.box.com/file/386217617498</v>
      </c>
      <c r="N7222" t="str">
        <f>HYPERLINK("https://arizona.app.box.com/file/386241099443")</f>
        <v>https://arizona.app.box.com/file/386241099443</v>
      </c>
    </row>
    <row r="7223" spans="1:25" x14ac:dyDescent="0.2">
      <c r="A7223">
        <v>3602</v>
      </c>
      <c r="B7223" t="s">
        <v>10971</v>
      </c>
      <c r="C7223" t="s">
        <v>18</v>
      </c>
      <c r="D7223" t="s">
        <v>7380</v>
      </c>
      <c r="E7223" t="s">
        <v>7381</v>
      </c>
      <c r="F7223" t="s">
        <v>510</v>
      </c>
      <c r="G7223" t="s">
        <v>62</v>
      </c>
      <c r="J7223" t="b">
        <v>0</v>
      </c>
      <c r="K7223" t="b">
        <v>0</v>
      </c>
      <c r="L7223" t="b">
        <v>0</v>
      </c>
      <c r="M7223" t="str">
        <f>HYPERLINK("https://arizona.app.box.com/file/389266628542")</f>
        <v>https://arizona.app.box.com/file/389266628542</v>
      </c>
      <c r="N7223" t="str">
        <f>HYPERLINK("https://arizona.app.box.com/file/389168607552")</f>
        <v>https://arizona.app.box.com/file/389168607552</v>
      </c>
    </row>
    <row r="7224" spans="1:25" x14ac:dyDescent="0.2">
      <c r="A7224">
        <v>3603</v>
      </c>
      <c r="B7224" t="s">
        <v>10971</v>
      </c>
      <c r="C7224" t="s">
        <v>18</v>
      </c>
      <c r="D7224" t="s">
        <v>432</v>
      </c>
      <c r="E7224" t="s">
        <v>433</v>
      </c>
      <c r="F7224" t="s">
        <v>122</v>
      </c>
      <c r="G7224" t="s">
        <v>417</v>
      </c>
      <c r="J7224" t="b">
        <v>0</v>
      </c>
      <c r="K7224" t="b">
        <v>0</v>
      </c>
      <c r="L7224" t="b">
        <v>0</v>
      </c>
      <c r="M7224" t="str">
        <f>HYPERLINK("https://arizona.app.box.com/file/386244352385")</f>
        <v>https://arizona.app.box.com/file/386244352385</v>
      </c>
      <c r="N7224" t="str">
        <f>HYPERLINK("https://arizona.app.box.com/file/386240272062")</f>
        <v>https://arizona.app.box.com/file/386240272062</v>
      </c>
    </row>
    <row r="7226" spans="1:25" x14ac:dyDescent="0.2">
      <c r="A7226" s="2">
        <v>3626</v>
      </c>
      <c r="B7226" s="2" t="s">
        <v>10977</v>
      </c>
      <c r="C7226" s="2" t="s">
        <v>13</v>
      </c>
      <c r="D7226" s="2" t="s">
        <v>3851</v>
      </c>
      <c r="E7226" s="2" t="s">
        <v>10978</v>
      </c>
      <c r="F7226" s="2" t="s">
        <v>670</v>
      </c>
      <c r="G7226" s="2" t="s">
        <v>17</v>
      </c>
      <c r="H7226" s="2"/>
      <c r="I7226" s="2"/>
      <c r="J7226" s="2"/>
      <c r="K7226" s="2"/>
      <c r="L7226" s="2"/>
      <c r="M7226" s="2"/>
      <c r="N7226" s="2"/>
      <c r="O7226" s="2"/>
      <c r="P7226" s="2"/>
      <c r="Q7226" s="2"/>
      <c r="R7226" s="2"/>
      <c r="S7226" s="2"/>
      <c r="T7226" s="2"/>
      <c r="U7226" s="2"/>
      <c r="V7226" s="2"/>
      <c r="W7226" s="2"/>
      <c r="X7226" s="2"/>
      <c r="Y7226" s="2"/>
    </row>
    <row r="7227" spans="1:25" x14ac:dyDescent="0.2">
      <c r="A7227">
        <v>3627</v>
      </c>
      <c r="B7227" t="s">
        <v>10977</v>
      </c>
      <c r="C7227" t="s">
        <v>18</v>
      </c>
      <c r="D7227" t="s">
        <v>3851</v>
      </c>
      <c r="E7227" t="s">
        <v>3852</v>
      </c>
      <c r="F7227" t="s">
        <v>670</v>
      </c>
      <c r="G7227" t="s">
        <v>17</v>
      </c>
      <c r="J7227" t="b">
        <v>1</v>
      </c>
      <c r="K7227" t="b">
        <v>1</v>
      </c>
      <c r="L7227" t="b">
        <v>1</v>
      </c>
      <c r="M7227" t="str">
        <f>HYPERLINK("https://arizona.app.box.com/file/389262733196")</f>
        <v>https://arizona.app.box.com/file/389262733196</v>
      </c>
    </row>
    <row r="7228" spans="1:25" x14ac:dyDescent="0.2">
      <c r="A7228">
        <v>3628</v>
      </c>
      <c r="B7228" t="s">
        <v>10977</v>
      </c>
      <c r="C7228" t="s">
        <v>18</v>
      </c>
      <c r="D7228" t="s">
        <v>5232</v>
      </c>
      <c r="E7228" t="s">
        <v>3860</v>
      </c>
      <c r="F7228" t="s">
        <v>16</v>
      </c>
      <c r="G7228" t="s">
        <v>17</v>
      </c>
      <c r="J7228" t="b">
        <v>0</v>
      </c>
      <c r="K7228" t="b">
        <v>0</v>
      </c>
      <c r="L7228" t="b">
        <v>0</v>
      </c>
      <c r="M7228" t="str">
        <f>HYPERLINK("https://arizona.app.box.com/file/389264138015")</f>
        <v>https://arizona.app.box.com/file/389264138015</v>
      </c>
      <c r="N7228" t="str">
        <f>HYPERLINK("https://arizona.app.box.com/file/389152063640")</f>
        <v>https://arizona.app.box.com/file/389152063640</v>
      </c>
    </row>
    <row r="7229" spans="1:25" x14ac:dyDescent="0.2">
      <c r="A7229">
        <v>3629</v>
      </c>
      <c r="B7229" t="s">
        <v>10977</v>
      </c>
      <c r="C7229" t="s">
        <v>18</v>
      </c>
      <c r="D7229" t="s">
        <v>3842</v>
      </c>
      <c r="E7229" t="s">
        <v>3844</v>
      </c>
      <c r="F7229" t="s">
        <v>670</v>
      </c>
      <c r="G7229" t="s">
        <v>17</v>
      </c>
      <c r="J7229" t="b">
        <v>0</v>
      </c>
      <c r="K7229" t="b">
        <v>0</v>
      </c>
      <c r="L7229" t="b">
        <v>0</v>
      </c>
      <c r="M7229" t="str">
        <f>HYPERLINK("https://arizona.app.box.com/file/389260808292")</f>
        <v>https://arizona.app.box.com/file/389260808292</v>
      </c>
      <c r="N7229" t="str">
        <f>HYPERLINK("https://arizona.app.box.com/file/389164611528")</f>
        <v>https://arizona.app.box.com/file/389164611528</v>
      </c>
    </row>
    <row r="7230" spans="1:25" x14ac:dyDescent="0.2">
      <c r="A7230">
        <v>3630</v>
      </c>
      <c r="B7230" t="s">
        <v>10977</v>
      </c>
      <c r="C7230" t="s">
        <v>18</v>
      </c>
      <c r="D7230" t="s">
        <v>3854</v>
      </c>
      <c r="E7230" t="s">
        <v>3855</v>
      </c>
      <c r="F7230" t="s">
        <v>670</v>
      </c>
      <c r="G7230" t="s">
        <v>17</v>
      </c>
      <c r="J7230" t="b">
        <v>0</v>
      </c>
      <c r="K7230" t="b">
        <v>0</v>
      </c>
      <c r="L7230" t="b">
        <v>0</v>
      </c>
    </row>
    <row r="7231" spans="1:25" x14ac:dyDescent="0.2">
      <c r="A7231">
        <v>3631</v>
      </c>
      <c r="B7231" t="s">
        <v>10977</v>
      </c>
      <c r="C7231" t="s">
        <v>18</v>
      </c>
      <c r="D7231" t="s">
        <v>2645</v>
      </c>
      <c r="E7231" t="s">
        <v>356</v>
      </c>
      <c r="F7231" t="s">
        <v>670</v>
      </c>
      <c r="G7231" t="s">
        <v>17</v>
      </c>
      <c r="J7231" t="b">
        <v>1</v>
      </c>
      <c r="K7231" t="b">
        <v>1</v>
      </c>
      <c r="L7231" t="b">
        <v>1</v>
      </c>
      <c r="M7231" t="str">
        <f>HYPERLINK("https://arizona.app.box.com/file/389164984589")</f>
        <v>https://arizona.app.box.com/file/389164984589</v>
      </c>
    </row>
    <row r="7233" spans="1:25" x14ac:dyDescent="0.2">
      <c r="A7233" s="2">
        <v>3668</v>
      </c>
      <c r="B7233" s="2" t="s">
        <v>10979</v>
      </c>
      <c r="C7233" s="2" t="s">
        <v>13</v>
      </c>
      <c r="D7233" s="2" t="s">
        <v>10980</v>
      </c>
      <c r="E7233" s="2" t="s">
        <v>10981</v>
      </c>
      <c r="F7233" s="2" t="s">
        <v>78</v>
      </c>
      <c r="G7233" s="2" t="s">
        <v>17</v>
      </c>
      <c r="H7233" s="2"/>
      <c r="I7233" s="2"/>
      <c r="J7233" s="2"/>
      <c r="K7233" s="2"/>
      <c r="L7233" s="2"/>
      <c r="M7233" s="2"/>
      <c r="N7233" s="2"/>
      <c r="O7233" s="2"/>
      <c r="P7233" s="2"/>
      <c r="Q7233" s="2"/>
      <c r="R7233" s="2"/>
      <c r="S7233" s="2"/>
      <c r="T7233" s="2"/>
      <c r="U7233" s="2"/>
      <c r="V7233" s="2"/>
      <c r="W7233" s="2"/>
      <c r="X7233" s="2"/>
      <c r="Y7233" s="2"/>
    </row>
    <row r="7234" spans="1:25" x14ac:dyDescent="0.2">
      <c r="A7234">
        <v>3669</v>
      </c>
      <c r="B7234" t="s">
        <v>10979</v>
      </c>
      <c r="C7234" t="s">
        <v>18</v>
      </c>
      <c r="D7234" t="s">
        <v>10980</v>
      </c>
      <c r="E7234" t="s">
        <v>4847</v>
      </c>
      <c r="F7234" t="s">
        <v>78</v>
      </c>
      <c r="G7234" t="s">
        <v>17</v>
      </c>
      <c r="J7234" t="b">
        <v>1</v>
      </c>
      <c r="K7234" t="b">
        <v>1</v>
      </c>
      <c r="L7234" t="b">
        <v>1</v>
      </c>
      <c r="M7234" t="str">
        <f>HYPERLINK("https://arizona.app.box.com/file/389264156516")</f>
        <v>https://arizona.app.box.com/file/389264156516</v>
      </c>
    </row>
    <row r="7235" spans="1:25" x14ac:dyDescent="0.2">
      <c r="A7235">
        <v>3670</v>
      </c>
      <c r="B7235" t="s">
        <v>10979</v>
      </c>
      <c r="C7235" t="s">
        <v>18</v>
      </c>
      <c r="D7235" t="s">
        <v>10982</v>
      </c>
      <c r="E7235" t="s">
        <v>10983</v>
      </c>
      <c r="F7235" t="s">
        <v>78</v>
      </c>
      <c r="G7235" t="s">
        <v>17</v>
      </c>
      <c r="J7235" t="b">
        <v>1</v>
      </c>
      <c r="K7235" t="b">
        <v>1</v>
      </c>
      <c r="L7235" t="b">
        <v>1</v>
      </c>
      <c r="M7235" t="str">
        <f>HYPERLINK("https://arizona.app.box.com/file/389161670105")</f>
        <v>https://arizona.app.box.com/file/389161670105</v>
      </c>
    </row>
    <row r="7236" spans="1:25" x14ac:dyDescent="0.2">
      <c r="A7236">
        <v>3671</v>
      </c>
      <c r="B7236" t="s">
        <v>10979</v>
      </c>
      <c r="C7236" t="s">
        <v>18</v>
      </c>
      <c r="D7236" t="s">
        <v>10984</v>
      </c>
      <c r="E7236" t="s">
        <v>10985</v>
      </c>
      <c r="F7236" t="s">
        <v>78</v>
      </c>
      <c r="G7236" t="s">
        <v>17</v>
      </c>
      <c r="J7236" t="b">
        <v>0</v>
      </c>
      <c r="K7236" t="b">
        <v>0</v>
      </c>
      <c r="L7236" t="b">
        <v>0</v>
      </c>
      <c r="M7236" t="str">
        <f>HYPERLINK("https://arizona.app.box.com/file/389170208213")</f>
        <v>https://arizona.app.box.com/file/389170208213</v>
      </c>
      <c r="N7236" t="str">
        <f>HYPERLINK("https://arizona.app.box.com/file/386218426653")</f>
        <v>https://arizona.app.box.com/file/386218426653</v>
      </c>
      <c r="O7236" t="str">
        <f>HYPERLINK("https://arizona.app.box.com/file/389168342600")</f>
        <v>https://arizona.app.box.com/file/389168342600</v>
      </c>
    </row>
    <row r="7237" spans="1:25" x14ac:dyDescent="0.2">
      <c r="A7237">
        <v>3672</v>
      </c>
      <c r="B7237" t="s">
        <v>10979</v>
      </c>
      <c r="C7237" t="s">
        <v>18</v>
      </c>
      <c r="D7237" t="s">
        <v>10986</v>
      </c>
      <c r="E7237" t="s">
        <v>10987</v>
      </c>
      <c r="F7237" t="s">
        <v>168</v>
      </c>
      <c r="G7237" t="s">
        <v>17</v>
      </c>
      <c r="J7237" t="b">
        <v>0</v>
      </c>
      <c r="K7237" t="b">
        <v>0</v>
      </c>
      <c r="L7237" t="b">
        <v>0</v>
      </c>
    </row>
    <row r="7238" spans="1:25" x14ac:dyDescent="0.2">
      <c r="A7238">
        <v>3673</v>
      </c>
      <c r="B7238" t="s">
        <v>10979</v>
      </c>
      <c r="C7238" t="s">
        <v>18</v>
      </c>
      <c r="D7238" t="s">
        <v>10988</v>
      </c>
      <c r="E7238" t="s">
        <v>10989</v>
      </c>
      <c r="F7238" t="s">
        <v>369</v>
      </c>
      <c r="G7238" t="s">
        <v>17</v>
      </c>
      <c r="J7238" t="b">
        <v>0</v>
      </c>
      <c r="K7238" t="b">
        <v>0</v>
      </c>
      <c r="L7238" t="b">
        <v>0</v>
      </c>
      <c r="M7238" t="str">
        <f>HYPERLINK("https://arizona.app.box.com/file/386265628571")</f>
        <v>https://arizona.app.box.com/file/386265628571</v>
      </c>
      <c r="N7238" t="str">
        <f>HYPERLINK("https://arizona.app.box.com/file/386241113911")</f>
        <v>https://arizona.app.box.com/file/386241113911</v>
      </c>
    </row>
    <row r="7240" spans="1:25" x14ac:dyDescent="0.2">
      <c r="A7240" s="2">
        <v>3675</v>
      </c>
      <c r="B7240" s="2" t="s">
        <v>10990</v>
      </c>
      <c r="C7240" s="2" t="s">
        <v>13</v>
      </c>
      <c r="D7240" s="2" t="s">
        <v>10991</v>
      </c>
      <c r="E7240" s="2" t="s">
        <v>10992</v>
      </c>
      <c r="F7240" s="2" t="s">
        <v>456</v>
      </c>
      <c r="G7240" s="2" t="s">
        <v>32</v>
      </c>
      <c r="H7240" s="2"/>
      <c r="I7240" s="2"/>
      <c r="J7240" s="2"/>
      <c r="K7240" s="2"/>
      <c r="L7240" s="2"/>
      <c r="M7240" s="2"/>
      <c r="N7240" s="2"/>
      <c r="O7240" s="2"/>
      <c r="P7240" s="2"/>
      <c r="Q7240" s="2"/>
      <c r="R7240" s="2"/>
      <c r="S7240" s="2"/>
      <c r="T7240" s="2"/>
      <c r="U7240" s="2"/>
      <c r="V7240" s="2"/>
      <c r="W7240" s="2"/>
      <c r="X7240" s="2"/>
      <c r="Y7240" s="2"/>
    </row>
    <row r="7241" spans="1:25" x14ac:dyDescent="0.2">
      <c r="A7241">
        <v>3676</v>
      </c>
      <c r="B7241" t="s">
        <v>10990</v>
      </c>
      <c r="C7241" t="s">
        <v>18</v>
      </c>
      <c r="D7241" t="s">
        <v>10991</v>
      </c>
      <c r="E7241" t="s">
        <v>10992</v>
      </c>
      <c r="F7241" t="s">
        <v>456</v>
      </c>
      <c r="G7241" t="s">
        <v>32</v>
      </c>
      <c r="J7241" t="b">
        <v>1</v>
      </c>
      <c r="K7241" t="b">
        <v>1</v>
      </c>
      <c r="L7241" t="b">
        <v>1</v>
      </c>
      <c r="M7241" t="str">
        <f>HYPERLINK("https://arizona.app.box.com/file/386241276678")</f>
        <v>https://arizona.app.box.com/file/386241276678</v>
      </c>
      <c r="N7241" t="str">
        <f>HYPERLINK("https://arizona.app.box.com/file/386243354551")</f>
        <v>https://arizona.app.box.com/file/386243354551</v>
      </c>
    </row>
    <row r="7242" spans="1:25" x14ac:dyDescent="0.2">
      <c r="A7242">
        <v>3677</v>
      </c>
      <c r="B7242" t="s">
        <v>10990</v>
      </c>
      <c r="C7242" t="s">
        <v>18</v>
      </c>
      <c r="D7242" t="s">
        <v>454</v>
      </c>
      <c r="E7242" t="s">
        <v>455</v>
      </c>
      <c r="F7242" t="s">
        <v>456</v>
      </c>
      <c r="G7242" t="s">
        <v>255</v>
      </c>
      <c r="J7242" t="b">
        <v>0</v>
      </c>
      <c r="K7242" t="b">
        <v>1</v>
      </c>
      <c r="L7242" t="b">
        <v>0</v>
      </c>
      <c r="M7242" t="str">
        <f>HYPERLINK("https://arizona.app.box.com/file/386264334694")</f>
        <v>https://arizona.app.box.com/file/386264334694</v>
      </c>
    </row>
    <row r="7243" spans="1:25" x14ac:dyDescent="0.2">
      <c r="A7243">
        <v>3678</v>
      </c>
      <c r="B7243" t="s">
        <v>10990</v>
      </c>
      <c r="C7243" t="s">
        <v>18</v>
      </c>
      <c r="D7243" t="s">
        <v>10993</v>
      </c>
      <c r="E7243" t="s">
        <v>10994</v>
      </c>
      <c r="F7243" t="s">
        <v>420</v>
      </c>
      <c r="G7243" t="s">
        <v>2278</v>
      </c>
      <c r="J7243" t="b">
        <v>0</v>
      </c>
      <c r="K7243" t="b">
        <v>0</v>
      </c>
      <c r="L7243" t="b">
        <v>0</v>
      </c>
    </row>
    <row r="7244" spans="1:25" x14ac:dyDescent="0.2">
      <c r="A7244">
        <v>3679</v>
      </c>
      <c r="B7244" t="s">
        <v>10990</v>
      </c>
      <c r="C7244" t="s">
        <v>18</v>
      </c>
      <c r="D7244" t="s">
        <v>10995</v>
      </c>
      <c r="E7244" t="s">
        <v>5823</v>
      </c>
      <c r="F7244" t="s">
        <v>78</v>
      </c>
      <c r="G7244" t="s">
        <v>32</v>
      </c>
      <c r="J7244" t="b">
        <v>0</v>
      </c>
      <c r="K7244" t="b">
        <v>0</v>
      </c>
      <c r="L7244" t="b">
        <v>0</v>
      </c>
      <c r="M7244" t="str">
        <f>HYPERLINK("https://arizona.app.box.com/file/389264780618")</f>
        <v>https://arizona.app.box.com/file/389264780618</v>
      </c>
      <c r="N7244" t="str">
        <f>HYPERLINK("https://arizona.app.box.com/file/389171027657")</f>
        <v>https://arizona.app.box.com/file/389171027657</v>
      </c>
    </row>
    <row r="7245" spans="1:25" x14ac:dyDescent="0.2">
      <c r="A7245">
        <v>3680</v>
      </c>
      <c r="B7245" t="s">
        <v>10990</v>
      </c>
      <c r="C7245" t="s">
        <v>18</v>
      </c>
      <c r="D7245" t="s">
        <v>10996</v>
      </c>
      <c r="E7245" t="s">
        <v>9871</v>
      </c>
      <c r="F7245" t="s">
        <v>561</v>
      </c>
      <c r="G7245" t="s">
        <v>32</v>
      </c>
      <c r="J7245" t="b">
        <v>0</v>
      </c>
      <c r="K7245" t="b">
        <v>0</v>
      </c>
      <c r="L7245" t="b">
        <v>0</v>
      </c>
      <c r="M7245" t="str">
        <f>HYPERLINK("https://arizona.app.box.com/file/386213459256")</f>
        <v>https://arizona.app.box.com/file/386213459256</v>
      </c>
    </row>
    <row r="7247" spans="1:25" x14ac:dyDescent="0.2">
      <c r="A7247" s="2">
        <v>3689</v>
      </c>
      <c r="B7247" s="2" t="s">
        <v>10997</v>
      </c>
      <c r="C7247" s="2" t="s">
        <v>13</v>
      </c>
      <c r="D7247" s="2" t="s">
        <v>8517</v>
      </c>
      <c r="E7247" s="2" t="s">
        <v>10998</v>
      </c>
      <c r="F7247" s="2" t="s">
        <v>78</v>
      </c>
      <c r="G7247" s="2" t="s">
        <v>17</v>
      </c>
      <c r="H7247" s="2"/>
      <c r="I7247" s="2"/>
      <c r="J7247" s="2"/>
      <c r="K7247" s="2"/>
      <c r="L7247" s="2"/>
      <c r="M7247" s="2"/>
      <c r="N7247" s="2"/>
      <c r="O7247" s="2"/>
      <c r="P7247" s="2"/>
      <c r="Q7247" s="2"/>
      <c r="R7247" s="2"/>
      <c r="S7247" s="2"/>
      <c r="T7247" s="2"/>
      <c r="U7247" s="2"/>
      <c r="V7247" s="2"/>
      <c r="W7247" s="2"/>
      <c r="X7247" s="2"/>
      <c r="Y7247" s="2"/>
    </row>
    <row r="7248" spans="1:25" x14ac:dyDescent="0.2">
      <c r="A7248">
        <v>3690</v>
      </c>
      <c r="B7248" t="s">
        <v>10997</v>
      </c>
      <c r="C7248" t="s">
        <v>18</v>
      </c>
      <c r="D7248" t="s">
        <v>8517</v>
      </c>
      <c r="E7248" t="s">
        <v>8518</v>
      </c>
      <c r="F7248" t="s">
        <v>78</v>
      </c>
      <c r="G7248" t="s">
        <v>17</v>
      </c>
      <c r="J7248" t="b">
        <v>1</v>
      </c>
      <c r="K7248" t="b">
        <v>1</v>
      </c>
      <c r="L7248" t="b">
        <v>1</v>
      </c>
      <c r="M7248" t="str">
        <f>HYPERLINK("https://arizona.app.box.com/file/389168673875")</f>
        <v>https://arizona.app.box.com/file/389168673875</v>
      </c>
      <c r="N7248" t="str">
        <f>HYPERLINK("https://arizona.app.box.com/file/386216223225")</f>
        <v>https://arizona.app.box.com/file/386216223225</v>
      </c>
    </row>
    <row r="7249" spans="1:25" x14ac:dyDescent="0.2">
      <c r="A7249">
        <v>3691</v>
      </c>
      <c r="B7249" t="s">
        <v>10997</v>
      </c>
      <c r="C7249" t="s">
        <v>18</v>
      </c>
      <c r="D7249" t="s">
        <v>7333</v>
      </c>
      <c r="E7249" t="s">
        <v>7334</v>
      </c>
      <c r="F7249" t="s">
        <v>78</v>
      </c>
      <c r="G7249" t="s">
        <v>17</v>
      </c>
      <c r="J7249" t="b">
        <v>0</v>
      </c>
      <c r="K7249" t="b">
        <v>0</v>
      </c>
      <c r="L7249" t="b">
        <v>0</v>
      </c>
    </row>
    <row r="7250" spans="1:25" x14ac:dyDescent="0.2">
      <c r="A7250">
        <v>3692</v>
      </c>
      <c r="B7250" t="s">
        <v>10997</v>
      </c>
      <c r="C7250" t="s">
        <v>18</v>
      </c>
      <c r="D7250" t="s">
        <v>10999</v>
      </c>
      <c r="E7250" t="s">
        <v>11000</v>
      </c>
      <c r="F7250" t="s">
        <v>78</v>
      </c>
      <c r="G7250" t="s">
        <v>17</v>
      </c>
      <c r="J7250" t="b">
        <v>0</v>
      </c>
      <c r="K7250" t="b">
        <v>0</v>
      </c>
      <c r="L7250" t="b">
        <v>0</v>
      </c>
    </row>
    <row r="7251" spans="1:25" x14ac:dyDescent="0.2">
      <c r="A7251">
        <v>3693</v>
      </c>
      <c r="B7251" t="s">
        <v>10997</v>
      </c>
      <c r="C7251" t="s">
        <v>18</v>
      </c>
      <c r="D7251" t="s">
        <v>9097</v>
      </c>
      <c r="E7251" t="s">
        <v>7270</v>
      </c>
      <c r="F7251" t="s">
        <v>78</v>
      </c>
      <c r="G7251" t="s">
        <v>17</v>
      </c>
      <c r="J7251" t="b">
        <v>0</v>
      </c>
      <c r="K7251" t="b">
        <v>0</v>
      </c>
      <c r="L7251" t="b">
        <v>0</v>
      </c>
      <c r="M7251" t="str">
        <f>HYPERLINK("https://arizona.app.box.com/file/389172904797")</f>
        <v>https://arizona.app.box.com/file/389172904797</v>
      </c>
      <c r="N7251" t="str">
        <f>HYPERLINK("https://arizona.app.box.com/file/386226217969")</f>
        <v>https://arizona.app.box.com/file/386226217969</v>
      </c>
    </row>
    <row r="7252" spans="1:25" x14ac:dyDescent="0.2">
      <c r="A7252">
        <v>3694</v>
      </c>
      <c r="B7252" t="s">
        <v>10997</v>
      </c>
      <c r="C7252" t="s">
        <v>18</v>
      </c>
      <c r="D7252" t="s">
        <v>7335</v>
      </c>
      <c r="E7252" t="s">
        <v>7336</v>
      </c>
      <c r="F7252" t="s">
        <v>174</v>
      </c>
      <c r="G7252" t="s">
        <v>17</v>
      </c>
      <c r="J7252" t="b">
        <v>0</v>
      </c>
      <c r="K7252" t="b">
        <v>0</v>
      </c>
      <c r="L7252" t="b">
        <v>0</v>
      </c>
      <c r="M7252" t="str">
        <f>HYPERLINK("https://arizona.app.box.com/file/386246683350")</f>
        <v>https://arizona.app.box.com/file/386246683350</v>
      </c>
      <c r="N7252" t="str">
        <f>HYPERLINK("https://arizona.app.box.com/file/386241113911")</f>
        <v>https://arizona.app.box.com/file/386241113911</v>
      </c>
      <c r="O7252" t="str">
        <f>HYPERLINK("https://arizona.app.box.com/file/386241113911")</f>
        <v>https://arizona.app.box.com/file/386241113911</v>
      </c>
      <c r="P7252" t="str">
        <f>HYPERLINK("https://arizona.app.box.com/file/386241113911")</f>
        <v>https://arizona.app.box.com/file/386241113911</v>
      </c>
    </row>
    <row r="7254" spans="1:25" x14ac:dyDescent="0.2">
      <c r="A7254" s="2">
        <v>3724</v>
      </c>
      <c r="B7254" s="2" t="s">
        <v>11001</v>
      </c>
      <c r="C7254" s="2" t="s">
        <v>13</v>
      </c>
      <c r="D7254" s="2" t="s">
        <v>9150</v>
      </c>
      <c r="E7254" s="2" t="s">
        <v>11002</v>
      </c>
      <c r="F7254" s="2" t="s">
        <v>78</v>
      </c>
      <c r="G7254" s="2" t="s">
        <v>130</v>
      </c>
      <c r="H7254" s="2"/>
      <c r="I7254" s="2"/>
      <c r="J7254" s="2"/>
      <c r="K7254" s="2"/>
      <c r="L7254" s="2"/>
      <c r="M7254" s="2"/>
      <c r="N7254" s="2"/>
      <c r="O7254" s="2"/>
      <c r="P7254" s="2"/>
      <c r="Q7254" s="2"/>
      <c r="R7254" s="2"/>
      <c r="S7254" s="2"/>
      <c r="T7254" s="2"/>
      <c r="U7254" s="2"/>
      <c r="V7254" s="2"/>
      <c r="W7254" s="2"/>
      <c r="X7254" s="2"/>
      <c r="Y7254" s="2"/>
    </row>
    <row r="7255" spans="1:25" x14ac:dyDescent="0.2">
      <c r="A7255">
        <v>3725</v>
      </c>
      <c r="B7255" t="s">
        <v>11001</v>
      </c>
      <c r="C7255" t="s">
        <v>18</v>
      </c>
      <c r="D7255" t="s">
        <v>9150</v>
      </c>
      <c r="E7255" t="s">
        <v>4302</v>
      </c>
      <c r="F7255" t="s">
        <v>78</v>
      </c>
      <c r="G7255" t="s">
        <v>130</v>
      </c>
      <c r="J7255" t="b">
        <v>1</v>
      </c>
      <c r="K7255" t="b">
        <v>1</v>
      </c>
      <c r="L7255" t="b">
        <v>1</v>
      </c>
      <c r="M7255" t="str">
        <f>HYPERLINK("https://arizona.app.box.com/file/389258531892")</f>
        <v>https://arizona.app.box.com/file/389258531892</v>
      </c>
      <c r="N7255" t="str">
        <f>HYPERLINK("https://arizona.app.box.com/file/389152011246")</f>
        <v>https://arizona.app.box.com/file/389152011246</v>
      </c>
    </row>
    <row r="7256" spans="1:25" x14ac:dyDescent="0.2">
      <c r="A7256">
        <v>3726</v>
      </c>
      <c r="B7256" t="s">
        <v>11001</v>
      </c>
      <c r="C7256" t="s">
        <v>18</v>
      </c>
      <c r="D7256" t="s">
        <v>11003</v>
      </c>
      <c r="E7256" t="s">
        <v>1189</v>
      </c>
      <c r="F7256" t="s">
        <v>78</v>
      </c>
      <c r="G7256" t="s">
        <v>130</v>
      </c>
      <c r="J7256" t="b">
        <v>1</v>
      </c>
      <c r="K7256" t="b">
        <v>1</v>
      </c>
      <c r="L7256" t="b">
        <v>1</v>
      </c>
      <c r="M7256" t="str">
        <f>HYPERLINK("https://arizona.app.box.com/file/386227528247")</f>
        <v>https://arizona.app.box.com/file/386227528247</v>
      </c>
    </row>
    <row r="7257" spans="1:25" x14ac:dyDescent="0.2">
      <c r="A7257">
        <v>3727</v>
      </c>
      <c r="B7257" t="s">
        <v>11001</v>
      </c>
      <c r="C7257" t="s">
        <v>18</v>
      </c>
      <c r="D7257" t="s">
        <v>11004</v>
      </c>
      <c r="E7257" t="s">
        <v>705</v>
      </c>
      <c r="F7257" t="s">
        <v>78</v>
      </c>
      <c r="G7257" t="s">
        <v>17</v>
      </c>
      <c r="J7257" t="b">
        <v>0</v>
      </c>
      <c r="K7257" t="b">
        <v>0</v>
      </c>
      <c r="L7257" t="b">
        <v>0</v>
      </c>
      <c r="M7257" t="str">
        <f>HYPERLINK("https://arizona.app.box.com/file/389170722799")</f>
        <v>https://arizona.app.box.com/file/389170722799</v>
      </c>
      <c r="N7257" t="str">
        <f>HYPERLINK("https://arizona.app.box.com/file/386239008491")</f>
        <v>https://arizona.app.box.com/file/386239008491</v>
      </c>
    </row>
    <row r="7258" spans="1:25" x14ac:dyDescent="0.2">
      <c r="A7258">
        <v>3728</v>
      </c>
      <c r="B7258" t="s">
        <v>11001</v>
      </c>
      <c r="C7258" t="s">
        <v>18</v>
      </c>
      <c r="D7258" t="s">
        <v>9644</v>
      </c>
      <c r="E7258" t="s">
        <v>3058</v>
      </c>
      <c r="F7258" t="s">
        <v>1404</v>
      </c>
      <c r="G7258" t="s">
        <v>17</v>
      </c>
      <c r="J7258" t="b">
        <v>0</v>
      </c>
      <c r="K7258" t="b">
        <v>0</v>
      </c>
      <c r="L7258" t="b">
        <v>0</v>
      </c>
      <c r="M7258" t="str">
        <f>HYPERLINK("https://arizona.app.box.com/file/389256390905")</f>
        <v>https://arizona.app.box.com/file/389256390905</v>
      </c>
      <c r="N7258" t="str">
        <f>HYPERLINK("https://arizona.app.box.com/file/389162373035")</f>
        <v>https://arizona.app.box.com/file/389162373035</v>
      </c>
    </row>
    <row r="7259" spans="1:25" x14ac:dyDescent="0.2">
      <c r="A7259">
        <v>3729</v>
      </c>
      <c r="B7259" t="s">
        <v>11001</v>
      </c>
      <c r="C7259" t="s">
        <v>18</v>
      </c>
      <c r="D7259" t="s">
        <v>3924</v>
      </c>
      <c r="E7259" t="s">
        <v>3925</v>
      </c>
      <c r="F7259" t="s">
        <v>174</v>
      </c>
      <c r="G7259" t="s">
        <v>17</v>
      </c>
      <c r="J7259" t="b">
        <v>0</v>
      </c>
      <c r="K7259" t="b">
        <v>0</v>
      </c>
      <c r="L7259" t="b">
        <v>0</v>
      </c>
    </row>
    <row r="7261" spans="1:25" x14ac:dyDescent="0.2">
      <c r="A7261" s="2">
        <v>3766</v>
      </c>
      <c r="B7261" s="2" t="s">
        <v>11005</v>
      </c>
      <c r="C7261" s="2" t="s">
        <v>13</v>
      </c>
      <c r="D7261" s="2" t="s">
        <v>10243</v>
      </c>
      <c r="E7261" s="2" t="s">
        <v>10244</v>
      </c>
      <c r="F7261" s="2" t="s">
        <v>200</v>
      </c>
      <c r="G7261" s="2" t="s">
        <v>32</v>
      </c>
      <c r="H7261" s="2"/>
      <c r="I7261" s="2"/>
      <c r="J7261" s="2"/>
      <c r="K7261" s="2"/>
      <c r="L7261" s="2"/>
      <c r="M7261" s="2"/>
      <c r="N7261" s="2"/>
      <c r="O7261" s="2"/>
      <c r="P7261" s="2"/>
      <c r="Q7261" s="2"/>
      <c r="R7261" s="2"/>
      <c r="S7261" s="2"/>
      <c r="T7261" s="2"/>
      <c r="U7261" s="2"/>
      <c r="V7261" s="2"/>
      <c r="W7261" s="2"/>
      <c r="X7261" s="2"/>
      <c r="Y7261" s="2"/>
    </row>
    <row r="7262" spans="1:25" x14ac:dyDescent="0.2">
      <c r="A7262">
        <v>3767</v>
      </c>
      <c r="B7262" t="s">
        <v>11005</v>
      </c>
      <c r="C7262" t="s">
        <v>18</v>
      </c>
      <c r="D7262" t="s">
        <v>10243</v>
      </c>
      <c r="E7262" t="s">
        <v>10244</v>
      </c>
      <c r="F7262" t="s">
        <v>200</v>
      </c>
      <c r="G7262" t="s">
        <v>32</v>
      </c>
      <c r="J7262" t="b">
        <v>1</v>
      </c>
      <c r="K7262" t="b">
        <v>1</v>
      </c>
      <c r="L7262" t="b">
        <v>1</v>
      </c>
      <c r="M7262" t="str">
        <f>HYPERLINK("https://arizona.app.box.com/file/389264747090")</f>
        <v>https://arizona.app.box.com/file/389264747090</v>
      </c>
      <c r="N7262" t="str">
        <f>HYPERLINK("https://arizona.app.box.com/file/389171153197")</f>
        <v>https://arizona.app.box.com/file/389171153197</v>
      </c>
      <c r="O7262" t="str">
        <f>HYPERLINK("https://arizona.app.box.com/file/389264050520")</f>
        <v>https://arizona.app.box.com/file/389264050520</v>
      </c>
      <c r="P7262" t="str">
        <f>HYPERLINK("https://arizona.app.box.com/file/389138195131")</f>
        <v>https://arizona.app.box.com/file/389138195131</v>
      </c>
    </row>
    <row r="7263" spans="1:25" x14ac:dyDescent="0.2">
      <c r="A7263">
        <v>3768</v>
      </c>
      <c r="B7263" t="s">
        <v>11005</v>
      </c>
      <c r="C7263" t="s">
        <v>18</v>
      </c>
      <c r="D7263" t="s">
        <v>10239</v>
      </c>
      <c r="E7263" t="s">
        <v>8239</v>
      </c>
      <c r="F7263" t="s">
        <v>205</v>
      </c>
      <c r="G7263" t="s">
        <v>32</v>
      </c>
      <c r="J7263" t="b">
        <v>0</v>
      </c>
      <c r="K7263" t="b">
        <v>0</v>
      </c>
      <c r="L7263" t="b">
        <v>0</v>
      </c>
      <c r="M7263" t="str">
        <f>HYPERLINK("https://arizona.app.box.com/file/389262094823")</f>
        <v>https://arizona.app.box.com/file/389262094823</v>
      </c>
    </row>
    <row r="7264" spans="1:25" x14ac:dyDescent="0.2">
      <c r="A7264">
        <v>3769</v>
      </c>
      <c r="B7264" t="s">
        <v>11005</v>
      </c>
      <c r="C7264" t="s">
        <v>18</v>
      </c>
      <c r="D7264" t="s">
        <v>10241</v>
      </c>
      <c r="E7264" t="s">
        <v>10242</v>
      </c>
      <c r="F7264" t="s">
        <v>205</v>
      </c>
      <c r="G7264" t="s">
        <v>32</v>
      </c>
      <c r="J7264" t="b">
        <v>0</v>
      </c>
      <c r="K7264" t="b">
        <v>0</v>
      </c>
      <c r="L7264" t="b">
        <v>0</v>
      </c>
      <c r="M7264" t="str">
        <f>HYPERLINK("https://arizona.app.box.com/file/389183865199")</f>
        <v>https://arizona.app.box.com/file/389183865199</v>
      </c>
    </row>
    <row r="7265" spans="1:25" x14ac:dyDescent="0.2">
      <c r="A7265">
        <v>3770</v>
      </c>
      <c r="B7265" t="s">
        <v>11005</v>
      </c>
      <c r="C7265" t="s">
        <v>18</v>
      </c>
      <c r="D7265" t="s">
        <v>2090</v>
      </c>
      <c r="E7265" t="s">
        <v>2091</v>
      </c>
      <c r="F7265" t="s">
        <v>200</v>
      </c>
      <c r="G7265" t="s">
        <v>345</v>
      </c>
      <c r="J7265" t="b">
        <v>0</v>
      </c>
      <c r="K7265" t="b">
        <v>0</v>
      </c>
      <c r="L7265" t="b">
        <v>0</v>
      </c>
      <c r="M7265" t="str">
        <f>HYPERLINK("https://arizona.app.box.com/file/389268803438")</f>
        <v>https://arizona.app.box.com/file/389268803438</v>
      </c>
      <c r="N7265" t="str">
        <f>HYPERLINK("https://arizona.app.box.com/file/389169409485")</f>
        <v>https://arizona.app.box.com/file/389169409485</v>
      </c>
      <c r="O7265" t="str">
        <f>HYPERLINK("https://arizona.app.box.com/file/389166510132")</f>
        <v>https://arizona.app.box.com/file/389166510132</v>
      </c>
      <c r="P7265" t="str">
        <f>HYPERLINK("https://arizona.app.box.com/file/386235116168")</f>
        <v>https://arizona.app.box.com/file/386235116168</v>
      </c>
    </row>
    <row r="7266" spans="1:25" x14ac:dyDescent="0.2">
      <c r="A7266">
        <v>3771</v>
      </c>
      <c r="B7266" t="s">
        <v>11005</v>
      </c>
      <c r="C7266" t="s">
        <v>18</v>
      </c>
      <c r="D7266" t="s">
        <v>5257</v>
      </c>
      <c r="E7266" t="s">
        <v>5258</v>
      </c>
      <c r="F7266" t="s">
        <v>200</v>
      </c>
      <c r="G7266" t="s">
        <v>32</v>
      </c>
      <c r="J7266" t="b">
        <v>0</v>
      </c>
      <c r="K7266" t="b">
        <v>0</v>
      </c>
      <c r="L7266" t="b">
        <v>0</v>
      </c>
      <c r="M7266" t="str">
        <f>HYPERLINK("https://arizona.app.box.com/file/389175604905")</f>
        <v>https://arizona.app.box.com/file/389175604905</v>
      </c>
    </row>
    <row r="7268" spans="1:25" x14ac:dyDescent="0.2">
      <c r="A7268" s="2">
        <v>3822</v>
      </c>
      <c r="B7268" s="2" t="s">
        <v>11006</v>
      </c>
      <c r="C7268" s="2" t="s">
        <v>13</v>
      </c>
      <c r="D7268" s="2" t="s">
        <v>2704</v>
      </c>
      <c r="E7268" s="2" t="s">
        <v>11007</v>
      </c>
      <c r="F7268" s="2" t="s">
        <v>264</v>
      </c>
      <c r="G7268" s="2" t="s">
        <v>17</v>
      </c>
      <c r="H7268" s="2"/>
      <c r="I7268" s="2"/>
      <c r="J7268" s="2"/>
      <c r="K7268" s="2"/>
      <c r="L7268" s="2"/>
      <c r="M7268" s="2"/>
      <c r="N7268" s="2"/>
      <c r="O7268" s="2"/>
      <c r="P7268" s="2"/>
      <c r="Q7268" s="2"/>
      <c r="R7268" s="2"/>
      <c r="S7268" s="2"/>
      <c r="T7268" s="2"/>
      <c r="U7268" s="2"/>
      <c r="V7268" s="2"/>
      <c r="W7268" s="2"/>
      <c r="X7268" s="2"/>
      <c r="Y7268" s="2"/>
    </row>
    <row r="7269" spans="1:25" x14ac:dyDescent="0.2">
      <c r="A7269">
        <v>3823</v>
      </c>
      <c r="B7269" t="s">
        <v>11006</v>
      </c>
      <c r="C7269" t="s">
        <v>18</v>
      </c>
      <c r="D7269" t="s">
        <v>2704</v>
      </c>
      <c r="E7269" t="s">
        <v>2705</v>
      </c>
      <c r="F7269" t="s">
        <v>264</v>
      </c>
      <c r="G7269" t="s">
        <v>17</v>
      </c>
      <c r="J7269" t="b">
        <v>1</v>
      </c>
      <c r="K7269" t="b">
        <v>1</v>
      </c>
      <c r="L7269" t="b">
        <v>1</v>
      </c>
      <c r="M7269" t="str">
        <f>HYPERLINK("https://arizona.app.box.com/file/389266801351")</f>
        <v>https://arizona.app.box.com/file/389266801351</v>
      </c>
      <c r="N7269" t="str">
        <f>HYPERLINK("https://arizona.app.box.com/file/389152851634")</f>
        <v>https://arizona.app.box.com/file/389152851634</v>
      </c>
    </row>
    <row r="7270" spans="1:25" x14ac:dyDescent="0.2">
      <c r="A7270">
        <v>3824</v>
      </c>
      <c r="B7270" t="s">
        <v>11006</v>
      </c>
      <c r="C7270" t="s">
        <v>18</v>
      </c>
      <c r="D7270" t="s">
        <v>10850</v>
      </c>
      <c r="E7270" t="s">
        <v>1558</v>
      </c>
      <c r="F7270" t="s">
        <v>264</v>
      </c>
      <c r="G7270" t="s">
        <v>17</v>
      </c>
      <c r="J7270" t="b">
        <v>1</v>
      </c>
      <c r="K7270" t="b">
        <v>1</v>
      </c>
      <c r="L7270" t="b">
        <v>1</v>
      </c>
      <c r="M7270" t="str">
        <f>HYPERLINK("https://arizona.app.box.com/file/389259285661")</f>
        <v>https://arizona.app.box.com/file/389259285661</v>
      </c>
      <c r="N7270" t="str">
        <f>HYPERLINK("https://arizona.app.box.com/file/389137333387")</f>
        <v>https://arizona.app.box.com/file/389137333387</v>
      </c>
    </row>
    <row r="7271" spans="1:25" x14ac:dyDescent="0.2">
      <c r="A7271">
        <v>3825</v>
      </c>
      <c r="B7271" t="s">
        <v>11006</v>
      </c>
      <c r="C7271" t="s">
        <v>18</v>
      </c>
      <c r="D7271" t="s">
        <v>2708</v>
      </c>
      <c r="E7271" t="s">
        <v>2709</v>
      </c>
      <c r="F7271" t="s">
        <v>159</v>
      </c>
      <c r="G7271" t="s">
        <v>345</v>
      </c>
      <c r="J7271" t="b">
        <v>0</v>
      </c>
      <c r="K7271" t="b">
        <v>0</v>
      </c>
      <c r="L7271" t="b">
        <v>0</v>
      </c>
      <c r="M7271" t="str">
        <f>HYPERLINK("https://arizona.app.box.com/file/389172389035")</f>
        <v>https://arizona.app.box.com/file/389172389035</v>
      </c>
      <c r="N7271" t="str">
        <f>HYPERLINK("https://arizona.app.box.com/file/386240779528")</f>
        <v>https://arizona.app.box.com/file/386240779528</v>
      </c>
    </row>
    <row r="7272" spans="1:25" x14ac:dyDescent="0.2">
      <c r="A7272">
        <v>3826</v>
      </c>
      <c r="B7272" t="s">
        <v>11006</v>
      </c>
      <c r="C7272" t="s">
        <v>18</v>
      </c>
      <c r="D7272" t="s">
        <v>11008</v>
      </c>
      <c r="E7272" t="s">
        <v>11009</v>
      </c>
      <c r="F7272" t="s">
        <v>369</v>
      </c>
      <c r="G7272" t="s">
        <v>74</v>
      </c>
      <c r="J7272" t="b">
        <v>0</v>
      </c>
      <c r="K7272" t="b">
        <v>0</v>
      </c>
      <c r="L7272" t="b">
        <v>0</v>
      </c>
    </row>
    <row r="7273" spans="1:25" x14ac:dyDescent="0.2">
      <c r="A7273">
        <v>3827</v>
      </c>
      <c r="B7273" t="s">
        <v>11006</v>
      </c>
      <c r="C7273" t="s">
        <v>18</v>
      </c>
      <c r="D7273" t="s">
        <v>2712</v>
      </c>
      <c r="E7273" t="s">
        <v>2713</v>
      </c>
      <c r="F7273" t="s">
        <v>159</v>
      </c>
      <c r="G7273" t="s">
        <v>345</v>
      </c>
      <c r="J7273" t="b">
        <v>0</v>
      </c>
      <c r="K7273" t="b">
        <v>0</v>
      </c>
      <c r="L7273" t="b">
        <v>0</v>
      </c>
      <c r="M7273" t="str">
        <f>HYPERLINK("https://arizona.app.box.com/file/389171760076")</f>
        <v>https://arizona.app.box.com/file/389171760076</v>
      </c>
      <c r="N7273" t="str">
        <f>HYPERLINK("https://arizona.app.box.com/file/386241319808")</f>
        <v>https://arizona.app.box.com/file/386241319808</v>
      </c>
      <c r="O7273" t="str">
        <f>HYPERLINK("https://arizona.app.box.com/file/389163516789")</f>
        <v>https://arizona.app.box.com/file/389163516789</v>
      </c>
      <c r="P7273" t="str">
        <f>HYPERLINK("https://arizona.app.box.com/file/386239191401")</f>
        <v>https://arizona.app.box.com/file/386239191401</v>
      </c>
    </row>
    <row r="7275" spans="1:25" x14ac:dyDescent="0.2">
      <c r="A7275" s="2">
        <v>3850</v>
      </c>
      <c r="B7275" s="2" t="s">
        <v>11010</v>
      </c>
      <c r="C7275" s="2" t="s">
        <v>13</v>
      </c>
      <c r="D7275" s="2" t="s">
        <v>11011</v>
      </c>
      <c r="E7275" s="2" t="s">
        <v>11012</v>
      </c>
      <c r="F7275" s="2" t="s">
        <v>248</v>
      </c>
      <c r="G7275" s="2" t="s">
        <v>252</v>
      </c>
      <c r="H7275" s="2"/>
      <c r="I7275" s="2"/>
      <c r="J7275" s="2"/>
      <c r="K7275" s="2"/>
      <c r="L7275" s="2"/>
      <c r="M7275" s="2"/>
      <c r="N7275" s="2"/>
      <c r="O7275" s="2"/>
      <c r="P7275" s="2"/>
      <c r="Q7275" s="2"/>
      <c r="R7275" s="2"/>
      <c r="S7275" s="2"/>
      <c r="T7275" s="2"/>
      <c r="U7275" s="2"/>
      <c r="V7275" s="2"/>
      <c r="W7275" s="2"/>
      <c r="X7275" s="2"/>
      <c r="Y7275" s="2"/>
    </row>
    <row r="7276" spans="1:25" x14ac:dyDescent="0.2">
      <c r="A7276">
        <v>3851</v>
      </c>
      <c r="B7276" t="s">
        <v>11010</v>
      </c>
      <c r="C7276" t="s">
        <v>18</v>
      </c>
      <c r="D7276" t="s">
        <v>11011</v>
      </c>
      <c r="E7276" t="s">
        <v>11012</v>
      </c>
      <c r="F7276" t="s">
        <v>248</v>
      </c>
      <c r="G7276" t="s">
        <v>252</v>
      </c>
      <c r="J7276" t="b">
        <v>1</v>
      </c>
      <c r="K7276" t="b">
        <v>1</v>
      </c>
      <c r="L7276" t="b">
        <v>1</v>
      </c>
      <c r="M7276" t="str">
        <f>HYPERLINK("https://arizona.app.box.com/file/386249836942")</f>
        <v>https://arizona.app.box.com/file/386249836942</v>
      </c>
      <c r="N7276" t="str">
        <f>HYPERLINK("https://arizona.app.box.com/file/386263852001")</f>
        <v>https://arizona.app.box.com/file/386263852001</v>
      </c>
    </row>
    <row r="7277" spans="1:25" x14ac:dyDescent="0.2">
      <c r="A7277">
        <v>3852</v>
      </c>
      <c r="B7277" t="s">
        <v>11010</v>
      </c>
      <c r="C7277" t="s">
        <v>18</v>
      </c>
      <c r="D7277" t="s">
        <v>11013</v>
      </c>
      <c r="E7277" t="s">
        <v>11014</v>
      </c>
      <c r="F7277" t="s">
        <v>248</v>
      </c>
      <c r="G7277" t="s">
        <v>252</v>
      </c>
      <c r="J7277" t="b">
        <v>0</v>
      </c>
      <c r="K7277" t="b">
        <v>0</v>
      </c>
      <c r="L7277" t="b">
        <v>0</v>
      </c>
      <c r="M7277" t="str">
        <f>HYPERLINK("https://arizona.app.box.com/file/386230867027")</f>
        <v>https://arizona.app.box.com/file/386230867027</v>
      </c>
    </row>
    <row r="7278" spans="1:25" x14ac:dyDescent="0.2">
      <c r="A7278">
        <v>3853</v>
      </c>
      <c r="B7278" t="s">
        <v>11010</v>
      </c>
      <c r="C7278" t="s">
        <v>18</v>
      </c>
      <c r="D7278" t="s">
        <v>11015</v>
      </c>
      <c r="E7278" t="s">
        <v>11016</v>
      </c>
      <c r="F7278" t="s">
        <v>248</v>
      </c>
      <c r="G7278" t="s">
        <v>345</v>
      </c>
      <c r="J7278" t="b">
        <v>0</v>
      </c>
      <c r="K7278" t="b">
        <v>0</v>
      </c>
      <c r="L7278" t="b">
        <v>0</v>
      </c>
      <c r="M7278" t="str">
        <f>HYPERLINK("https://arizona.app.box.com/file/386217379607")</f>
        <v>https://arizona.app.box.com/file/386217379607</v>
      </c>
      <c r="N7278" t="str">
        <f>HYPERLINK("https://arizona.app.box.com/file/386217591643")</f>
        <v>https://arizona.app.box.com/file/386217591643</v>
      </c>
    </row>
    <row r="7279" spans="1:25" x14ac:dyDescent="0.2">
      <c r="A7279">
        <v>3854</v>
      </c>
      <c r="B7279" t="s">
        <v>11010</v>
      </c>
      <c r="C7279" t="s">
        <v>18</v>
      </c>
      <c r="D7279" t="s">
        <v>11017</v>
      </c>
      <c r="E7279" t="s">
        <v>11018</v>
      </c>
      <c r="F7279" t="s">
        <v>248</v>
      </c>
      <c r="G7279" t="s">
        <v>17</v>
      </c>
      <c r="J7279" t="b">
        <v>0</v>
      </c>
      <c r="K7279" t="b">
        <v>0</v>
      </c>
      <c r="L7279" t="b">
        <v>0</v>
      </c>
    </row>
    <row r="7280" spans="1:25" x14ac:dyDescent="0.2">
      <c r="A7280">
        <v>3855</v>
      </c>
      <c r="B7280" t="s">
        <v>11010</v>
      </c>
      <c r="C7280" t="s">
        <v>18</v>
      </c>
      <c r="D7280" t="s">
        <v>11019</v>
      </c>
      <c r="E7280" t="s">
        <v>11020</v>
      </c>
      <c r="F7280" t="s">
        <v>248</v>
      </c>
      <c r="G7280" t="s">
        <v>252</v>
      </c>
      <c r="J7280" t="b">
        <v>0</v>
      </c>
      <c r="K7280" t="b">
        <v>0</v>
      </c>
      <c r="L7280" t="b">
        <v>0</v>
      </c>
      <c r="M7280" t="str">
        <f>HYPERLINK("https://arizona.app.box.com/file/386248377261")</f>
        <v>https://arizona.app.box.com/file/386248377261</v>
      </c>
      <c r="N7280" t="str">
        <f>HYPERLINK("https://arizona.app.box.com/file/386250104515")</f>
        <v>https://arizona.app.box.com/file/386250104515</v>
      </c>
    </row>
    <row r="7282" spans="1:25" x14ac:dyDescent="0.2">
      <c r="A7282" s="2">
        <v>3857</v>
      </c>
      <c r="B7282" s="2" t="s">
        <v>11021</v>
      </c>
      <c r="C7282" s="2" t="s">
        <v>13</v>
      </c>
      <c r="D7282" s="2" t="s">
        <v>11022</v>
      </c>
      <c r="E7282" s="2" t="s">
        <v>11023</v>
      </c>
      <c r="F7282" s="2" t="s">
        <v>78</v>
      </c>
      <c r="G7282" s="2" t="s">
        <v>280</v>
      </c>
      <c r="H7282" s="2"/>
      <c r="I7282" s="2"/>
      <c r="J7282" s="2"/>
      <c r="K7282" s="2"/>
      <c r="L7282" s="2"/>
      <c r="M7282" s="2"/>
      <c r="N7282" s="2"/>
      <c r="O7282" s="2"/>
      <c r="P7282" s="2"/>
      <c r="Q7282" s="2"/>
      <c r="R7282" s="2"/>
      <c r="S7282" s="2"/>
      <c r="T7282" s="2"/>
      <c r="U7282" s="2"/>
      <c r="V7282" s="2"/>
      <c r="W7282" s="2"/>
      <c r="X7282" s="2"/>
      <c r="Y7282" s="2"/>
    </row>
    <row r="7283" spans="1:25" x14ac:dyDescent="0.2">
      <c r="A7283">
        <v>3858</v>
      </c>
      <c r="B7283" t="s">
        <v>11021</v>
      </c>
      <c r="C7283" t="s">
        <v>18</v>
      </c>
      <c r="D7283" t="s">
        <v>6468</v>
      </c>
      <c r="E7283" t="s">
        <v>3701</v>
      </c>
      <c r="F7283" t="s">
        <v>78</v>
      </c>
      <c r="G7283" t="s">
        <v>280</v>
      </c>
      <c r="J7283" t="b">
        <v>1</v>
      </c>
      <c r="K7283" t="b">
        <v>1</v>
      </c>
      <c r="L7283" t="b">
        <v>1</v>
      </c>
      <c r="M7283" t="str">
        <f>HYPERLINK("https://arizona.app.box.com/file/389164046178")</f>
        <v>https://arizona.app.box.com/file/389164046178</v>
      </c>
    </row>
    <row r="7284" spans="1:25" x14ac:dyDescent="0.2">
      <c r="A7284">
        <v>3859</v>
      </c>
      <c r="B7284" t="s">
        <v>11021</v>
      </c>
      <c r="C7284" t="s">
        <v>18</v>
      </c>
      <c r="D7284" t="s">
        <v>7538</v>
      </c>
      <c r="E7284" t="s">
        <v>7539</v>
      </c>
      <c r="F7284" t="s">
        <v>151</v>
      </c>
      <c r="G7284" t="s">
        <v>280</v>
      </c>
      <c r="J7284" t="b">
        <v>0</v>
      </c>
      <c r="K7284" t="b">
        <v>0</v>
      </c>
      <c r="L7284" t="b">
        <v>0</v>
      </c>
    </row>
    <row r="7285" spans="1:25" x14ac:dyDescent="0.2">
      <c r="A7285">
        <v>3860</v>
      </c>
      <c r="B7285" t="s">
        <v>11021</v>
      </c>
      <c r="C7285" t="s">
        <v>18</v>
      </c>
      <c r="D7285" t="s">
        <v>6104</v>
      </c>
      <c r="E7285" t="s">
        <v>6105</v>
      </c>
      <c r="F7285" t="s">
        <v>78</v>
      </c>
      <c r="G7285" t="s">
        <v>279</v>
      </c>
      <c r="J7285" t="b">
        <v>0</v>
      </c>
      <c r="K7285" t="b">
        <v>0</v>
      </c>
      <c r="L7285" t="b">
        <v>0</v>
      </c>
      <c r="M7285" t="str">
        <f>HYPERLINK("https://arizona.app.box.com/file/389264411359")</f>
        <v>https://arizona.app.box.com/file/389264411359</v>
      </c>
      <c r="N7285" t="str">
        <f>HYPERLINK("https://arizona.app.box.com/file/389164822146")</f>
        <v>https://arizona.app.box.com/file/389164822146</v>
      </c>
    </row>
    <row r="7286" spans="1:25" x14ac:dyDescent="0.2">
      <c r="A7286">
        <v>3861</v>
      </c>
      <c r="B7286" t="s">
        <v>11021</v>
      </c>
      <c r="C7286" t="s">
        <v>18</v>
      </c>
      <c r="D7286" t="s">
        <v>11024</v>
      </c>
      <c r="E7286" t="s">
        <v>11025</v>
      </c>
      <c r="F7286" t="s">
        <v>78</v>
      </c>
      <c r="G7286" t="s">
        <v>280</v>
      </c>
      <c r="J7286" t="b">
        <v>0</v>
      </c>
      <c r="K7286" t="b">
        <v>0</v>
      </c>
      <c r="L7286" t="b">
        <v>0</v>
      </c>
      <c r="M7286" t="str">
        <f>HYPERLINK("https://arizona.app.box.com/file/389152550015")</f>
        <v>https://arizona.app.box.com/file/389152550015</v>
      </c>
    </row>
    <row r="7287" spans="1:25" x14ac:dyDescent="0.2">
      <c r="A7287">
        <v>3862</v>
      </c>
      <c r="B7287" t="s">
        <v>11021</v>
      </c>
      <c r="C7287" t="s">
        <v>18</v>
      </c>
      <c r="D7287" t="s">
        <v>11026</v>
      </c>
      <c r="E7287" t="s">
        <v>10188</v>
      </c>
      <c r="F7287" t="s">
        <v>78</v>
      </c>
      <c r="G7287" t="s">
        <v>280</v>
      </c>
      <c r="J7287" t="b">
        <v>0</v>
      </c>
      <c r="K7287" t="b">
        <v>0</v>
      </c>
      <c r="L7287" t="b">
        <v>0</v>
      </c>
    </row>
    <row r="7289" spans="1:25" x14ac:dyDescent="0.2">
      <c r="A7289" s="2">
        <v>3871</v>
      </c>
      <c r="B7289" s="2" t="s">
        <v>11027</v>
      </c>
      <c r="C7289" s="2" t="s">
        <v>13</v>
      </c>
      <c r="D7289" s="2" t="s">
        <v>11028</v>
      </c>
      <c r="E7289" s="2" t="s">
        <v>11029</v>
      </c>
      <c r="F7289" s="2" t="s">
        <v>159</v>
      </c>
      <c r="G7289" s="2" t="s">
        <v>134</v>
      </c>
      <c r="H7289" s="2"/>
      <c r="I7289" s="2"/>
      <c r="J7289" s="2"/>
      <c r="K7289" s="2"/>
      <c r="L7289" s="2"/>
      <c r="M7289" s="2"/>
      <c r="N7289" s="2"/>
      <c r="O7289" s="2"/>
      <c r="P7289" s="2"/>
      <c r="Q7289" s="2"/>
      <c r="R7289" s="2"/>
      <c r="S7289" s="2"/>
      <c r="T7289" s="2"/>
      <c r="U7289" s="2"/>
      <c r="V7289" s="2"/>
      <c r="W7289" s="2"/>
      <c r="X7289" s="2"/>
      <c r="Y7289" s="2"/>
    </row>
    <row r="7290" spans="1:25" x14ac:dyDescent="0.2">
      <c r="A7290">
        <v>3872</v>
      </c>
      <c r="B7290" t="s">
        <v>11027</v>
      </c>
      <c r="C7290" t="s">
        <v>18</v>
      </c>
      <c r="D7290" t="s">
        <v>11028</v>
      </c>
      <c r="E7290" t="s">
        <v>11029</v>
      </c>
      <c r="F7290" t="s">
        <v>82</v>
      </c>
      <c r="G7290" t="s">
        <v>134</v>
      </c>
      <c r="J7290" t="b">
        <v>1</v>
      </c>
      <c r="K7290" t="b">
        <v>1</v>
      </c>
      <c r="L7290" t="b">
        <v>1</v>
      </c>
      <c r="M7290" t="str">
        <f>HYPERLINK("https://arizona.app.box.com/file/389152864907")</f>
        <v>https://arizona.app.box.com/file/389152864907</v>
      </c>
      <c r="N7290" t="str">
        <f>HYPERLINK("https://arizona.app.box.com/file/389162870627")</f>
        <v>https://arizona.app.box.com/file/389162870627</v>
      </c>
    </row>
    <row r="7291" spans="1:25" x14ac:dyDescent="0.2">
      <c r="A7291">
        <v>3873</v>
      </c>
      <c r="B7291" t="s">
        <v>11027</v>
      </c>
      <c r="C7291" t="s">
        <v>18</v>
      </c>
      <c r="D7291" t="s">
        <v>3127</v>
      </c>
      <c r="E7291" t="s">
        <v>1167</v>
      </c>
      <c r="F7291" t="s">
        <v>168</v>
      </c>
      <c r="G7291" t="s">
        <v>134</v>
      </c>
      <c r="J7291" t="b">
        <v>0</v>
      </c>
      <c r="K7291" t="b">
        <v>0</v>
      </c>
      <c r="L7291" t="b">
        <v>0</v>
      </c>
      <c r="M7291" t="str">
        <f>HYPERLINK("https://arizona.app.box.com/file/389264303346")</f>
        <v>https://arizona.app.box.com/file/389264303346</v>
      </c>
    </row>
    <row r="7292" spans="1:25" x14ac:dyDescent="0.2">
      <c r="A7292">
        <v>3874</v>
      </c>
      <c r="B7292" t="s">
        <v>11027</v>
      </c>
      <c r="C7292" t="s">
        <v>18</v>
      </c>
      <c r="D7292" t="s">
        <v>1724</v>
      </c>
      <c r="E7292" t="s">
        <v>1725</v>
      </c>
      <c r="F7292" t="s">
        <v>168</v>
      </c>
      <c r="G7292" t="s">
        <v>134</v>
      </c>
      <c r="J7292" t="b">
        <v>0</v>
      </c>
      <c r="K7292" t="b">
        <v>0</v>
      </c>
      <c r="L7292" t="b">
        <v>0</v>
      </c>
      <c r="M7292" t="str">
        <f>HYPERLINK("https://arizona.app.box.com/file/389264007657")</f>
        <v>https://arizona.app.box.com/file/389264007657</v>
      </c>
      <c r="N7292" t="str">
        <f>HYPERLINK("https://arizona.app.box.com/file/389167626193")</f>
        <v>https://arizona.app.box.com/file/389167626193</v>
      </c>
    </row>
    <row r="7293" spans="1:25" x14ac:dyDescent="0.2">
      <c r="A7293">
        <v>3875</v>
      </c>
      <c r="B7293" t="s">
        <v>11027</v>
      </c>
      <c r="C7293" t="s">
        <v>18</v>
      </c>
      <c r="D7293" t="s">
        <v>1731</v>
      </c>
      <c r="E7293" t="s">
        <v>1732</v>
      </c>
      <c r="F7293" t="s">
        <v>23</v>
      </c>
      <c r="G7293" t="s">
        <v>134</v>
      </c>
      <c r="J7293" t="b">
        <v>0</v>
      </c>
      <c r="K7293" t="b">
        <v>0</v>
      </c>
      <c r="L7293" t="b">
        <v>0</v>
      </c>
      <c r="M7293" t="str">
        <f>HYPERLINK("https://arizona.app.box.com/file/389171958578")</f>
        <v>https://arizona.app.box.com/file/389171958578</v>
      </c>
    </row>
    <row r="7294" spans="1:25" x14ac:dyDescent="0.2">
      <c r="A7294">
        <v>3876</v>
      </c>
      <c r="B7294" t="s">
        <v>11027</v>
      </c>
      <c r="C7294" t="s">
        <v>18</v>
      </c>
      <c r="D7294" t="s">
        <v>2202</v>
      </c>
      <c r="E7294" t="s">
        <v>2203</v>
      </c>
      <c r="F7294" t="s">
        <v>23</v>
      </c>
      <c r="G7294" t="s">
        <v>134</v>
      </c>
      <c r="J7294" t="b">
        <v>0</v>
      </c>
      <c r="K7294" t="b">
        <v>0</v>
      </c>
      <c r="L7294" t="b">
        <v>0</v>
      </c>
      <c r="M7294" t="str">
        <f>HYPERLINK("https://arizona.app.box.com/file/389257434042")</f>
        <v>https://arizona.app.box.com/file/389257434042</v>
      </c>
    </row>
    <row r="7296" spans="1:25" x14ac:dyDescent="0.2">
      <c r="A7296" s="2">
        <v>3899</v>
      </c>
      <c r="B7296" s="2" t="s">
        <v>11030</v>
      </c>
      <c r="C7296" s="2" t="s">
        <v>13</v>
      </c>
      <c r="D7296" s="2" t="s">
        <v>434</v>
      </c>
      <c r="E7296" s="2" t="s">
        <v>11031</v>
      </c>
      <c r="F7296" s="2" t="s">
        <v>23</v>
      </c>
      <c r="G7296" s="2" t="s">
        <v>417</v>
      </c>
      <c r="H7296" s="2"/>
      <c r="I7296" s="2"/>
      <c r="J7296" s="2"/>
      <c r="K7296" s="2"/>
      <c r="L7296" s="2"/>
      <c r="M7296" s="2"/>
      <c r="N7296" s="2"/>
      <c r="O7296" s="2"/>
      <c r="P7296" s="2"/>
      <c r="Q7296" s="2"/>
      <c r="R7296" s="2"/>
      <c r="S7296" s="2"/>
      <c r="T7296" s="2"/>
      <c r="U7296" s="2"/>
      <c r="V7296" s="2"/>
      <c r="W7296" s="2"/>
      <c r="X7296" s="2"/>
      <c r="Y7296" s="2"/>
    </row>
    <row r="7297" spans="1:25" x14ac:dyDescent="0.2">
      <c r="A7297">
        <v>3900</v>
      </c>
      <c r="B7297" t="s">
        <v>11030</v>
      </c>
      <c r="C7297" t="s">
        <v>18</v>
      </c>
      <c r="D7297" t="s">
        <v>434</v>
      </c>
      <c r="E7297" t="s">
        <v>435</v>
      </c>
      <c r="F7297" t="s">
        <v>23</v>
      </c>
      <c r="G7297" t="s">
        <v>417</v>
      </c>
      <c r="J7297" t="b">
        <v>1</v>
      </c>
      <c r="K7297" t="b">
        <v>1</v>
      </c>
      <c r="L7297" t="b">
        <v>1</v>
      </c>
      <c r="M7297" t="str">
        <f>HYPERLINK("https://arizona.app.box.com/file/389174160395")</f>
        <v>https://arizona.app.box.com/file/389174160395</v>
      </c>
      <c r="N7297" t="str">
        <f>HYPERLINK("https://arizona.app.box.com/file/386238023358")</f>
        <v>https://arizona.app.box.com/file/386238023358</v>
      </c>
    </row>
    <row r="7298" spans="1:25" x14ac:dyDescent="0.2">
      <c r="A7298">
        <v>3901</v>
      </c>
      <c r="B7298" t="s">
        <v>11030</v>
      </c>
      <c r="C7298" t="s">
        <v>18</v>
      </c>
      <c r="D7298" t="s">
        <v>11032</v>
      </c>
      <c r="E7298" t="s">
        <v>7590</v>
      </c>
      <c r="F7298" t="s">
        <v>23</v>
      </c>
      <c r="G7298" t="s">
        <v>417</v>
      </c>
      <c r="J7298" t="b">
        <v>1</v>
      </c>
      <c r="K7298" t="b">
        <v>1</v>
      </c>
      <c r="L7298" t="b">
        <v>1</v>
      </c>
      <c r="M7298" t="str">
        <f>HYPERLINK("https://arizona.app.box.com/file/389261296445")</f>
        <v>https://arizona.app.box.com/file/389261296445</v>
      </c>
      <c r="N7298" t="str">
        <f>HYPERLINK("https://arizona.app.box.com/file/389171635979")</f>
        <v>https://arizona.app.box.com/file/389171635979</v>
      </c>
    </row>
    <row r="7299" spans="1:25" x14ac:dyDescent="0.2">
      <c r="A7299">
        <v>3902</v>
      </c>
      <c r="B7299" t="s">
        <v>11030</v>
      </c>
      <c r="C7299" t="s">
        <v>18</v>
      </c>
      <c r="D7299" t="s">
        <v>3616</v>
      </c>
      <c r="E7299" t="s">
        <v>3618</v>
      </c>
      <c r="F7299" t="s">
        <v>23</v>
      </c>
      <c r="G7299" t="s">
        <v>417</v>
      </c>
      <c r="J7299" t="b">
        <v>0</v>
      </c>
      <c r="K7299" t="b">
        <v>0</v>
      </c>
      <c r="L7299" t="b">
        <v>0</v>
      </c>
      <c r="M7299" t="str">
        <f>HYPERLINK("https://arizona.app.box.com/file/389268547638")</f>
        <v>https://arizona.app.box.com/file/389268547638</v>
      </c>
      <c r="N7299" t="str">
        <f>HYPERLINK("https://arizona.app.box.com/file/389172685106")</f>
        <v>https://arizona.app.box.com/file/389172685106</v>
      </c>
    </row>
    <row r="7300" spans="1:25" x14ac:dyDescent="0.2">
      <c r="A7300">
        <v>3903</v>
      </c>
      <c r="B7300" t="s">
        <v>11030</v>
      </c>
      <c r="C7300" t="s">
        <v>18</v>
      </c>
      <c r="D7300" t="s">
        <v>11033</v>
      </c>
      <c r="E7300" t="s">
        <v>11034</v>
      </c>
      <c r="F7300" t="s">
        <v>148</v>
      </c>
      <c r="G7300" t="s">
        <v>417</v>
      </c>
      <c r="J7300" t="b">
        <v>0</v>
      </c>
      <c r="K7300" t="b">
        <v>0</v>
      </c>
      <c r="L7300" t="b">
        <v>0</v>
      </c>
    </row>
    <row r="7301" spans="1:25" x14ac:dyDescent="0.2">
      <c r="A7301">
        <v>3904</v>
      </c>
      <c r="B7301" t="s">
        <v>11030</v>
      </c>
      <c r="C7301" t="s">
        <v>18</v>
      </c>
      <c r="D7301" t="s">
        <v>3365</v>
      </c>
      <c r="E7301" t="s">
        <v>3366</v>
      </c>
      <c r="F7301" t="s">
        <v>23</v>
      </c>
      <c r="G7301" t="s">
        <v>417</v>
      </c>
      <c r="J7301" t="b">
        <v>0</v>
      </c>
      <c r="K7301" t="b">
        <v>0</v>
      </c>
      <c r="L7301" t="b">
        <v>0</v>
      </c>
      <c r="M7301" t="str">
        <f>HYPERLINK("https://arizona.app.box.com/file/386241577247")</f>
        <v>https://arizona.app.box.com/file/386241577247</v>
      </c>
    </row>
    <row r="7303" spans="1:25" x14ac:dyDescent="0.2">
      <c r="A7303" s="2">
        <v>3934</v>
      </c>
      <c r="B7303" s="2" t="s">
        <v>11035</v>
      </c>
      <c r="C7303" s="2" t="s">
        <v>13</v>
      </c>
      <c r="D7303" s="2" t="s">
        <v>11036</v>
      </c>
      <c r="E7303" s="2" t="s">
        <v>11037</v>
      </c>
      <c r="F7303" s="2" t="s">
        <v>78</v>
      </c>
      <c r="G7303" s="2" t="s">
        <v>134</v>
      </c>
      <c r="H7303" s="2"/>
      <c r="I7303" s="2"/>
      <c r="J7303" s="2"/>
      <c r="K7303" s="2"/>
      <c r="L7303" s="2"/>
      <c r="M7303" s="2"/>
      <c r="N7303" s="2"/>
      <c r="O7303" s="2"/>
      <c r="P7303" s="2"/>
      <c r="Q7303" s="2"/>
      <c r="R7303" s="2"/>
      <c r="S7303" s="2"/>
      <c r="T7303" s="2"/>
      <c r="U7303" s="2"/>
      <c r="V7303" s="2"/>
      <c r="W7303" s="2"/>
      <c r="X7303" s="2"/>
      <c r="Y7303" s="2"/>
    </row>
    <row r="7304" spans="1:25" x14ac:dyDescent="0.2">
      <c r="A7304">
        <v>3935</v>
      </c>
      <c r="B7304" t="s">
        <v>11035</v>
      </c>
      <c r="C7304" t="s">
        <v>18</v>
      </c>
      <c r="D7304" t="s">
        <v>11036</v>
      </c>
      <c r="E7304" t="s">
        <v>8056</v>
      </c>
      <c r="F7304" t="s">
        <v>78</v>
      </c>
      <c r="G7304" t="s">
        <v>134</v>
      </c>
      <c r="J7304" t="b">
        <v>1</v>
      </c>
      <c r="K7304" t="b">
        <v>1</v>
      </c>
      <c r="L7304" t="b">
        <v>1</v>
      </c>
      <c r="M7304" t="str">
        <f>HYPERLINK("https://arizona.app.box.com/file/389261368867")</f>
        <v>https://arizona.app.box.com/file/389261368867</v>
      </c>
    </row>
    <row r="7305" spans="1:25" x14ac:dyDescent="0.2">
      <c r="A7305">
        <v>3936</v>
      </c>
      <c r="B7305" t="s">
        <v>11035</v>
      </c>
      <c r="C7305" t="s">
        <v>18</v>
      </c>
      <c r="D7305" t="s">
        <v>11038</v>
      </c>
      <c r="E7305" t="s">
        <v>11039</v>
      </c>
      <c r="F7305" t="s">
        <v>78</v>
      </c>
      <c r="G7305" t="s">
        <v>134</v>
      </c>
      <c r="J7305" t="b">
        <v>1</v>
      </c>
      <c r="K7305" t="b">
        <v>1</v>
      </c>
      <c r="L7305" t="b">
        <v>1</v>
      </c>
      <c r="M7305" t="str">
        <f>HYPERLINK("https://arizona.app.box.com/file/389163392332")</f>
        <v>https://arizona.app.box.com/file/389163392332</v>
      </c>
    </row>
    <row r="7306" spans="1:25" x14ac:dyDescent="0.2">
      <c r="A7306">
        <v>3937</v>
      </c>
      <c r="B7306" t="s">
        <v>11035</v>
      </c>
      <c r="C7306" t="s">
        <v>18</v>
      </c>
      <c r="D7306" t="s">
        <v>11040</v>
      </c>
      <c r="E7306" t="s">
        <v>11041</v>
      </c>
      <c r="F7306" t="s">
        <v>78</v>
      </c>
      <c r="G7306" t="s">
        <v>130</v>
      </c>
      <c r="J7306" t="b">
        <v>0</v>
      </c>
      <c r="K7306" t="b">
        <v>0</v>
      </c>
      <c r="L7306" t="b">
        <v>0</v>
      </c>
    </row>
    <row r="7307" spans="1:25" x14ac:dyDescent="0.2">
      <c r="A7307">
        <v>3938</v>
      </c>
      <c r="B7307" t="s">
        <v>11035</v>
      </c>
      <c r="C7307" t="s">
        <v>18</v>
      </c>
      <c r="D7307" t="s">
        <v>4113</v>
      </c>
      <c r="E7307" t="s">
        <v>3695</v>
      </c>
      <c r="F7307" t="s">
        <v>369</v>
      </c>
      <c r="G7307" t="s">
        <v>1047</v>
      </c>
      <c r="J7307" t="b">
        <v>0</v>
      </c>
      <c r="K7307" t="b">
        <v>0</v>
      </c>
      <c r="L7307" t="b">
        <v>0</v>
      </c>
      <c r="M7307" t="str">
        <f>HYPERLINK("https://arizona.app.box.com/file/389139144565")</f>
        <v>https://arizona.app.box.com/file/389139144565</v>
      </c>
    </row>
    <row r="7308" spans="1:25" x14ac:dyDescent="0.2">
      <c r="A7308">
        <v>3939</v>
      </c>
      <c r="B7308" t="s">
        <v>11035</v>
      </c>
      <c r="C7308" t="s">
        <v>18</v>
      </c>
      <c r="D7308" t="s">
        <v>2360</v>
      </c>
      <c r="E7308" t="s">
        <v>2361</v>
      </c>
      <c r="F7308" t="s">
        <v>248</v>
      </c>
      <c r="G7308" t="s">
        <v>17</v>
      </c>
      <c r="J7308" t="b">
        <v>0</v>
      </c>
      <c r="K7308" t="b">
        <v>0</v>
      </c>
      <c r="L7308" t="b">
        <v>0</v>
      </c>
      <c r="M7308" t="str">
        <f>HYPERLINK("https://arizona.app.box.com/file/389150371890")</f>
        <v>https://arizona.app.box.com/file/389150371890</v>
      </c>
    </row>
    <row r="7310" spans="1:25" x14ac:dyDescent="0.2">
      <c r="A7310" s="2">
        <v>3941</v>
      </c>
      <c r="B7310" s="2" t="s">
        <v>11042</v>
      </c>
      <c r="C7310" s="2" t="s">
        <v>13</v>
      </c>
      <c r="D7310" s="2" t="s">
        <v>9667</v>
      </c>
      <c r="E7310" s="2" t="s">
        <v>9668</v>
      </c>
      <c r="F7310" s="2" t="s">
        <v>122</v>
      </c>
      <c r="G7310" s="2" t="s">
        <v>3688</v>
      </c>
      <c r="H7310" s="2"/>
      <c r="I7310" s="2"/>
      <c r="J7310" s="2"/>
      <c r="K7310" s="2"/>
      <c r="L7310" s="2"/>
      <c r="M7310" s="2"/>
      <c r="N7310" s="2"/>
      <c r="O7310" s="2"/>
      <c r="P7310" s="2"/>
      <c r="Q7310" s="2"/>
      <c r="R7310" s="2"/>
      <c r="S7310" s="2"/>
      <c r="T7310" s="2"/>
      <c r="U7310" s="2"/>
      <c r="V7310" s="2"/>
      <c r="W7310" s="2"/>
      <c r="X7310" s="2"/>
      <c r="Y7310" s="2"/>
    </row>
    <row r="7311" spans="1:25" x14ac:dyDescent="0.2">
      <c r="A7311">
        <v>3942</v>
      </c>
      <c r="B7311" t="s">
        <v>11042</v>
      </c>
      <c r="C7311" t="s">
        <v>18</v>
      </c>
      <c r="D7311" t="s">
        <v>9667</v>
      </c>
      <c r="E7311" t="s">
        <v>9668</v>
      </c>
      <c r="F7311" t="s">
        <v>122</v>
      </c>
      <c r="G7311" t="s">
        <v>4192</v>
      </c>
      <c r="J7311" t="b">
        <v>1</v>
      </c>
      <c r="K7311" t="b">
        <v>1</v>
      </c>
      <c r="L7311" t="b">
        <v>1</v>
      </c>
      <c r="M7311" t="str">
        <f>HYPERLINK("https://arizona.app.box.com/file/386240005408")</f>
        <v>https://arizona.app.box.com/file/386240005408</v>
      </c>
      <c r="N7311" t="str">
        <f>HYPERLINK("https://arizona.app.box.com/file/386242972066")</f>
        <v>https://arizona.app.box.com/file/386242972066</v>
      </c>
    </row>
    <row r="7312" spans="1:25" x14ac:dyDescent="0.2">
      <c r="A7312">
        <v>3943</v>
      </c>
      <c r="B7312" t="s">
        <v>11042</v>
      </c>
      <c r="C7312" t="s">
        <v>18</v>
      </c>
      <c r="D7312" t="s">
        <v>9665</v>
      </c>
      <c r="E7312" t="s">
        <v>9666</v>
      </c>
      <c r="F7312" t="s">
        <v>952</v>
      </c>
      <c r="G7312" t="s">
        <v>252</v>
      </c>
      <c r="J7312" t="b">
        <v>0</v>
      </c>
      <c r="K7312" t="b">
        <v>0</v>
      </c>
      <c r="L7312" t="b">
        <v>0</v>
      </c>
      <c r="M7312" t="str">
        <f>HYPERLINK("https://arizona.app.box.com/file/386249793039")</f>
        <v>https://arizona.app.box.com/file/386249793039</v>
      </c>
      <c r="N7312" t="str">
        <f>HYPERLINK("https://arizona.app.box.com/file/386242940739")</f>
        <v>https://arizona.app.box.com/file/386242940739</v>
      </c>
    </row>
    <row r="7313" spans="1:25" x14ac:dyDescent="0.2">
      <c r="A7313">
        <v>3944</v>
      </c>
      <c r="B7313" t="s">
        <v>11042</v>
      </c>
      <c r="C7313" t="s">
        <v>18</v>
      </c>
      <c r="D7313" t="s">
        <v>11043</v>
      </c>
      <c r="E7313" t="s">
        <v>9118</v>
      </c>
      <c r="F7313" t="s">
        <v>78</v>
      </c>
      <c r="G7313" t="s">
        <v>130</v>
      </c>
      <c r="J7313" t="b">
        <v>0</v>
      </c>
      <c r="K7313" t="b">
        <v>0</v>
      </c>
      <c r="L7313" t="b">
        <v>0</v>
      </c>
    </row>
    <row r="7314" spans="1:25" x14ac:dyDescent="0.2">
      <c r="A7314">
        <v>3945</v>
      </c>
      <c r="B7314" t="s">
        <v>11042</v>
      </c>
      <c r="C7314" t="s">
        <v>18</v>
      </c>
      <c r="D7314" t="s">
        <v>4590</v>
      </c>
      <c r="E7314" t="s">
        <v>4591</v>
      </c>
      <c r="F7314" t="s">
        <v>122</v>
      </c>
      <c r="G7314" t="s">
        <v>62</v>
      </c>
      <c r="J7314" t="b">
        <v>0</v>
      </c>
      <c r="K7314" t="b">
        <v>0</v>
      </c>
      <c r="L7314" t="b">
        <v>0</v>
      </c>
      <c r="M7314" t="str">
        <f>HYPERLINK("https://arizona.app.box.com/file/386241006330")</f>
        <v>https://arizona.app.box.com/file/386241006330</v>
      </c>
      <c r="N7314" t="str">
        <f>HYPERLINK("https://arizona.app.box.com/file/386245452598")</f>
        <v>https://arizona.app.box.com/file/386245452598</v>
      </c>
    </row>
    <row r="7315" spans="1:25" x14ac:dyDescent="0.2">
      <c r="A7315">
        <v>3946</v>
      </c>
      <c r="B7315" t="s">
        <v>11042</v>
      </c>
      <c r="C7315" t="s">
        <v>18</v>
      </c>
      <c r="D7315" t="s">
        <v>7682</v>
      </c>
      <c r="E7315" t="s">
        <v>7683</v>
      </c>
      <c r="F7315" t="s">
        <v>122</v>
      </c>
      <c r="G7315" t="s">
        <v>17</v>
      </c>
      <c r="J7315" t="b">
        <v>0</v>
      </c>
      <c r="K7315" t="b">
        <v>0</v>
      </c>
      <c r="L7315" t="b">
        <v>0</v>
      </c>
      <c r="M7315" t="str">
        <f>HYPERLINK("https://arizona.app.box.com/file/389161644127")</f>
        <v>https://arizona.app.box.com/file/389161644127</v>
      </c>
      <c r="N7315" t="str">
        <f>HYPERLINK("https://arizona.app.box.com/file/389161099648")</f>
        <v>https://arizona.app.box.com/file/389161099648</v>
      </c>
    </row>
    <row r="7317" spans="1:25" x14ac:dyDescent="0.2">
      <c r="A7317" s="2">
        <v>3969</v>
      </c>
      <c r="B7317" s="2" t="s">
        <v>11044</v>
      </c>
      <c r="C7317" s="2" t="s">
        <v>13</v>
      </c>
      <c r="D7317" s="2" t="s">
        <v>11045</v>
      </c>
      <c r="E7317" s="2" t="s">
        <v>11046</v>
      </c>
      <c r="F7317" s="2" t="s">
        <v>670</v>
      </c>
      <c r="G7317" s="2" t="s">
        <v>252</v>
      </c>
      <c r="H7317" s="2"/>
      <c r="I7317" s="2"/>
      <c r="J7317" s="2"/>
      <c r="K7317" s="2"/>
      <c r="L7317" s="2"/>
      <c r="M7317" s="2"/>
      <c r="N7317" s="2"/>
      <c r="O7317" s="2"/>
      <c r="P7317" s="2"/>
      <c r="Q7317" s="2"/>
      <c r="R7317" s="2"/>
      <c r="S7317" s="2"/>
      <c r="T7317" s="2"/>
      <c r="U7317" s="2"/>
      <c r="V7317" s="2"/>
      <c r="W7317" s="2"/>
      <c r="X7317" s="2"/>
      <c r="Y7317" s="2"/>
    </row>
    <row r="7318" spans="1:25" x14ac:dyDescent="0.2">
      <c r="A7318">
        <v>3970</v>
      </c>
      <c r="B7318" t="s">
        <v>11044</v>
      </c>
      <c r="C7318" t="s">
        <v>18</v>
      </c>
      <c r="D7318" t="s">
        <v>11045</v>
      </c>
      <c r="E7318" t="s">
        <v>11046</v>
      </c>
      <c r="F7318" t="s">
        <v>670</v>
      </c>
      <c r="G7318" t="s">
        <v>252</v>
      </c>
      <c r="J7318" t="b">
        <v>1</v>
      </c>
      <c r="K7318" t="b">
        <v>1</v>
      </c>
      <c r="L7318" t="b">
        <v>1</v>
      </c>
      <c r="M7318" t="str">
        <f>HYPERLINK("https://arizona.app.box.com/file/386218577277")</f>
        <v>https://arizona.app.box.com/file/386218577277</v>
      </c>
      <c r="N7318" t="str">
        <f>HYPERLINK("https://arizona.app.box.com/file/386241113911")</f>
        <v>https://arizona.app.box.com/file/386241113911</v>
      </c>
    </row>
    <row r="7319" spans="1:25" x14ac:dyDescent="0.2">
      <c r="A7319">
        <v>3971</v>
      </c>
      <c r="B7319" t="s">
        <v>11044</v>
      </c>
      <c r="C7319" t="s">
        <v>18</v>
      </c>
      <c r="D7319" t="s">
        <v>11047</v>
      </c>
      <c r="E7319" t="s">
        <v>1338</v>
      </c>
      <c r="F7319" t="s">
        <v>45</v>
      </c>
      <c r="G7319" t="s">
        <v>24</v>
      </c>
      <c r="J7319" t="b">
        <v>0</v>
      </c>
      <c r="K7319" t="b">
        <v>0</v>
      </c>
      <c r="L7319" t="b">
        <v>0</v>
      </c>
    </row>
    <row r="7320" spans="1:25" x14ac:dyDescent="0.2">
      <c r="A7320">
        <v>3972</v>
      </c>
      <c r="B7320" t="s">
        <v>11044</v>
      </c>
      <c r="C7320" t="s">
        <v>18</v>
      </c>
      <c r="D7320" t="s">
        <v>11048</v>
      </c>
      <c r="E7320" t="s">
        <v>1336</v>
      </c>
      <c r="F7320" t="s">
        <v>45</v>
      </c>
      <c r="G7320" t="s">
        <v>24</v>
      </c>
      <c r="J7320" t="b">
        <v>0</v>
      </c>
      <c r="K7320" t="b">
        <v>0</v>
      </c>
      <c r="L7320" t="b">
        <v>0</v>
      </c>
    </row>
    <row r="7321" spans="1:25" x14ac:dyDescent="0.2">
      <c r="A7321">
        <v>3973</v>
      </c>
      <c r="B7321" t="s">
        <v>11044</v>
      </c>
      <c r="C7321" t="s">
        <v>18</v>
      </c>
      <c r="D7321" t="s">
        <v>11049</v>
      </c>
      <c r="E7321" t="s">
        <v>7030</v>
      </c>
      <c r="F7321" t="s">
        <v>45</v>
      </c>
      <c r="G7321" t="s">
        <v>24</v>
      </c>
      <c r="J7321" t="b">
        <v>0</v>
      </c>
      <c r="K7321" t="b">
        <v>0</v>
      </c>
      <c r="L7321" t="b">
        <v>0</v>
      </c>
      <c r="M7321" t="str">
        <f>HYPERLINK("https://arizona.app.box.com/file/386227747409")</f>
        <v>https://arizona.app.box.com/file/386227747409</v>
      </c>
    </row>
    <row r="7322" spans="1:25" x14ac:dyDescent="0.2">
      <c r="A7322">
        <v>3974</v>
      </c>
      <c r="B7322" t="s">
        <v>11044</v>
      </c>
      <c r="C7322" t="s">
        <v>18</v>
      </c>
      <c r="D7322" t="s">
        <v>6867</v>
      </c>
      <c r="E7322" t="s">
        <v>6868</v>
      </c>
      <c r="F7322" t="s">
        <v>670</v>
      </c>
      <c r="G7322" t="s">
        <v>17</v>
      </c>
      <c r="J7322" t="b">
        <v>0</v>
      </c>
      <c r="K7322" t="b">
        <v>0</v>
      </c>
      <c r="L7322" t="b">
        <v>0</v>
      </c>
    </row>
    <row r="7324" spans="1:25" x14ac:dyDescent="0.2">
      <c r="A7324" s="2">
        <v>4004</v>
      </c>
      <c r="B7324" s="2" t="s">
        <v>11050</v>
      </c>
      <c r="C7324" s="2" t="s">
        <v>13</v>
      </c>
      <c r="D7324" s="2" t="s">
        <v>11004</v>
      </c>
      <c r="E7324" s="2" t="s">
        <v>11051</v>
      </c>
      <c r="F7324" s="2" t="s">
        <v>78</v>
      </c>
      <c r="G7324" s="2" t="s">
        <v>17</v>
      </c>
      <c r="H7324" s="2"/>
      <c r="I7324" s="2"/>
      <c r="J7324" s="2"/>
      <c r="K7324" s="2"/>
      <c r="L7324" s="2"/>
      <c r="M7324" s="2"/>
      <c r="N7324" s="2"/>
      <c r="O7324" s="2"/>
      <c r="P7324" s="2"/>
      <c r="Q7324" s="2"/>
      <c r="R7324" s="2"/>
      <c r="S7324" s="2"/>
      <c r="T7324" s="2"/>
      <c r="U7324" s="2"/>
      <c r="V7324" s="2"/>
      <c r="W7324" s="2"/>
      <c r="X7324" s="2"/>
      <c r="Y7324" s="2"/>
    </row>
    <row r="7325" spans="1:25" x14ac:dyDescent="0.2">
      <c r="A7325">
        <v>4005</v>
      </c>
      <c r="B7325" t="s">
        <v>11050</v>
      </c>
      <c r="C7325" t="s">
        <v>18</v>
      </c>
      <c r="D7325" t="s">
        <v>11004</v>
      </c>
      <c r="E7325" t="s">
        <v>705</v>
      </c>
      <c r="F7325" t="s">
        <v>78</v>
      </c>
      <c r="G7325" t="s">
        <v>17</v>
      </c>
      <c r="J7325" t="b">
        <v>1</v>
      </c>
      <c r="K7325" t="b">
        <v>1</v>
      </c>
      <c r="L7325" t="b">
        <v>1</v>
      </c>
      <c r="M7325" t="str">
        <f>HYPERLINK("https://arizona.app.box.com/file/389170722799")</f>
        <v>https://arizona.app.box.com/file/389170722799</v>
      </c>
      <c r="N7325" t="str">
        <f>HYPERLINK("https://arizona.app.box.com/file/386239008491")</f>
        <v>https://arizona.app.box.com/file/386239008491</v>
      </c>
    </row>
    <row r="7326" spans="1:25" x14ac:dyDescent="0.2">
      <c r="A7326">
        <v>4006</v>
      </c>
      <c r="B7326" t="s">
        <v>11050</v>
      </c>
      <c r="C7326" t="s">
        <v>18</v>
      </c>
      <c r="D7326" t="s">
        <v>9150</v>
      </c>
      <c r="E7326" t="s">
        <v>4302</v>
      </c>
      <c r="F7326" t="s">
        <v>78</v>
      </c>
      <c r="G7326" t="s">
        <v>130</v>
      </c>
      <c r="J7326" t="b">
        <v>0</v>
      </c>
      <c r="K7326" t="b">
        <v>0</v>
      </c>
      <c r="L7326" t="b">
        <v>0</v>
      </c>
      <c r="M7326" t="str">
        <f>HYPERLINK("https://arizona.app.box.com/file/389258531892")</f>
        <v>https://arizona.app.box.com/file/389258531892</v>
      </c>
      <c r="N7326" t="str">
        <f>HYPERLINK("https://arizona.app.box.com/file/389152011246")</f>
        <v>https://arizona.app.box.com/file/389152011246</v>
      </c>
    </row>
    <row r="7327" spans="1:25" x14ac:dyDescent="0.2">
      <c r="A7327">
        <v>4007</v>
      </c>
      <c r="B7327" t="s">
        <v>11050</v>
      </c>
      <c r="C7327" t="s">
        <v>18</v>
      </c>
      <c r="D7327" t="s">
        <v>8820</v>
      </c>
      <c r="E7327" t="s">
        <v>8821</v>
      </c>
      <c r="F7327" t="s">
        <v>78</v>
      </c>
      <c r="G7327" t="s">
        <v>17</v>
      </c>
      <c r="J7327" t="b">
        <v>0</v>
      </c>
      <c r="K7327" t="b">
        <v>0</v>
      </c>
      <c r="L7327" t="b">
        <v>0</v>
      </c>
    </row>
    <row r="7328" spans="1:25" x14ac:dyDescent="0.2">
      <c r="A7328">
        <v>4008</v>
      </c>
      <c r="B7328" t="s">
        <v>11050</v>
      </c>
      <c r="C7328" t="s">
        <v>18</v>
      </c>
      <c r="D7328" t="s">
        <v>11052</v>
      </c>
      <c r="E7328" t="s">
        <v>11053</v>
      </c>
      <c r="F7328" t="s">
        <v>78</v>
      </c>
      <c r="G7328" t="s">
        <v>17</v>
      </c>
      <c r="J7328" t="b">
        <v>0</v>
      </c>
      <c r="K7328" t="b">
        <v>0</v>
      </c>
      <c r="L7328" t="b">
        <v>0</v>
      </c>
      <c r="M7328" t="str">
        <f>HYPERLINK("https://arizona.app.box.com/file/389136295969")</f>
        <v>https://arizona.app.box.com/file/389136295969</v>
      </c>
      <c r="N7328" t="str">
        <f>HYPERLINK("https://arizona.app.box.com/file/389151518695")</f>
        <v>https://arizona.app.box.com/file/389151518695</v>
      </c>
      <c r="O7328" t="str">
        <f>HYPERLINK("https://arizona.app.box.com/file/389150294677")</f>
        <v>https://arizona.app.box.com/file/389150294677</v>
      </c>
    </row>
    <row r="7329" spans="1:25" x14ac:dyDescent="0.2">
      <c r="A7329">
        <v>4009</v>
      </c>
      <c r="B7329" t="s">
        <v>11050</v>
      </c>
      <c r="C7329" t="s">
        <v>18</v>
      </c>
      <c r="D7329" t="s">
        <v>9762</v>
      </c>
      <c r="E7329" t="s">
        <v>9763</v>
      </c>
      <c r="F7329" t="s">
        <v>78</v>
      </c>
      <c r="G7329" t="s">
        <v>17</v>
      </c>
      <c r="J7329" t="b">
        <v>0</v>
      </c>
      <c r="K7329" t="b">
        <v>0</v>
      </c>
      <c r="L7329" t="b">
        <v>0</v>
      </c>
      <c r="M7329" t="str">
        <f>HYPERLINK("https://arizona.app.box.com/file/386265800432")</f>
        <v>https://arizona.app.box.com/file/386265800432</v>
      </c>
      <c r="N7329" t="str">
        <f>HYPERLINK("https://arizona.app.box.com/file/389162931582")</f>
        <v>https://arizona.app.box.com/file/389162931582</v>
      </c>
    </row>
    <row r="7331" spans="1:25" x14ac:dyDescent="0.2">
      <c r="A7331" s="2">
        <v>4011</v>
      </c>
      <c r="B7331" s="2" t="s">
        <v>11054</v>
      </c>
      <c r="C7331" s="2" t="s">
        <v>13</v>
      </c>
      <c r="D7331" s="2" t="s">
        <v>11055</v>
      </c>
      <c r="E7331" s="2" t="s">
        <v>11056</v>
      </c>
      <c r="F7331" s="2" t="s">
        <v>78</v>
      </c>
      <c r="G7331" s="2" t="s">
        <v>130</v>
      </c>
      <c r="H7331" s="2"/>
      <c r="I7331" s="2"/>
      <c r="J7331" s="2"/>
      <c r="K7331" s="2"/>
      <c r="L7331" s="2"/>
      <c r="M7331" s="2"/>
      <c r="N7331" s="2"/>
      <c r="O7331" s="2"/>
      <c r="P7331" s="2"/>
      <c r="Q7331" s="2"/>
      <c r="R7331" s="2"/>
      <c r="S7331" s="2"/>
      <c r="T7331" s="2"/>
      <c r="U7331" s="2"/>
      <c r="V7331" s="2"/>
      <c r="W7331" s="2"/>
      <c r="X7331" s="2"/>
      <c r="Y7331" s="2"/>
    </row>
    <row r="7332" spans="1:25" x14ac:dyDescent="0.2">
      <c r="A7332">
        <v>4012</v>
      </c>
      <c r="B7332" t="s">
        <v>11054</v>
      </c>
      <c r="C7332" t="s">
        <v>18</v>
      </c>
      <c r="D7332" t="s">
        <v>11055</v>
      </c>
      <c r="E7332" t="s">
        <v>11056</v>
      </c>
      <c r="F7332" t="s">
        <v>78</v>
      </c>
      <c r="G7332" t="s">
        <v>130</v>
      </c>
      <c r="J7332" t="b">
        <v>1</v>
      </c>
      <c r="K7332" t="b">
        <v>1</v>
      </c>
      <c r="L7332" t="b">
        <v>1</v>
      </c>
      <c r="M7332" t="str">
        <f>HYPERLINK("https://arizona.app.box.com/file/386247318093")</f>
        <v>https://arizona.app.box.com/file/386247318093</v>
      </c>
      <c r="N7332" t="str">
        <f>HYPERLINK("https://arizona.app.box.com/file/386240231391")</f>
        <v>https://arizona.app.box.com/file/386240231391</v>
      </c>
    </row>
    <row r="7333" spans="1:25" x14ac:dyDescent="0.2">
      <c r="A7333">
        <v>4013</v>
      </c>
      <c r="B7333" t="s">
        <v>11054</v>
      </c>
      <c r="C7333" t="s">
        <v>18</v>
      </c>
      <c r="D7333" t="s">
        <v>8583</v>
      </c>
      <c r="E7333" t="s">
        <v>8584</v>
      </c>
      <c r="F7333" t="s">
        <v>78</v>
      </c>
      <c r="G7333" t="s">
        <v>130</v>
      </c>
      <c r="J7333" t="b">
        <v>0</v>
      </c>
      <c r="K7333" t="b">
        <v>0</v>
      </c>
      <c r="L7333" t="b">
        <v>0</v>
      </c>
    </row>
    <row r="7334" spans="1:25" x14ac:dyDescent="0.2">
      <c r="A7334">
        <v>4014</v>
      </c>
      <c r="B7334" t="s">
        <v>11054</v>
      </c>
      <c r="C7334" t="s">
        <v>18</v>
      </c>
      <c r="D7334" t="s">
        <v>11057</v>
      </c>
      <c r="E7334" t="s">
        <v>11058</v>
      </c>
      <c r="F7334" t="s">
        <v>78</v>
      </c>
      <c r="G7334" t="s">
        <v>88</v>
      </c>
      <c r="J7334" t="b">
        <v>0</v>
      </c>
      <c r="K7334" t="b">
        <v>0</v>
      </c>
      <c r="L7334" t="b">
        <v>0</v>
      </c>
      <c r="M7334" t="str">
        <f>HYPERLINK("https://arizona.app.box.com/file/386242732867")</f>
        <v>https://arizona.app.box.com/file/386242732867</v>
      </c>
    </row>
    <row r="7335" spans="1:25" x14ac:dyDescent="0.2">
      <c r="A7335">
        <v>4015</v>
      </c>
      <c r="B7335" t="s">
        <v>11054</v>
      </c>
      <c r="C7335" t="s">
        <v>18</v>
      </c>
      <c r="D7335" t="s">
        <v>9723</v>
      </c>
      <c r="E7335" t="s">
        <v>9724</v>
      </c>
      <c r="F7335" t="s">
        <v>78</v>
      </c>
      <c r="G7335" t="s">
        <v>130</v>
      </c>
      <c r="J7335" t="b">
        <v>0</v>
      </c>
      <c r="K7335" t="b">
        <v>0</v>
      </c>
      <c r="L7335" t="b">
        <v>0</v>
      </c>
      <c r="M7335" t="str">
        <f>HYPERLINK("https://arizona.app.box.com/file/386227750360")</f>
        <v>https://arizona.app.box.com/file/386227750360</v>
      </c>
    </row>
    <row r="7336" spans="1:25" x14ac:dyDescent="0.2">
      <c r="A7336">
        <v>4016</v>
      </c>
      <c r="B7336" t="s">
        <v>11054</v>
      </c>
      <c r="C7336" t="s">
        <v>18</v>
      </c>
      <c r="D7336" t="s">
        <v>1664</v>
      </c>
      <c r="E7336" t="s">
        <v>1665</v>
      </c>
      <c r="F7336" t="s">
        <v>952</v>
      </c>
      <c r="G7336" t="s">
        <v>252</v>
      </c>
      <c r="J7336" t="b">
        <v>0</v>
      </c>
      <c r="K7336" t="b">
        <v>0</v>
      </c>
      <c r="L7336" t="b">
        <v>0</v>
      </c>
      <c r="M7336" t="str">
        <f>HYPERLINK("https://arizona.app.box.com/file/386246630205")</f>
        <v>https://arizona.app.box.com/file/386246630205</v>
      </c>
      <c r="N7336" t="str">
        <f>HYPERLINK("https://arizona.app.box.com/file/386242300577")</f>
        <v>https://arizona.app.box.com/file/386242300577</v>
      </c>
    </row>
    <row r="7338" spans="1:25" x14ac:dyDescent="0.2">
      <c r="A7338" s="2">
        <v>4039</v>
      </c>
      <c r="B7338" s="2" t="s">
        <v>11059</v>
      </c>
      <c r="C7338" s="2" t="s">
        <v>13</v>
      </c>
      <c r="D7338" s="2" t="s">
        <v>11060</v>
      </c>
      <c r="E7338" s="2" t="s">
        <v>11061</v>
      </c>
      <c r="F7338" s="2" t="s">
        <v>200</v>
      </c>
      <c r="G7338" s="2" t="s">
        <v>88</v>
      </c>
      <c r="H7338" s="2"/>
      <c r="I7338" s="2"/>
      <c r="J7338" s="2"/>
      <c r="K7338" s="2"/>
      <c r="L7338" s="2"/>
      <c r="M7338" s="2"/>
      <c r="N7338" s="2"/>
      <c r="O7338" s="2"/>
      <c r="P7338" s="2"/>
      <c r="Q7338" s="2"/>
      <c r="R7338" s="2"/>
      <c r="S7338" s="2"/>
      <c r="T7338" s="2"/>
      <c r="U7338" s="2"/>
      <c r="V7338" s="2"/>
      <c r="W7338" s="2"/>
      <c r="X7338" s="2"/>
      <c r="Y7338" s="2"/>
    </row>
    <row r="7339" spans="1:25" x14ac:dyDescent="0.2">
      <c r="A7339">
        <v>4040</v>
      </c>
      <c r="B7339" t="s">
        <v>11059</v>
      </c>
      <c r="C7339" t="s">
        <v>18</v>
      </c>
      <c r="D7339" t="s">
        <v>11060</v>
      </c>
      <c r="E7339" t="s">
        <v>11061</v>
      </c>
      <c r="F7339" t="s">
        <v>200</v>
      </c>
      <c r="G7339" t="s">
        <v>88</v>
      </c>
      <c r="J7339" t="b">
        <v>1</v>
      </c>
      <c r="K7339" t="b">
        <v>1</v>
      </c>
      <c r="L7339" t="b">
        <v>1</v>
      </c>
      <c r="M7339" t="str">
        <f>HYPERLINK("https://arizona.app.box.com/file/386246467028")</f>
        <v>https://arizona.app.box.com/file/386246467028</v>
      </c>
      <c r="N7339" t="str">
        <f>HYPERLINK("https://arizona.app.box.com/file/386241113911")</f>
        <v>https://arizona.app.box.com/file/386241113911</v>
      </c>
    </row>
    <row r="7340" spans="1:25" x14ac:dyDescent="0.2">
      <c r="A7340">
        <v>4041</v>
      </c>
      <c r="B7340" t="s">
        <v>11059</v>
      </c>
      <c r="C7340" t="s">
        <v>18</v>
      </c>
      <c r="D7340" t="s">
        <v>9610</v>
      </c>
      <c r="E7340" t="s">
        <v>9611</v>
      </c>
      <c r="F7340" t="s">
        <v>200</v>
      </c>
      <c r="G7340" t="s">
        <v>88</v>
      </c>
      <c r="J7340" t="b">
        <v>0</v>
      </c>
      <c r="K7340" t="b">
        <v>0</v>
      </c>
      <c r="L7340" t="b">
        <v>0</v>
      </c>
      <c r="M7340" t="str">
        <f>HYPERLINK("https://arizona.app.box.com/file/386232642153")</f>
        <v>https://arizona.app.box.com/file/386232642153</v>
      </c>
      <c r="N7340" t="str">
        <f>HYPERLINK("https://arizona.app.box.com/file/386243095251")</f>
        <v>https://arizona.app.box.com/file/386243095251</v>
      </c>
    </row>
    <row r="7341" spans="1:25" x14ac:dyDescent="0.2">
      <c r="A7341">
        <v>4042</v>
      </c>
      <c r="B7341" t="s">
        <v>11059</v>
      </c>
      <c r="C7341" t="s">
        <v>18</v>
      </c>
      <c r="D7341" t="s">
        <v>11062</v>
      </c>
      <c r="E7341" t="s">
        <v>11063</v>
      </c>
      <c r="F7341" t="s">
        <v>200</v>
      </c>
      <c r="G7341" t="s">
        <v>88</v>
      </c>
      <c r="J7341" t="b">
        <v>0</v>
      </c>
      <c r="K7341" t="b">
        <v>0</v>
      </c>
      <c r="L7341" t="b">
        <v>0</v>
      </c>
    </row>
    <row r="7342" spans="1:25" x14ac:dyDescent="0.2">
      <c r="A7342">
        <v>4043</v>
      </c>
      <c r="B7342" t="s">
        <v>11059</v>
      </c>
      <c r="C7342" t="s">
        <v>18</v>
      </c>
      <c r="D7342" t="s">
        <v>4612</v>
      </c>
      <c r="E7342" t="s">
        <v>2011</v>
      </c>
      <c r="F7342" t="s">
        <v>200</v>
      </c>
      <c r="G7342" t="s">
        <v>88</v>
      </c>
      <c r="J7342" t="b">
        <v>0</v>
      </c>
      <c r="K7342" t="b">
        <v>0</v>
      </c>
      <c r="L7342" t="b">
        <v>0</v>
      </c>
      <c r="M7342" t="str">
        <f>HYPERLINK("https://arizona.app.box.com/file/386265391300")</f>
        <v>https://arizona.app.box.com/file/386265391300</v>
      </c>
      <c r="N7342" t="str">
        <f>HYPERLINK("https://arizona.app.box.com/file/386247103095")</f>
        <v>https://arizona.app.box.com/file/386247103095</v>
      </c>
    </row>
    <row r="7343" spans="1:25" x14ac:dyDescent="0.2">
      <c r="A7343">
        <v>4044</v>
      </c>
      <c r="B7343" t="s">
        <v>11059</v>
      </c>
      <c r="C7343" t="s">
        <v>18</v>
      </c>
      <c r="D7343" t="s">
        <v>7506</v>
      </c>
      <c r="E7343" t="s">
        <v>7507</v>
      </c>
      <c r="F7343" t="s">
        <v>200</v>
      </c>
      <c r="G7343" t="s">
        <v>2278</v>
      </c>
      <c r="J7343" t="b">
        <v>0</v>
      </c>
      <c r="K7343" t="b">
        <v>0</v>
      </c>
      <c r="L7343" t="b">
        <v>0</v>
      </c>
    </row>
    <row r="7345" spans="1:25" x14ac:dyDescent="0.2">
      <c r="A7345" s="2">
        <v>4060</v>
      </c>
      <c r="B7345" s="2" t="s">
        <v>11064</v>
      </c>
      <c r="C7345" s="2" t="s">
        <v>13</v>
      </c>
      <c r="D7345" s="2" t="s">
        <v>4106</v>
      </c>
      <c r="E7345" s="2" t="s">
        <v>4107</v>
      </c>
      <c r="F7345" s="2" t="s">
        <v>174</v>
      </c>
      <c r="G7345" s="2" t="s">
        <v>17</v>
      </c>
      <c r="H7345" s="2"/>
      <c r="I7345" s="2"/>
      <c r="J7345" s="2"/>
      <c r="K7345" s="2"/>
      <c r="L7345" s="2"/>
      <c r="M7345" s="2"/>
      <c r="N7345" s="2"/>
      <c r="O7345" s="2"/>
      <c r="P7345" s="2"/>
      <c r="Q7345" s="2"/>
      <c r="R7345" s="2"/>
      <c r="S7345" s="2"/>
      <c r="T7345" s="2"/>
      <c r="U7345" s="2"/>
      <c r="V7345" s="2"/>
      <c r="W7345" s="2"/>
      <c r="X7345" s="2"/>
      <c r="Y7345" s="2"/>
    </row>
    <row r="7346" spans="1:25" x14ac:dyDescent="0.2">
      <c r="A7346">
        <v>4061</v>
      </c>
      <c r="B7346" t="s">
        <v>11064</v>
      </c>
      <c r="C7346" t="s">
        <v>18</v>
      </c>
      <c r="D7346" t="s">
        <v>4106</v>
      </c>
      <c r="E7346" t="s">
        <v>4107</v>
      </c>
      <c r="F7346" t="s">
        <v>174</v>
      </c>
      <c r="G7346" t="s">
        <v>17</v>
      </c>
      <c r="J7346" t="b">
        <v>1</v>
      </c>
      <c r="K7346" t="b">
        <v>1</v>
      </c>
      <c r="L7346" t="b">
        <v>1</v>
      </c>
      <c r="M7346" t="str">
        <f>HYPERLINK("https://arizona.app.box.com/file/389264358324")</f>
        <v>https://arizona.app.box.com/file/389264358324</v>
      </c>
      <c r="N7346" t="str">
        <f>HYPERLINK("https://arizona.app.box.com/file/389171963877")</f>
        <v>https://arizona.app.box.com/file/389171963877</v>
      </c>
      <c r="O7346" t="str">
        <f>HYPERLINK("https://arizona.app.box.com/file/389170633507")</f>
        <v>https://arizona.app.box.com/file/389170633507</v>
      </c>
    </row>
    <row r="7347" spans="1:25" x14ac:dyDescent="0.2">
      <c r="A7347">
        <v>4062</v>
      </c>
      <c r="B7347" t="s">
        <v>11064</v>
      </c>
      <c r="C7347" t="s">
        <v>18</v>
      </c>
      <c r="D7347" t="s">
        <v>2535</v>
      </c>
      <c r="E7347" t="s">
        <v>2536</v>
      </c>
      <c r="F7347" t="s">
        <v>168</v>
      </c>
      <c r="G7347" t="s">
        <v>17</v>
      </c>
      <c r="J7347" t="b">
        <v>0</v>
      </c>
      <c r="K7347" t="b">
        <v>0</v>
      </c>
      <c r="L7347" t="b">
        <v>0</v>
      </c>
      <c r="M7347" t="str">
        <f>HYPERLINK("https://arizona.app.box.com/file/389260294867")</f>
        <v>https://arizona.app.box.com/file/389260294867</v>
      </c>
      <c r="N7347" t="str">
        <f>HYPERLINK("https://arizona.app.box.com/file/389138293492")</f>
        <v>https://arizona.app.box.com/file/389138293492</v>
      </c>
      <c r="O7347" t="str">
        <f>HYPERLINK("https://arizona.app.box.com/file/389175690285")</f>
        <v>https://arizona.app.box.com/file/389175690285</v>
      </c>
      <c r="P7347" t="str">
        <f>HYPERLINK("https://arizona.app.box.com/file/386216748323")</f>
        <v>https://arizona.app.box.com/file/386216748323</v>
      </c>
      <c r="Q7347" t="str">
        <f>HYPERLINK("https://arizona.app.box.com/file/389173430706")</f>
        <v>https://arizona.app.box.com/file/389173430706</v>
      </c>
      <c r="R7347" t="str">
        <f>HYPERLINK("https://arizona.app.box.com/file/386242983334")</f>
        <v>https://arizona.app.box.com/file/386242983334</v>
      </c>
    </row>
    <row r="7348" spans="1:25" x14ac:dyDescent="0.2">
      <c r="A7348">
        <v>4063</v>
      </c>
      <c r="B7348" t="s">
        <v>11064</v>
      </c>
      <c r="C7348" t="s">
        <v>18</v>
      </c>
      <c r="D7348" t="s">
        <v>11065</v>
      </c>
      <c r="E7348" t="s">
        <v>11066</v>
      </c>
      <c r="F7348" t="s">
        <v>78</v>
      </c>
      <c r="G7348" t="s">
        <v>88</v>
      </c>
      <c r="J7348" t="b">
        <v>0</v>
      </c>
      <c r="K7348" t="b">
        <v>0</v>
      </c>
      <c r="L7348" t="b">
        <v>0</v>
      </c>
      <c r="M7348" t="str">
        <f>HYPERLINK("https://arizona.app.box.com/file/389258292409")</f>
        <v>https://arizona.app.box.com/file/389258292409</v>
      </c>
      <c r="N7348" t="str">
        <f>HYPERLINK("https://arizona.app.box.com/file/389164954056")</f>
        <v>https://arizona.app.box.com/file/389164954056</v>
      </c>
    </row>
    <row r="7349" spans="1:25" x14ac:dyDescent="0.2">
      <c r="A7349">
        <v>4064</v>
      </c>
      <c r="B7349" t="s">
        <v>11064</v>
      </c>
      <c r="C7349" t="s">
        <v>18</v>
      </c>
      <c r="D7349" t="s">
        <v>4101</v>
      </c>
      <c r="E7349" t="s">
        <v>4102</v>
      </c>
      <c r="F7349" t="s">
        <v>369</v>
      </c>
      <c r="G7349" t="s">
        <v>17</v>
      </c>
      <c r="J7349" t="b">
        <v>0</v>
      </c>
      <c r="K7349" t="b">
        <v>0</v>
      </c>
      <c r="L7349" t="b">
        <v>0</v>
      </c>
      <c r="M7349" t="str">
        <f>HYPERLINK("https://arizona.app.box.com/file/389261016662")</f>
        <v>https://arizona.app.box.com/file/389261016662</v>
      </c>
      <c r="N7349" t="str">
        <f>HYPERLINK("https://arizona.app.box.com/file/389162637075")</f>
        <v>https://arizona.app.box.com/file/389162637075</v>
      </c>
      <c r="O7349" t="str">
        <f>HYPERLINK("https://arizona.app.box.com/file/389261041243")</f>
        <v>https://arizona.app.box.com/file/389261041243</v>
      </c>
    </row>
    <row r="7350" spans="1:25" x14ac:dyDescent="0.2">
      <c r="A7350">
        <v>4065</v>
      </c>
      <c r="B7350" t="s">
        <v>11064</v>
      </c>
      <c r="C7350" t="s">
        <v>18</v>
      </c>
      <c r="D7350" t="s">
        <v>4223</v>
      </c>
      <c r="E7350" t="s">
        <v>4224</v>
      </c>
      <c r="F7350" t="s">
        <v>78</v>
      </c>
      <c r="G7350" t="s">
        <v>17</v>
      </c>
      <c r="J7350" t="b">
        <v>0</v>
      </c>
      <c r="K7350" t="b">
        <v>0</v>
      </c>
      <c r="L7350" t="b">
        <v>0</v>
      </c>
      <c r="M7350" t="str">
        <f>HYPERLINK("https://arizona.app.box.com/file/389168502801")</f>
        <v>https://arizona.app.box.com/file/389168502801</v>
      </c>
      <c r="N7350" t="str">
        <f>HYPERLINK("https://arizona.app.box.com/file/386239289620")</f>
        <v>https://arizona.app.box.com/file/386239289620</v>
      </c>
      <c r="O7350" t="str">
        <f>HYPERLINK("https://arizona.app.box.com/file/389174375348")</f>
        <v>https://arizona.app.box.com/file/389174375348</v>
      </c>
    </row>
    <row r="7352" spans="1:25" x14ac:dyDescent="0.2">
      <c r="A7352" s="2">
        <v>4088</v>
      </c>
      <c r="B7352" s="2" t="s">
        <v>11067</v>
      </c>
      <c r="C7352" s="2" t="s">
        <v>13</v>
      </c>
      <c r="D7352" s="2" t="s">
        <v>7718</v>
      </c>
      <c r="E7352" s="2" t="s">
        <v>7719</v>
      </c>
      <c r="F7352" s="2" t="s">
        <v>78</v>
      </c>
      <c r="G7352" s="2" t="s">
        <v>17</v>
      </c>
      <c r="H7352" s="2"/>
      <c r="I7352" s="2"/>
      <c r="J7352" s="2"/>
      <c r="K7352" s="2"/>
      <c r="L7352" s="2"/>
      <c r="M7352" s="2"/>
      <c r="N7352" s="2"/>
      <c r="O7352" s="2"/>
      <c r="P7352" s="2"/>
      <c r="Q7352" s="2"/>
      <c r="R7352" s="2"/>
      <c r="S7352" s="2"/>
      <c r="T7352" s="2"/>
      <c r="U7352" s="2"/>
      <c r="V7352" s="2"/>
      <c r="W7352" s="2"/>
      <c r="X7352" s="2"/>
      <c r="Y7352" s="2"/>
    </row>
    <row r="7353" spans="1:25" x14ac:dyDescent="0.2">
      <c r="A7353">
        <v>4089</v>
      </c>
      <c r="B7353" t="s">
        <v>11067</v>
      </c>
      <c r="C7353" t="s">
        <v>18</v>
      </c>
      <c r="D7353" t="s">
        <v>7718</v>
      </c>
      <c r="E7353" t="s">
        <v>7719</v>
      </c>
      <c r="F7353" t="s">
        <v>78</v>
      </c>
      <c r="G7353" t="s">
        <v>17</v>
      </c>
      <c r="J7353" t="b">
        <v>1</v>
      </c>
      <c r="K7353" t="b">
        <v>1</v>
      </c>
      <c r="L7353" t="b">
        <v>1</v>
      </c>
      <c r="M7353" t="str">
        <f>HYPERLINK("https://arizona.app.box.com/file/389165263345")</f>
        <v>https://arizona.app.box.com/file/389165263345</v>
      </c>
      <c r="N7353" t="str">
        <f>HYPERLINK("https://arizona.app.box.com/file/389161974521")</f>
        <v>https://arizona.app.box.com/file/389161974521</v>
      </c>
    </row>
    <row r="7354" spans="1:25" x14ac:dyDescent="0.2">
      <c r="A7354">
        <v>4090</v>
      </c>
      <c r="B7354" t="s">
        <v>11067</v>
      </c>
      <c r="C7354" t="s">
        <v>18</v>
      </c>
      <c r="D7354" t="s">
        <v>7722</v>
      </c>
      <c r="E7354" t="s">
        <v>7723</v>
      </c>
      <c r="F7354" t="s">
        <v>78</v>
      </c>
      <c r="G7354" t="s">
        <v>17</v>
      </c>
      <c r="J7354" t="b">
        <v>0</v>
      </c>
      <c r="K7354" t="b">
        <v>0</v>
      </c>
      <c r="L7354" t="b">
        <v>0</v>
      </c>
      <c r="M7354" t="str">
        <f>HYPERLINK("https://arizona.app.box.com/file/389161776789")</f>
        <v>https://arizona.app.box.com/file/389161776789</v>
      </c>
      <c r="N7354" t="str">
        <f>HYPERLINK("https://arizona.app.box.com/file/389138170191")</f>
        <v>https://arizona.app.box.com/file/389138170191</v>
      </c>
    </row>
    <row r="7355" spans="1:25" x14ac:dyDescent="0.2">
      <c r="A7355">
        <v>4091</v>
      </c>
      <c r="B7355" t="s">
        <v>11067</v>
      </c>
      <c r="C7355" t="s">
        <v>18</v>
      </c>
      <c r="D7355" t="s">
        <v>7714</v>
      </c>
      <c r="E7355" t="s">
        <v>7715</v>
      </c>
      <c r="F7355" t="s">
        <v>78</v>
      </c>
      <c r="G7355" t="s">
        <v>17</v>
      </c>
      <c r="J7355" t="b">
        <v>0</v>
      </c>
      <c r="K7355" t="b">
        <v>0</v>
      </c>
      <c r="L7355" t="b">
        <v>0</v>
      </c>
      <c r="M7355" t="str">
        <f>HYPERLINK("https://arizona.app.box.com/file/389161279258")</f>
        <v>https://arizona.app.box.com/file/389161279258</v>
      </c>
      <c r="N7355" t="str">
        <f>HYPERLINK("https://arizona.app.box.com/file/389161367972")</f>
        <v>https://arizona.app.box.com/file/389161367972</v>
      </c>
    </row>
    <row r="7356" spans="1:25" x14ac:dyDescent="0.2">
      <c r="A7356">
        <v>4092</v>
      </c>
      <c r="B7356" t="s">
        <v>11067</v>
      </c>
      <c r="C7356" t="s">
        <v>18</v>
      </c>
      <c r="D7356" t="s">
        <v>5225</v>
      </c>
      <c r="E7356" t="s">
        <v>5226</v>
      </c>
      <c r="F7356" t="s">
        <v>78</v>
      </c>
      <c r="G7356" t="s">
        <v>17</v>
      </c>
      <c r="J7356" t="b">
        <v>0</v>
      </c>
      <c r="K7356" t="b">
        <v>0</v>
      </c>
      <c r="L7356" t="b">
        <v>0</v>
      </c>
      <c r="M7356" t="str">
        <f>HYPERLINK("https://arizona.app.box.com/file/389164588782")</f>
        <v>https://arizona.app.box.com/file/389164588782</v>
      </c>
      <c r="N7356" t="str">
        <f>HYPERLINK("https://arizona.app.box.com/file/389163435916")</f>
        <v>https://arizona.app.box.com/file/389163435916</v>
      </c>
    </row>
    <row r="7357" spans="1:25" x14ac:dyDescent="0.2">
      <c r="A7357">
        <v>4093</v>
      </c>
      <c r="B7357" t="s">
        <v>11067</v>
      </c>
      <c r="C7357" t="s">
        <v>18</v>
      </c>
      <c r="D7357" t="s">
        <v>7609</v>
      </c>
      <c r="E7357" t="s">
        <v>7611</v>
      </c>
      <c r="F7357" t="s">
        <v>45</v>
      </c>
      <c r="G7357" t="s">
        <v>17</v>
      </c>
      <c r="J7357" t="b">
        <v>0</v>
      </c>
      <c r="K7357" t="b">
        <v>0</v>
      </c>
      <c r="L7357" t="b">
        <v>0</v>
      </c>
      <c r="M7357" t="str">
        <f>HYPERLINK("https://arizona.app.box.com/file/389161742042")</f>
        <v>https://arizona.app.box.com/file/389161742042</v>
      </c>
      <c r="N7357" t="str">
        <f>HYPERLINK("https://arizona.app.box.com/file/389269316084")</f>
        <v>https://arizona.app.box.com/file/389269316084</v>
      </c>
    </row>
    <row r="7359" spans="1:25" x14ac:dyDescent="0.2">
      <c r="A7359" s="2">
        <v>4095</v>
      </c>
      <c r="B7359" s="2" t="s">
        <v>11068</v>
      </c>
      <c r="C7359" s="2" t="s">
        <v>13</v>
      </c>
      <c r="D7359" s="2" t="s">
        <v>7731</v>
      </c>
      <c r="E7359" s="2" t="s">
        <v>7732</v>
      </c>
      <c r="F7359" s="2" t="s">
        <v>31</v>
      </c>
      <c r="G7359" s="2" t="s">
        <v>17</v>
      </c>
      <c r="H7359" s="2"/>
      <c r="I7359" s="2"/>
      <c r="J7359" s="2"/>
      <c r="K7359" s="2"/>
      <c r="L7359" s="2"/>
      <c r="M7359" s="2"/>
      <c r="N7359" s="2"/>
      <c r="O7359" s="2"/>
      <c r="P7359" s="2"/>
      <c r="Q7359" s="2"/>
      <c r="R7359" s="2"/>
      <c r="S7359" s="2"/>
      <c r="T7359" s="2"/>
      <c r="U7359" s="2"/>
      <c r="V7359" s="2"/>
      <c r="W7359" s="2"/>
      <c r="X7359" s="2"/>
      <c r="Y7359" s="2"/>
    </row>
    <row r="7360" spans="1:25" x14ac:dyDescent="0.2">
      <c r="A7360">
        <v>4096</v>
      </c>
      <c r="B7360" t="s">
        <v>11068</v>
      </c>
      <c r="C7360" t="s">
        <v>18</v>
      </c>
      <c r="D7360" t="s">
        <v>7731</v>
      </c>
      <c r="E7360" t="s">
        <v>7732</v>
      </c>
      <c r="F7360" t="s">
        <v>31</v>
      </c>
      <c r="G7360" t="s">
        <v>17</v>
      </c>
      <c r="J7360" t="b">
        <v>0</v>
      </c>
      <c r="K7360" t="b">
        <v>1</v>
      </c>
      <c r="L7360" t="b">
        <v>0</v>
      </c>
      <c r="M7360" t="str">
        <f>HYPERLINK("https://arizona.app.box.com/file/389168145117")</f>
        <v>https://arizona.app.box.com/file/389168145117</v>
      </c>
      <c r="N7360" t="str">
        <f>HYPERLINK("https://arizona.app.box.com/file/389133508756")</f>
        <v>https://arizona.app.box.com/file/389133508756</v>
      </c>
      <c r="O7360" t="str">
        <f>HYPERLINK("https://arizona.app.box.com/file/389137348570")</f>
        <v>https://arizona.app.box.com/file/389137348570</v>
      </c>
    </row>
    <row r="7361" spans="1:25" x14ac:dyDescent="0.2">
      <c r="A7361">
        <v>4097</v>
      </c>
      <c r="B7361" t="s">
        <v>11068</v>
      </c>
      <c r="C7361" t="s">
        <v>18</v>
      </c>
      <c r="D7361" t="s">
        <v>11069</v>
      </c>
      <c r="E7361" t="s">
        <v>11070</v>
      </c>
      <c r="F7361" t="s">
        <v>31</v>
      </c>
      <c r="G7361" t="s">
        <v>17</v>
      </c>
      <c r="J7361" t="b">
        <v>0</v>
      </c>
      <c r="K7361" t="b">
        <v>0</v>
      </c>
      <c r="L7361" t="b">
        <v>0</v>
      </c>
    </row>
    <row r="7362" spans="1:25" x14ac:dyDescent="0.2">
      <c r="A7362">
        <v>4098</v>
      </c>
      <c r="B7362" t="s">
        <v>11068</v>
      </c>
      <c r="C7362" t="s">
        <v>18</v>
      </c>
      <c r="D7362" t="s">
        <v>217</v>
      </c>
      <c r="E7362" t="s">
        <v>218</v>
      </c>
      <c r="F7362" t="s">
        <v>78</v>
      </c>
      <c r="G7362" t="s">
        <v>17</v>
      </c>
      <c r="J7362" t="b">
        <v>0</v>
      </c>
      <c r="K7362" t="b">
        <v>0</v>
      </c>
      <c r="L7362" t="b">
        <v>0</v>
      </c>
      <c r="M7362" t="str">
        <f>HYPERLINK("https://arizona.app.box.com/file/389165372678")</f>
        <v>https://arizona.app.box.com/file/389165372678</v>
      </c>
      <c r="N7362" t="str">
        <f>HYPERLINK("https://arizona.app.box.com/file/389162389613")</f>
        <v>https://arizona.app.box.com/file/389162389613</v>
      </c>
    </row>
    <row r="7363" spans="1:25" x14ac:dyDescent="0.2">
      <c r="A7363">
        <v>4099</v>
      </c>
      <c r="B7363" t="s">
        <v>11068</v>
      </c>
      <c r="C7363" t="s">
        <v>18</v>
      </c>
      <c r="D7363" t="s">
        <v>11071</v>
      </c>
      <c r="E7363" t="s">
        <v>11072</v>
      </c>
      <c r="F7363" t="s">
        <v>31</v>
      </c>
      <c r="G7363" t="s">
        <v>17</v>
      </c>
      <c r="J7363" t="b">
        <v>0</v>
      </c>
      <c r="K7363" t="b">
        <v>0</v>
      </c>
      <c r="L7363" t="b">
        <v>0</v>
      </c>
    </row>
    <row r="7364" spans="1:25" x14ac:dyDescent="0.2">
      <c r="A7364">
        <v>4100</v>
      </c>
      <c r="B7364" t="s">
        <v>11068</v>
      </c>
      <c r="C7364" t="s">
        <v>18</v>
      </c>
      <c r="D7364" t="s">
        <v>11073</v>
      </c>
      <c r="E7364" t="s">
        <v>11074</v>
      </c>
      <c r="F7364" t="s">
        <v>31</v>
      </c>
      <c r="G7364" t="s">
        <v>17</v>
      </c>
      <c r="J7364" t="b">
        <v>0</v>
      </c>
      <c r="K7364" t="b">
        <v>0</v>
      </c>
      <c r="L7364" t="b">
        <v>0</v>
      </c>
    </row>
    <row r="7366" spans="1:25" x14ac:dyDescent="0.2">
      <c r="A7366" s="2">
        <v>413</v>
      </c>
      <c r="B7366" s="2" t="s">
        <v>11075</v>
      </c>
      <c r="C7366" s="2" t="s">
        <v>13</v>
      </c>
      <c r="D7366" s="2" t="s">
        <v>6556</v>
      </c>
      <c r="E7366" s="2" t="s">
        <v>10161</v>
      </c>
      <c r="F7366" s="2" t="s">
        <v>151</v>
      </c>
      <c r="G7366" s="2" t="s">
        <v>24</v>
      </c>
      <c r="H7366" s="2"/>
      <c r="I7366" s="2"/>
      <c r="J7366" s="2"/>
      <c r="K7366" s="2"/>
      <c r="L7366" s="2"/>
      <c r="M7366" s="2"/>
      <c r="N7366" s="2"/>
      <c r="O7366" s="2"/>
      <c r="P7366" s="2"/>
      <c r="Q7366" s="2"/>
      <c r="R7366" s="2"/>
      <c r="S7366" s="2"/>
      <c r="T7366" s="2"/>
      <c r="U7366" s="2"/>
      <c r="V7366" s="2"/>
      <c r="W7366" s="2"/>
      <c r="X7366" s="2"/>
      <c r="Y7366" s="2"/>
    </row>
    <row r="7367" spans="1:25" x14ac:dyDescent="0.2">
      <c r="A7367">
        <v>414</v>
      </c>
      <c r="B7367" t="s">
        <v>11075</v>
      </c>
      <c r="C7367" t="s">
        <v>18</v>
      </c>
      <c r="D7367" t="s">
        <v>6556</v>
      </c>
      <c r="E7367" t="s">
        <v>195</v>
      </c>
      <c r="F7367" t="s">
        <v>151</v>
      </c>
      <c r="G7367" t="s">
        <v>24</v>
      </c>
      <c r="J7367" t="b">
        <v>1</v>
      </c>
      <c r="K7367" t="b">
        <v>1</v>
      </c>
      <c r="L7367" t="b">
        <v>1</v>
      </c>
      <c r="M7367" t="str">
        <f>HYPERLINK("https://arizona.app.box.com/file/389138627444")</f>
        <v>https://arizona.app.box.com/file/389138627444</v>
      </c>
    </row>
    <row r="7368" spans="1:25" x14ac:dyDescent="0.2">
      <c r="A7368">
        <v>415</v>
      </c>
      <c r="B7368" t="s">
        <v>11075</v>
      </c>
      <c r="C7368" t="s">
        <v>18</v>
      </c>
      <c r="D7368" t="s">
        <v>5473</v>
      </c>
      <c r="E7368" t="s">
        <v>5474</v>
      </c>
      <c r="F7368" t="s">
        <v>151</v>
      </c>
      <c r="G7368" t="s">
        <v>24</v>
      </c>
      <c r="J7368" t="b">
        <v>1</v>
      </c>
      <c r="K7368" t="b">
        <v>1</v>
      </c>
      <c r="L7368" t="b">
        <v>1</v>
      </c>
      <c r="M7368" t="str">
        <f>HYPERLINK("https://arizona.app.box.com/file/389172322352")</f>
        <v>https://arizona.app.box.com/file/389172322352</v>
      </c>
    </row>
    <row r="7369" spans="1:25" x14ac:dyDescent="0.2">
      <c r="A7369">
        <v>416</v>
      </c>
      <c r="B7369" t="s">
        <v>11075</v>
      </c>
      <c r="C7369" t="s">
        <v>18</v>
      </c>
      <c r="D7369" t="s">
        <v>2411</v>
      </c>
      <c r="E7369" t="s">
        <v>2412</v>
      </c>
      <c r="F7369" t="s">
        <v>31</v>
      </c>
      <c r="G7369" t="s">
        <v>17</v>
      </c>
      <c r="J7369" t="b">
        <v>0</v>
      </c>
      <c r="K7369" t="b">
        <v>0</v>
      </c>
      <c r="L7369" t="b">
        <v>0</v>
      </c>
      <c r="M7369" t="str">
        <f>HYPERLINK("https://arizona.app.box.com/file/389171902460")</f>
        <v>https://arizona.app.box.com/file/389171902460</v>
      </c>
      <c r="N7369" t="str">
        <f>HYPERLINK("https://arizona.app.box.com/file/386233112029")</f>
        <v>https://arizona.app.box.com/file/386233112029</v>
      </c>
    </row>
    <row r="7370" spans="1:25" x14ac:dyDescent="0.2">
      <c r="A7370">
        <v>417</v>
      </c>
      <c r="B7370" t="s">
        <v>11075</v>
      </c>
      <c r="C7370" t="s">
        <v>18</v>
      </c>
      <c r="D7370" t="s">
        <v>4047</v>
      </c>
      <c r="E7370" t="s">
        <v>4048</v>
      </c>
      <c r="F7370" t="s">
        <v>151</v>
      </c>
      <c r="G7370" t="s">
        <v>24</v>
      </c>
      <c r="J7370" t="b">
        <v>0</v>
      </c>
      <c r="K7370" t="b">
        <v>0</v>
      </c>
      <c r="L7370" t="b">
        <v>0</v>
      </c>
      <c r="M7370" t="str">
        <f>HYPERLINK("https://arizona.app.box.com/file/389168294936")</f>
        <v>https://arizona.app.box.com/file/389168294936</v>
      </c>
    </row>
    <row r="7371" spans="1:25" x14ac:dyDescent="0.2">
      <c r="A7371">
        <v>418</v>
      </c>
      <c r="B7371" t="s">
        <v>11075</v>
      </c>
      <c r="C7371" t="s">
        <v>18</v>
      </c>
      <c r="D7371" t="s">
        <v>4038</v>
      </c>
      <c r="E7371" t="s">
        <v>4040</v>
      </c>
      <c r="F7371" t="s">
        <v>151</v>
      </c>
      <c r="G7371" t="s">
        <v>24</v>
      </c>
      <c r="J7371" t="b">
        <v>0</v>
      </c>
      <c r="K7371" t="b">
        <v>0</v>
      </c>
      <c r="L7371" t="b">
        <v>0</v>
      </c>
      <c r="M7371" t="str">
        <f>HYPERLINK("https://arizona.app.box.com/file/389173778635")</f>
        <v>https://arizona.app.box.com/file/389173778635</v>
      </c>
      <c r="N7371" t="str">
        <f>HYPERLINK("https://arizona.app.box.com/file/386226309731")</f>
        <v>https://arizona.app.box.com/file/386226309731</v>
      </c>
    </row>
    <row r="7373" spans="1:25" x14ac:dyDescent="0.2">
      <c r="A7373" s="2">
        <v>4130</v>
      </c>
      <c r="B7373" s="2" t="s">
        <v>11076</v>
      </c>
      <c r="C7373" s="2" t="s">
        <v>13</v>
      </c>
      <c r="D7373" s="2" t="s">
        <v>11077</v>
      </c>
      <c r="E7373" s="2" t="s">
        <v>11078</v>
      </c>
      <c r="F7373" s="2" t="s">
        <v>16</v>
      </c>
      <c r="G7373" s="2" t="s">
        <v>17</v>
      </c>
      <c r="H7373" s="2"/>
      <c r="I7373" s="2"/>
      <c r="J7373" s="2"/>
      <c r="K7373" s="2"/>
      <c r="L7373" s="2"/>
      <c r="M7373" s="2"/>
      <c r="N7373" s="2"/>
      <c r="O7373" s="2"/>
      <c r="P7373" s="2"/>
      <c r="Q7373" s="2"/>
      <c r="R7373" s="2"/>
      <c r="S7373" s="2"/>
      <c r="T7373" s="2"/>
      <c r="U7373" s="2"/>
      <c r="V7373" s="2"/>
      <c r="W7373" s="2"/>
      <c r="X7373" s="2"/>
      <c r="Y7373" s="2"/>
    </row>
    <row r="7374" spans="1:25" x14ac:dyDescent="0.2">
      <c r="A7374">
        <v>4131</v>
      </c>
      <c r="B7374" t="s">
        <v>11076</v>
      </c>
      <c r="C7374" t="s">
        <v>18</v>
      </c>
      <c r="D7374" t="s">
        <v>8468</v>
      </c>
      <c r="E7374" t="s">
        <v>1541</v>
      </c>
      <c r="F7374" t="s">
        <v>16</v>
      </c>
      <c r="G7374" t="s">
        <v>17</v>
      </c>
      <c r="J7374" t="b">
        <v>1</v>
      </c>
      <c r="K7374" t="b">
        <v>1</v>
      </c>
      <c r="L7374" t="b">
        <v>1</v>
      </c>
      <c r="M7374" t="str">
        <f>HYPERLINK("https://arizona.app.box.com/file/389256475210")</f>
        <v>https://arizona.app.box.com/file/389256475210</v>
      </c>
      <c r="N7374" t="str">
        <f>HYPERLINK("https://arizona.app.box.com/file/389152330446")</f>
        <v>https://arizona.app.box.com/file/389152330446</v>
      </c>
    </row>
    <row r="7375" spans="1:25" x14ac:dyDescent="0.2">
      <c r="A7375">
        <v>4132</v>
      </c>
      <c r="B7375" t="s">
        <v>11076</v>
      </c>
      <c r="C7375" t="s">
        <v>18</v>
      </c>
      <c r="D7375" t="s">
        <v>11079</v>
      </c>
      <c r="E7375" t="s">
        <v>11080</v>
      </c>
      <c r="F7375" t="s">
        <v>174</v>
      </c>
      <c r="G7375" t="s">
        <v>62</v>
      </c>
      <c r="J7375" t="b">
        <v>0</v>
      </c>
      <c r="K7375" t="b">
        <v>0</v>
      </c>
      <c r="L7375" t="b">
        <v>0</v>
      </c>
    </row>
    <row r="7376" spans="1:25" x14ac:dyDescent="0.2">
      <c r="A7376">
        <v>4133</v>
      </c>
      <c r="B7376" t="s">
        <v>11076</v>
      </c>
      <c r="C7376" t="s">
        <v>18</v>
      </c>
      <c r="D7376" t="s">
        <v>11081</v>
      </c>
      <c r="E7376" t="s">
        <v>4847</v>
      </c>
      <c r="F7376" t="s">
        <v>456</v>
      </c>
      <c r="G7376" t="s">
        <v>879</v>
      </c>
      <c r="J7376" t="b">
        <v>0</v>
      </c>
      <c r="K7376" t="b">
        <v>0</v>
      </c>
      <c r="L7376" t="b">
        <v>0</v>
      </c>
      <c r="M7376" t="str">
        <f>HYPERLINK("https://arizona.app.box.com/file/389263852555")</f>
        <v>https://arizona.app.box.com/file/389263852555</v>
      </c>
      <c r="N7376" t="str">
        <f>HYPERLINK("https://arizona.app.box.com/file/389165971756")</f>
        <v>https://arizona.app.box.com/file/389165971756</v>
      </c>
    </row>
    <row r="7377" spans="1:25" x14ac:dyDescent="0.2">
      <c r="A7377">
        <v>4134</v>
      </c>
      <c r="B7377" t="s">
        <v>11076</v>
      </c>
      <c r="C7377" t="s">
        <v>18</v>
      </c>
      <c r="D7377" t="s">
        <v>11082</v>
      </c>
      <c r="E7377" t="s">
        <v>10188</v>
      </c>
      <c r="F7377" t="s">
        <v>174</v>
      </c>
      <c r="G7377" t="s">
        <v>62</v>
      </c>
      <c r="J7377" t="b">
        <v>0</v>
      </c>
      <c r="K7377" t="b">
        <v>0</v>
      </c>
      <c r="L7377" t="b">
        <v>0</v>
      </c>
      <c r="M7377" t="str">
        <f>HYPERLINK("https://arizona.app.box.com/file/386217928112")</f>
        <v>https://arizona.app.box.com/file/386217928112</v>
      </c>
    </row>
    <row r="7378" spans="1:25" x14ac:dyDescent="0.2">
      <c r="A7378">
        <v>4135</v>
      </c>
      <c r="B7378" t="s">
        <v>11076</v>
      </c>
      <c r="C7378" t="s">
        <v>18</v>
      </c>
      <c r="D7378" t="s">
        <v>11083</v>
      </c>
      <c r="E7378" t="s">
        <v>11084</v>
      </c>
      <c r="F7378" t="s">
        <v>316</v>
      </c>
      <c r="G7378" t="s">
        <v>62</v>
      </c>
      <c r="J7378" t="b">
        <v>0</v>
      </c>
      <c r="K7378" t="b">
        <v>0</v>
      </c>
      <c r="L7378" t="b">
        <v>0</v>
      </c>
    </row>
    <row r="7380" spans="1:25" x14ac:dyDescent="0.2">
      <c r="A7380" s="2">
        <v>4151</v>
      </c>
      <c r="B7380" s="2" t="s">
        <v>11085</v>
      </c>
      <c r="C7380" s="2" t="s">
        <v>13</v>
      </c>
      <c r="D7380" s="2" t="s">
        <v>11086</v>
      </c>
      <c r="E7380" s="2" t="s">
        <v>11087</v>
      </c>
      <c r="F7380" s="2" t="s">
        <v>174</v>
      </c>
      <c r="G7380" s="2" t="s">
        <v>17</v>
      </c>
      <c r="H7380" s="2"/>
      <c r="I7380" s="2"/>
      <c r="J7380" s="2"/>
      <c r="K7380" s="2"/>
      <c r="L7380" s="2"/>
      <c r="M7380" s="2"/>
      <c r="N7380" s="2"/>
      <c r="O7380" s="2"/>
      <c r="P7380" s="2"/>
      <c r="Q7380" s="2"/>
      <c r="R7380" s="2"/>
      <c r="S7380" s="2"/>
      <c r="T7380" s="2"/>
      <c r="U7380" s="2"/>
      <c r="V7380" s="2"/>
      <c r="W7380" s="2"/>
      <c r="X7380" s="2"/>
      <c r="Y7380" s="2"/>
    </row>
    <row r="7381" spans="1:25" x14ac:dyDescent="0.2">
      <c r="A7381">
        <v>4152</v>
      </c>
      <c r="B7381" t="s">
        <v>11085</v>
      </c>
      <c r="C7381" t="s">
        <v>18</v>
      </c>
      <c r="D7381" t="s">
        <v>11086</v>
      </c>
      <c r="E7381" t="s">
        <v>11088</v>
      </c>
      <c r="F7381" t="s">
        <v>174</v>
      </c>
      <c r="G7381" t="s">
        <v>17</v>
      </c>
      <c r="J7381" t="b">
        <v>1</v>
      </c>
      <c r="K7381" t="b">
        <v>1</v>
      </c>
      <c r="L7381" t="b">
        <v>1</v>
      </c>
      <c r="M7381" t="str">
        <f>HYPERLINK("https://arizona.app.box.com/file/389170240930")</f>
        <v>https://arizona.app.box.com/file/389170240930</v>
      </c>
      <c r="N7381" t="str">
        <f>HYPERLINK("https://arizona.app.box.com/file/386214154170")</f>
        <v>https://arizona.app.box.com/file/386214154170</v>
      </c>
    </row>
    <row r="7382" spans="1:25" x14ac:dyDescent="0.2">
      <c r="A7382">
        <v>4153</v>
      </c>
      <c r="B7382" t="s">
        <v>11085</v>
      </c>
      <c r="C7382" t="s">
        <v>18</v>
      </c>
      <c r="D7382" t="s">
        <v>1618</v>
      </c>
      <c r="E7382" t="s">
        <v>1619</v>
      </c>
      <c r="F7382" t="s">
        <v>31</v>
      </c>
      <c r="G7382" t="s">
        <v>17</v>
      </c>
      <c r="J7382" t="b">
        <v>0</v>
      </c>
      <c r="K7382" t="b">
        <v>0</v>
      </c>
      <c r="L7382" t="b">
        <v>0</v>
      </c>
      <c r="M7382" t="str">
        <f>HYPERLINK("https://arizona.app.box.com/file/389260456445")</f>
        <v>https://arizona.app.box.com/file/389260456445</v>
      </c>
      <c r="N7382" t="str">
        <f>HYPERLINK("https://arizona.app.box.com/file/389169107956")</f>
        <v>https://arizona.app.box.com/file/389169107956</v>
      </c>
      <c r="O7382" t="str">
        <f>HYPERLINK("https://arizona.app.box.com/file/389255876241")</f>
        <v>https://arizona.app.box.com/file/389255876241</v>
      </c>
    </row>
    <row r="7383" spans="1:25" x14ac:dyDescent="0.2">
      <c r="A7383">
        <v>4154</v>
      </c>
      <c r="B7383" t="s">
        <v>11085</v>
      </c>
      <c r="C7383" t="s">
        <v>18</v>
      </c>
      <c r="D7383" t="s">
        <v>1623</v>
      </c>
      <c r="E7383" t="s">
        <v>1624</v>
      </c>
      <c r="F7383" t="s">
        <v>78</v>
      </c>
      <c r="G7383" t="s">
        <v>88</v>
      </c>
      <c r="J7383" t="b">
        <v>0</v>
      </c>
      <c r="K7383" t="b">
        <v>0</v>
      </c>
      <c r="L7383" t="b">
        <v>0</v>
      </c>
      <c r="M7383" t="str">
        <f>HYPERLINK("https://arizona.app.box.com/file/389255419801")</f>
        <v>https://arizona.app.box.com/file/389255419801</v>
      </c>
      <c r="N7383" t="str">
        <f>HYPERLINK("https://arizona.app.box.com/file/389163324978")</f>
        <v>https://arizona.app.box.com/file/389163324978</v>
      </c>
      <c r="O7383" t="str">
        <f>HYPERLINK("https://arizona.app.box.com/file/389170626893")</f>
        <v>https://arizona.app.box.com/file/389170626893</v>
      </c>
      <c r="P7383" t="str">
        <f>HYPERLINK("https://arizona.app.box.com/file/386238294339")</f>
        <v>https://arizona.app.box.com/file/386238294339</v>
      </c>
    </row>
    <row r="7384" spans="1:25" x14ac:dyDescent="0.2">
      <c r="A7384">
        <v>4155</v>
      </c>
      <c r="B7384" t="s">
        <v>11085</v>
      </c>
      <c r="C7384" t="s">
        <v>18</v>
      </c>
      <c r="D7384" t="s">
        <v>2905</v>
      </c>
      <c r="E7384" t="s">
        <v>2906</v>
      </c>
      <c r="F7384" t="s">
        <v>174</v>
      </c>
      <c r="G7384" t="s">
        <v>17</v>
      </c>
      <c r="J7384" t="b">
        <v>0</v>
      </c>
      <c r="K7384" t="b">
        <v>0</v>
      </c>
      <c r="L7384" t="b">
        <v>0</v>
      </c>
      <c r="M7384" t="str">
        <f>HYPERLINK("https://arizona.app.box.com/file/389171583505")</f>
        <v>https://arizona.app.box.com/file/389171583505</v>
      </c>
      <c r="N7384" t="str">
        <f>HYPERLINK("https://arizona.app.box.com/file/386216611536")</f>
        <v>https://arizona.app.box.com/file/386216611536</v>
      </c>
    </row>
    <row r="7385" spans="1:25" x14ac:dyDescent="0.2">
      <c r="A7385">
        <v>4156</v>
      </c>
      <c r="B7385" t="s">
        <v>11085</v>
      </c>
      <c r="C7385" t="s">
        <v>18</v>
      </c>
      <c r="D7385" t="s">
        <v>415</v>
      </c>
      <c r="E7385" t="s">
        <v>416</v>
      </c>
      <c r="F7385" t="s">
        <v>159</v>
      </c>
      <c r="G7385" t="s">
        <v>417</v>
      </c>
      <c r="J7385" t="b">
        <v>0</v>
      </c>
      <c r="K7385" t="b">
        <v>0</v>
      </c>
      <c r="L7385" t="b">
        <v>0</v>
      </c>
      <c r="M7385" t="str">
        <f>HYPERLINK("https://arizona.app.box.com/file/389164645836")</f>
        <v>https://arizona.app.box.com/file/389164645836</v>
      </c>
      <c r="N7385" t="str">
        <f>HYPERLINK("https://arizona.app.box.com/file/386217021755")</f>
        <v>https://arizona.app.box.com/file/386217021755</v>
      </c>
    </row>
    <row r="7387" spans="1:25" x14ac:dyDescent="0.2">
      <c r="A7387" s="2">
        <v>4158</v>
      </c>
      <c r="B7387" s="2" t="s">
        <v>11089</v>
      </c>
      <c r="C7387" s="2" t="s">
        <v>13</v>
      </c>
      <c r="D7387" s="2" t="s">
        <v>6077</v>
      </c>
      <c r="E7387" s="2" t="s">
        <v>11090</v>
      </c>
      <c r="F7387" s="2" t="s">
        <v>174</v>
      </c>
      <c r="G7387" s="2" t="s">
        <v>17</v>
      </c>
      <c r="H7387" s="2"/>
      <c r="I7387" s="2"/>
      <c r="J7387" s="2"/>
      <c r="K7387" s="2"/>
      <c r="L7387" s="2"/>
      <c r="M7387" s="2"/>
      <c r="N7387" s="2"/>
      <c r="O7387" s="2"/>
      <c r="P7387" s="2"/>
      <c r="Q7387" s="2"/>
      <c r="R7387" s="2"/>
      <c r="S7387" s="2"/>
      <c r="T7387" s="2"/>
      <c r="U7387" s="2"/>
      <c r="V7387" s="2"/>
      <c r="W7387" s="2"/>
      <c r="X7387" s="2"/>
      <c r="Y7387" s="2"/>
    </row>
    <row r="7388" spans="1:25" x14ac:dyDescent="0.2">
      <c r="A7388">
        <v>4159</v>
      </c>
      <c r="B7388" t="s">
        <v>11089</v>
      </c>
      <c r="C7388" t="s">
        <v>18</v>
      </c>
      <c r="D7388" t="s">
        <v>6077</v>
      </c>
      <c r="E7388" t="s">
        <v>935</v>
      </c>
      <c r="F7388" t="s">
        <v>174</v>
      </c>
      <c r="G7388" t="s">
        <v>17</v>
      </c>
      <c r="J7388" t="b">
        <v>1</v>
      </c>
      <c r="K7388" t="b">
        <v>1</v>
      </c>
      <c r="L7388" t="b">
        <v>1</v>
      </c>
      <c r="M7388" t="str">
        <f>HYPERLINK("https://arizona.app.box.com/file/389153457316")</f>
        <v>https://arizona.app.box.com/file/389153457316</v>
      </c>
      <c r="N7388" t="str">
        <f>HYPERLINK("https://arizona.app.box.com/file/386214388398")</f>
        <v>https://arizona.app.box.com/file/386214388398</v>
      </c>
    </row>
    <row r="7389" spans="1:25" x14ac:dyDescent="0.2">
      <c r="A7389">
        <v>4160</v>
      </c>
      <c r="B7389" t="s">
        <v>11089</v>
      </c>
      <c r="C7389" t="s">
        <v>18</v>
      </c>
      <c r="D7389" t="s">
        <v>1471</v>
      </c>
      <c r="E7389" t="s">
        <v>1472</v>
      </c>
      <c r="F7389" t="s">
        <v>174</v>
      </c>
      <c r="G7389" t="s">
        <v>17</v>
      </c>
      <c r="J7389" t="b">
        <v>1</v>
      </c>
      <c r="K7389" t="b">
        <v>1</v>
      </c>
      <c r="L7389" t="b">
        <v>1</v>
      </c>
      <c r="M7389" t="str">
        <f>HYPERLINK("https://arizona.app.box.com/file/389255639972")</f>
        <v>https://arizona.app.box.com/file/389255639972</v>
      </c>
      <c r="N7389" t="str">
        <f>HYPERLINK("https://arizona.app.box.com/file/389154291106")</f>
        <v>https://arizona.app.box.com/file/389154291106</v>
      </c>
    </row>
    <row r="7390" spans="1:25" x14ac:dyDescent="0.2">
      <c r="A7390">
        <v>4161</v>
      </c>
      <c r="B7390" t="s">
        <v>11089</v>
      </c>
      <c r="C7390" t="s">
        <v>18</v>
      </c>
      <c r="D7390" t="s">
        <v>984</v>
      </c>
      <c r="E7390" t="s">
        <v>985</v>
      </c>
      <c r="F7390" t="s">
        <v>159</v>
      </c>
      <c r="G7390" t="s">
        <v>17</v>
      </c>
      <c r="J7390" t="b">
        <v>0</v>
      </c>
      <c r="K7390" t="b">
        <v>0</v>
      </c>
      <c r="L7390" t="b">
        <v>0</v>
      </c>
      <c r="M7390" t="str">
        <f>HYPERLINK("https://arizona.app.box.com/file/389172851689")</f>
        <v>https://arizona.app.box.com/file/389172851689</v>
      </c>
      <c r="N7390" t="str">
        <f>HYPERLINK("https://arizona.app.box.com/file/386214477198")</f>
        <v>https://arizona.app.box.com/file/386214477198</v>
      </c>
    </row>
    <row r="7391" spans="1:25" x14ac:dyDescent="0.2">
      <c r="A7391">
        <v>4162</v>
      </c>
      <c r="B7391" t="s">
        <v>11089</v>
      </c>
      <c r="C7391" t="s">
        <v>18</v>
      </c>
      <c r="D7391" t="s">
        <v>1973</v>
      </c>
      <c r="E7391" t="s">
        <v>1974</v>
      </c>
      <c r="F7391" t="s">
        <v>168</v>
      </c>
      <c r="G7391" t="s">
        <v>17</v>
      </c>
      <c r="J7391" t="b">
        <v>0</v>
      </c>
      <c r="K7391" t="b">
        <v>0</v>
      </c>
      <c r="L7391" t="b">
        <v>0</v>
      </c>
      <c r="M7391" t="str">
        <f>HYPERLINK("https://arizona.app.box.com/file/389268310851")</f>
        <v>https://arizona.app.box.com/file/389268310851</v>
      </c>
      <c r="N7391" t="str">
        <f>HYPERLINK("https://arizona.app.box.com/file/389153007089")</f>
        <v>https://arizona.app.box.com/file/389153007089</v>
      </c>
      <c r="O7391" t="str">
        <f>HYPERLINK("https://arizona.app.box.com/file/389165741273")</f>
        <v>https://arizona.app.box.com/file/389165741273</v>
      </c>
      <c r="P7391" t="str">
        <f>HYPERLINK("https://arizona.app.box.com/file/386241317762")</f>
        <v>https://arizona.app.box.com/file/386241317762</v>
      </c>
    </row>
    <row r="7392" spans="1:25" x14ac:dyDescent="0.2">
      <c r="A7392">
        <v>4163</v>
      </c>
      <c r="B7392" t="s">
        <v>11089</v>
      </c>
      <c r="C7392" t="s">
        <v>18</v>
      </c>
      <c r="D7392" t="s">
        <v>6074</v>
      </c>
      <c r="E7392" t="s">
        <v>384</v>
      </c>
      <c r="F7392" t="s">
        <v>23</v>
      </c>
      <c r="G7392" t="s">
        <v>17</v>
      </c>
      <c r="J7392" t="b">
        <v>0</v>
      </c>
      <c r="K7392" t="b">
        <v>0</v>
      </c>
      <c r="L7392" t="b">
        <v>0</v>
      </c>
      <c r="M7392" t="str">
        <f>HYPERLINK("https://arizona.app.box.com/file/389267370261")</f>
        <v>https://arizona.app.box.com/file/389267370261</v>
      </c>
    </row>
    <row r="7394" spans="1:25" x14ac:dyDescent="0.2">
      <c r="A7394" s="2">
        <v>4172</v>
      </c>
      <c r="B7394" s="2" t="s">
        <v>11091</v>
      </c>
      <c r="C7394" s="2" t="s">
        <v>13</v>
      </c>
      <c r="D7394" s="2" t="s">
        <v>11092</v>
      </c>
      <c r="E7394" s="2" t="s">
        <v>11093</v>
      </c>
      <c r="F7394" s="2" t="s">
        <v>144</v>
      </c>
      <c r="G7394" s="2" t="s">
        <v>88</v>
      </c>
      <c r="H7394" s="2"/>
      <c r="I7394" s="2"/>
      <c r="J7394" s="2"/>
      <c r="K7394" s="2"/>
      <c r="L7394" s="2"/>
      <c r="M7394" s="2"/>
      <c r="N7394" s="2"/>
      <c r="O7394" s="2"/>
      <c r="P7394" s="2"/>
      <c r="Q7394" s="2"/>
      <c r="R7394" s="2"/>
      <c r="S7394" s="2"/>
      <c r="T7394" s="2"/>
      <c r="U7394" s="2"/>
      <c r="V7394" s="2"/>
      <c r="W7394" s="2"/>
      <c r="X7394" s="2"/>
      <c r="Y7394" s="2"/>
    </row>
    <row r="7395" spans="1:25" x14ac:dyDescent="0.2">
      <c r="A7395">
        <v>4173</v>
      </c>
      <c r="B7395" t="s">
        <v>11091</v>
      </c>
      <c r="C7395" t="s">
        <v>18</v>
      </c>
      <c r="D7395" t="s">
        <v>11094</v>
      </c>
      <c r="E7395" t="s">
        <v>11095</v>
      </c>
      <c r="F7395" t="s">
        <v>144</v>
      </c>
      <c r="G7395" t="s">
        <v>88</v>
      </c>
      <c r="J7395" t="b">
        <v>1</v>
      </c>
      <c r="K7395" t="b">
        <v>1</v>
      </c>
      <c r="L7395" t="b">
        <v>1</v>
      </c>
      <c r="M7395" t="str">
        <f>HYPERLINK("https://arizona.app.box.com/file/389171001851")</f>
        <v>https://arizona.app.box.com/file/389171001851</v>
      </c>
      <c r="N7395" t="str">
        <f>HYPERLINK("https://arizona.app.box.com/file/386238539391")</f>
        <v>https://arizona.app.box.com/file/386238539391</v>
      </c>
    </row>
    <row r="7396" spans="1:25" x14ac:dyDescent="0.2">
      <c r="A7396">
        <v>4174</v>
      </c>
      <c r="B7396" t="s">
        <v>11091</v>
      </c>
      <c r="C7396" t="s">
        <v>18</v>
      </c>
      <c r="D7396" t="s">
        <v>11096</v>
      </c>
      <c r="E7396" t="s">
        <v>7695</v>
      </c>
      <c r="F7396" t="s">
        <v>144</v>
      </c>
      <c r="G7396" t="s">
        <v>88</v>
      </c>
      <c r="J7396" t="b">
        <v>1</v>
      </c>
      <c r="K7396" t="b">
        <v>1</v>
      </c>
      <c r="L7396" t="b">
        <v>1</v>
      </c>
      <c r="M7396" t="str">
        <f>HYPERLINK("https://arizona.app.box.com/file/389166834067")</f>
        <v>https://arizona.app.box.com/file/389166834067</v>
      </c>
      <c r="N7396" t="str">
        <f>HYPERLINK("https://arizona.app.box.com/file/386216372505")</f>
        <v>https://arizona.app.box.com/file/386216372505</v>
      </c>
    </row>
    <row r="7397" spans="1:25" x14ac:dyDescent="0.2">
      <c r="A7397">
        <v>4175</v>
      </c>
      <c r="B7397" t="s">
        <v>11091</v>
      </c>
      <c r="C7397" t="s">
        <v>18</v>
      </c>
      <c r="D7397" t="s">
        <v>11097</v>
      </c>
      <c r="E7397" t="s">
        <v>11098</v>
      </c>
      <c r="F7397" t="s">
        <v>23</v>
      </c>
      <c r="G7397" t="s">
        <v>88</v>
      </c>
      <c r="J7397" t="b">
        <v>0</v>
      </c>
      <c r="K7397" t="b">
        <v>0</v>
      </c>
      <c r="L7397" t="b">
        <v>0</v>
      </c>
      <c r="M7397" t="str">
        <f>HYPERLINK("https://arizona.app.box.com/file/389257799645")</f>
        <v>https://arizona.app.box.com/file/389257799645</v>
      </c>
      <c r="N7397" t="str">
        <f>HYPERLINK("https://arizona.app.box.com/file/389160750200")</f>
        <v>https://arizona.app.box.com/file/389160750200</v>
      </c>
    </row>
    <row r="7398" spans="1:25" x14ac:dyDescent="0.2">
      <c r="A7398">
        <v>4176</v>
      </c>
      <c r="B7398" t="s">
        <v>11091</v>
      </c>
      <c r="C7398" t="s">
        <v>18</v>
      </c>
      <c r="D7398" t="s">
        <v>3596</v>
      </c>
      <c r="E7398" t="s">
        <v>3597</v>
      </c>
      <c r="F7398" t="s">
        <v>148</v>
      </c>
      <c r="G7398" t="s">
        <v>88</v>
      </c>
      <c r="J7398" t="b">
        <v>0</v>
      </c>
      <c r="K7398" t="b">
        <v>0</v>
      </c>
      <c r="L7398" t="b">
        <v>0</v>
      </c>
      <c r="M7398" t="str">
        <f>HYPERLINK("https://arizona.app.box.com/file/389176085234")</f>
        <v>https://arizona.app.box.com/file/389176085234</v>
      </c>
    </row>
    <row r="7399" spans="1:25" x14ac:dyDescent="0.2">
      <c r="A7399">
        <v>4177</v>
      </c>
      <c r="B7399" t="s">
        <v>11091</v>
      </c>
      <c r="C7399" t="s">
        <v>18</v>
      </c>
      <c r="D7399" t="s">
        <v>11099</v>
      </c>
      <c r="E7399" t="s">
        <v>8285</v>
      </c>
      <c r="F7399" t="s">
        <v>23</v>
      </c>
      <c r="G7399" t="s">
        <v>88</v>
      </c>
      <c r="J7399" t="b">
        <v>0</v>
      </c>
      <c r="K7399" t="b">
        <v>0</v>
      </c>
      <c r="L7399" t="b">
        <v>0</v>
      </c>
      <c r="M7399" t="str">
        <f>HYPERLINK("https://arizona.app.box.com/file/389172169969")</f>
        <v>https://arizona.app.box.com/file/389172169969</v>
      </c>
      <c r="N7399" t="str">
        <f>HYPERLINK("https://arizona.app.box.com/file/386216437930")</f>
        <v>https://arizona.app.box.com/file/386216437930</v>
      </c>
    </row>
    <row r="7401" spans="1:25" x14ac:dyDescent="0.2">
      <c r="A7401" s="2">
        <v>4179</v>
      </c>
      <c r="B7401" s="2" t="s">
        <v>11100</v>
      </c>
      <c r="C7401" s="2" t="s">
        <v>13</v>
      </c>
      <c r="D7401" s="2" t="s">
        <v>11101</v>
      </c>
      <c r="E7401" s="2" t="s">
        <v>11102</v>
      </c>
      <c r="F7401" s="2" t="s">
        <v>1938</v>
      </c>
      <c r="G7401" s="2" t="s">
        <v>280</v>
      </c>
      <c r="H7401" s="2"/>
      <c r="I7401" s="2"/>
      <c r="J7401" s="2"/>
      <c r="K7401" s="2"/>
      <c r="L7401" s="2"/>
      <c r="M7401" s="2"/>
      <c r="N7401" s="2"/>
      <c r="O7401" s="2"/>
      <c r="P7401" s="2"/>
      <c r="Q7401" s="2"/>
      <c r="R7401" s="2"/>
      <c r="S7401" s="2"/>
      <c r="T7401" s="2"/>
      <c r="U7401" s="2"/>
      <c r="V7401" s="2"/>
      <c r="W7401" s="2"/>
      <c r="X7401" s="2"/>
      <c r="Y7401" s="2"/>
    </row>
    <row r="7402" spans="1:25" x14ac:dyDescent="0.2">
      <c r="A7402">
        <v>4180</v>
      </c>
      <c r="B7402" t="s">
        <v>11100</v>
      </c>
      <c r="C7402" t="s">
        <v>18</v>
      </c>
      <c r="D7402" t="s">
        <v>11101</v>
      </c>
      <c r="E7402" t="s">
        <v>11102</v>
      </c>
      <c r="F7402" t="s">
        <v>1938</v>
      </c>
      <c r="G7402" t="s">
        <v>280</v>
      </c>
      <c r="J7402" t="b">
        <v>1</v>
      </c>
      <c r="K7402" t="b">
        <v>1</v>
      </c>
      <c r="L7402" t="b">
        <v>1</v>
      </c>
      <c r="M7402" t="str">
        <f>HYPERLINK("https://arizona.app.box.com/file/389153276667")</f>
        <v>https://arizona.app.box.com/file/389153276667</v>
      </c>
      <c r="N7402" t="str">
        <f>HYPERLINK("https://arizona.app.box.com/file/389156418268")</f>
        <v>https://arizona.app.box.com/file/389156418268</v>
      </c>
    </row>
    <row r="7403" spans="1:25" x14ac:dyDescent="0.2">
      <c r="A7403">
        <v>4181</v>
      </c>
      <c r="B7403" t="s">
        <v>11100</v>
      </c>
      <c r="C7403" t="s">
        <v>18</v>
      </c>
      <c r="D7403" t="s">
        <v>5716</v>
      </c>
      <c r="E7403" t="s">
        <v>5717</v>
      </c>
      <c r="F7403" t="s">
        <v>1938</v>
      </c>
      <c r="G7403" t="s">
        <v>280</v>
      </c>
      <c r="J7403" t="b">
        <v>0</v>
      </c>
      <c r="K7403" t="b">
        <v>0</v>
      </c>
      <c r="L7403" t="b">
        <v>0</v>
      </c>
      <c r="M7403" t="str">
        <f>HYPERLINK("https://arizona.app.box.com/file/389257218042")</f>
        <v>https://arizona.app.box.com/file/389257218042</v>
      </c>
      <c r="N7403" t="str">
        <f>HYPERLINK("https://arizona.app.box.com/file/389154878474")</f>
        <v>https://arizona.app.box.com/file/389154878474</v>
      </c>
    </row>
    <row r="7404" spans="1:25" x14ac:dyDescent="0.2">
      <c r="A7404">
        <v>4182</v>
      </c>
      <c r="B7404" t="s">
        <v>11100</v>
      </c>
      <c r="C7404" t="s">
        <v>18</v>
      </c>
      <c r="D7404" t="s">
        <v>5857</v>
      </c>
      <c r="E7404" t="s">
        <v>5858</v>
      </c>
      <c r="F7404" t="s">
        <v>151</v>
      </c>
      <c r="G7404" t="s">
        <v>280</v>
      </c>
      <c r="J7404" t="b">
        <v>0</v>
      </c>
      <c r="K7404" t="b">
        <v>0</v>
      </c>
      <c r="L7404" t="b">
        <v>0</v>
      </c>
      <c r="M7404" t="str">
        <f>HYPERLINK("https://arizona.app.box.com/file/389264963906")</f>
        <v>https://arizona.app.box.com/file/389264963906</v>
      </c>
      <c r="N7404" t="str">
        <f>HYPERLINK("https://arizona.app.box.com/file/389154297895")</f>
        <v>https://arizona.app.box.com/file/389154297895</v>
      </c>
      <c r="O7404" t="str">
        <f>HYPERLINK("https://arizona.app.box.com/file/389169789396")</f>
        <v>https://arizona.app.box.com/file/389169789396</v>
      </c>
      <c r="P7404" t="str">
        <f>HYPERLINK("https://arizona.app.box.com/file/386214029321")</f>
        <v>https://arizona.app.box.com/file/386214029321</v>
      </c>
    </row>
    <row r="7405" spans="1:25" x14ac:dyDescent="0.2">
      <c r="A7405">
        <v>4183</v>
      </c>
      <c r="B7405" t="s">
        <v>11100</v>
      </c>
      <c r="C7405" t="s">
        <v>18</v>
      </c>
      <c r="D7405" t="s">
        <v>4335</v>
      </c>
      <c r="E7405" t="s">
        <v>4336</v>
      </c>
      <c r="F7405" t="s">
        <v>4337</v>
      </c>
      <c r="G7405" t="s">
        <v>279</v>
      </c>
      <c r="J7405" t="b">
        <v>0</v>
      </c>
      <c r="K7405" t="b">
        <v>0</v>
      </c>
      <c r="L7405" t="b">
        <v>0</v>
      </c>
      <c r="M7405" t="str">
        <f>HYPERLINK("https://arizona.app.box.com/file/389264268119")</f>
        <v>https://arizona.app.box.com/file/389264268119</v>
      </c>
      <c r="N7405" t="str">
        <f>HYPERLINK("https://arizona.app.box.com/file/389172457982")</f>
        <v>https://arizona.app.box.com/file/389172457982</v>
      </c>
    </row>
    <row r="7406" spans="1:25" x14ac:dyDescent="0.2">
      <c r="A7406">
        <v>4184</v>
      </c>
      <c r="B7406" t="s">
        <v>11100</v>
      </c>
      <c r="C7406" t="s">
        <v>18</v>
      </c>
      <c r="D7406" t="s">
        <v>5720</v>
      </c>
      <c r="E7406" t="s">
        <v>5721</v>
      </c>
      <c r="F7406" t="s">
        <v>1938</v>
      </c>
      <c r="G7406" t="s">
        <v>280</v>
      </c>
      <c r="J7406" t="b">
        <v>0</v>
      </c>
      <c r="K7406" t="b">
        <v>0</v>
      </c>
      <c r="L7406" t="b">
        <v>0</v>
      </c>
      <c r="M7406" t="str">
        <f>HYPERLINK("https://arizona.app.box.com/file/389169817360")</f>
        <v>https://arizona.app.box.com/file/389169817360</v>
      </c>
      <c r="N7406" t="str">
        <f>HYPERLINK("https://arizona.app.box.com/file/386239104072")</f>
        <v>https://arizona.app.box.com/file/386239104072</v>
      </c>
    </row>
    <row r="7408" spans="1:25" x14ac:dyDescent="0.2">
      <c r="A7408" s="2">
        <v>4207</v>
      </c>
      <c r="B7408" s="2" t="s">
        <v>11103</v>
      </c>
      <c r="C7408" s="2" t="s">
        <v>13</v>
      </c>
      <c r="D7408" s="2" t="s">
        <v>281</v>
      </c>
      <c r="E7408" s="2" t="s">
        <v>11104</v>
      </c>
      <c r="F7408" s="2" t="s">
        <v>78</v>
      </c>
      <c r="G7408" s="2" t="s">
        <v>279</v>
      </c>
      <c r="H7408" s="2"/>
      <c r="I7408" s="2"/>
      <c r="J7408" s="2"/>
      <c r="K7408" s="2"/>
      <c r="L7408" s="2"/>
      <c r="M7408" s="2"/>
      <c r="N7408" s="2"/>
      <c r="O7408" s="2"/>
      <c r="P7408" s="2"/>
      <c r="Q7408" s="2"/>
      <c r="R7408" s="2"/>
      <c r="S7408" s="2"/>
      <c r="T7408" s="2"/>
      <c r="U7408" s="2"/>
      <c r="V7408" s="2"/>
      <c r="W7408" s="2"/>
      <c r="X7408" s="2"/>
      <c r="Y7408" s="2"/>
    </row>
    <row r="7409" spans="1:25" x14ac:dyDescent="0.2">
      <c r="A7409">
        <v>4208</v>
      </c>
      <c r="B7409" t="s">
        <v>11103</v>
      </c>
      <c r="C7409" t="s">
        <v>18</v>
      </c>
      <c r="D7409" t="s">
        <v>281</v>
      </c>
      <c r="E7409" t="s">
        <v>282</v>
      </c>
      <c r="F7409" t="s">
        <v>78</v>
      </c>
      <c r="G7409" t="s">
        <v>280</v>
      </c>
      <c r="J7409" t="b">
        <v>1</v>
      </c>
      <c r="K7409" t="b">
        <v>1</v>
      </c>
      <c r="L7409" t="b">
        <v>1</v>
      </c>
      <c r="M7409" t="str">
        <f>HYPERLINK("https://arizona.app.box.com/file/389168840849")</f>
        <v>https://arizona.app.box.com/file/389168840849</v>
      </c>
    </row>
    <row r="7410" spans="1:25" x14ac:dyDescent="0.2">
      <c r="A7410">
        <v>4209</v>
      </c>
      <c r="B7410" t="s">
        <v>11103</v>
      </c>
      <c r="C7410" t="s">
        <v>18</v>
      </c>
      <c r="D7410" t="s">
        <v>283</v>
      </c>
      <c r="E7410" t="s">
        <v>284</v>
      </c>
      <c r="F7410" t="s">
        <v>78</v>
      </c>
      <c r="G7410" t="s">
        <v>280</v>
      </c>
      <c r="J7410" t="b">
        <v>1</v>
      </c>
      <c r="K7410" t="b">
        <v>1</v>
      </c>
      <c r="L7410" t="b">
        <v>1</v>
      </c>
      <c r="M7410" t="str">
        <f>HYPERLINK("https://arizona.app.box.com/file/389171860498")</f>
        <v>https://arizona.app.box.com/file/389171860498</v>
      </c>
    </row>
    <row r="7411" spans="1:25" x14ac:dyDescent="0.2">
      <c r="A7411">
        <v>4210</v>
      </c>
      <c r="B7411" t="s">
        <v>11103</v>
      </c>
      <c r="C7411" t="s">
        <v>18</v>
      </c>
      <c r="D7411" t="s">
        <v>277</v>
      </c>
      <c r="E7411" t="s">
        <v>278</v>
      </c>
      <c r="F7411" t="s">
        <v>78</v>
      </c>
      <c r="G7411" t="s">
        <v>280</v>
      </c>
      <c r="J7411" t="b">
        <v>0</v>
      </c>
      <c r="K7411" t="b">
        <v>0</v>
      </c>
      <c r="L7411" t="b">
        <v>0</v>
      </c>
      <c r="M7411" t="str">
        <f>HYPERLINK("https://arizona.app.box.com/file/389138902828")</f>
        <v>https://arizona.app.box.com/file/389138902828</v>
      </c>
      <c r="N7411" t="str">
        <f>HYPERLINK("https://arizona.app.box.com/file/389162879456")</f>
        <v>https://arizona.app.box.com/file/389162879456</v>
      </c>
    </row>
    <row r="7412" spans="1:25" x14ac:dyDescent="0.2">
      <c r="A7412">
        <v>4211</v>
      </c>
      <c r="B7412" t="s">
        <v>11103</v>
      </c>
      <c r="C7412" t="s">
        <v>18</v>
      </c>
      <c r="D7412" t="s">
        <v>285</v>
      </c>
      <c r="E7412" t="s">
        <v>286</v>
      </c>
      <c r="F7412" t="s">
        <v>78</v>
      </c>
      <c r="G7412" t="s">
        <v>280</v>
      </c>
      <c r="J7412" t="b">
        <v>0</v>
      </c>
      <c r="K7412" t="b">
        <v>0</v>
      </c>
      <c r="L7412" t="b">
        <v>0</v>
      </c>
      <c r="M7412" t="str">
        <f>HYPERLINK("https://arizona.app.box.com/file/389171455219")</f>
        <v>https://arizona.app.box.com/file/389171455219</v>
      </c>
      <c r="N7412" t="str">
        <f>HYPERLINK("https://arizona.app.box.com/file/389171733298")</f>
        <v>https://arizona.app.box.com/file/389171733298</v>
      </c>
    </row>
    <row r="7413" spans="1:25" x14ac:dyDescent="0.2">
      <c r="A7413">
        <v>4212</v>
      </c>
      <c r="B7413" t="s">
        <v>11103</v>
      </c>
      <c r="C7413" t="s">
        <v>18</v>
      </c>
      <c r="D7413" t="s">
        <v>287</v>
      </c>
      <c r="E7413" t="s">
        <v>288</v>
      </c>
      <c r="F7413" t="s">
        <v>78</v>
      </c>
      <c r="G7413" t="s">
        <v>279</v>
      </c>
      <c r="J7413" t="b">
        <v>0</v>
      </c>
      <c r="K7413" t="b">
        <v>0</v>
      </c>
      <c r="L7413" t="b">
        <v>0</v>
      </c>
    </row>
    <row r="7415" spans="1:25" x14ac:dyDescent="0.2">
      <c r="A7415" s="2">
        <v>4214</v>
      </c>
      <c r="B7415" s="2" t="s">
        <v>11105</v>
      </c>
      <c r="C7415" s="2" t="s">
        <v>13</v>
      </c>
      <c r="D7415" s="2" t="s">
        <v>5885</v>
      </c>
      <c r="E7415" s="2" t="s">
        <v>5886</v>
      </c>
      <c r="F7415" s="2" t="s">
        <v>174</v>
      </c>
      <c r="G7415" s="2" t="s">
        <v>17</v>
      </c>
      <c r="H7415" s="2"/>
      <c r="I7415" s="2"/>
      <c r="J7415" s="2"/>
      <c r="K7415" s="2"/>
      <c r="L7415" s="2"/>
      <c r="M7415" s="2"/>
      <c r="N7415" s="2"/>
      <c r="O7415" s="2"/>
      <c r="P7415" s="2"/>
      <c r="Q7415" s="2"/>
      <c r="R7415" s="2"/>
      <c r="S7415" s="2"/>
      <c r="T7415" s="2"/>
      <c r="U7415" s="2"/>
      <c r="V7415" s="2"/>
      <c r="W7415" s="2"/>
      <c r="X7415" s="2"/>
      <c r="Y7415" s="2"/>
    </row>
    <row r="7416" spans="1:25" x14ac:dyDescent="0.2">
      <c r="A7416">
        <v>4215</v>
      </c>
      <c r="B7416" t="s">
        <v>11105</v>
      </c>
      <c r="C7416" t="s">
        <v>18</v>
      </c>
      <c r="D7416" t="s">
        <v>5885</v>
      </c>
      <c r="E7416" t="s">
        <v>5886</v>
      </c>
      <c r="F7416" t="s">
        <v>174</v>
      </c>
      <c r="G7416" t="s">
        <v>17</v>
      </c>
      <c r="J7416" t="b">
        <v>1</v>
      </c>
      <c r="K7416" t="b">
        <v>1</v>
      </c>
      <c r="L7416" t="b">
        <v>1</v>
      </c>
      <c r="M7416" t="str">
        <f>HYPERLINK("https://arizona.app.box.com/file/389165026334")</f>
        <v>https://arizona.app.box.com/file/389165026334</v>
      </c>
      <c r="N7416" t="str">
        <f>HYPERLINK("https://arizona.app.box.com/file/389162434786")</f>
        <v>https://arizona.app.box.com/file/389162434786</v>
      </c>
    </row>
    <row r="7417" spans="1:25" x14ac:dyDescent="0.2">
      <c r="A7417">
        <v>4216</v>
      </c>
      <c r="B7417" t="s">
        <v>11105</v>
      </c>
      <c r="C7417" t="s">
        <v>18</v>
      </c>
      <c r="D7417" t="s">
        <v>5881</v>
      </c>
      <c r="E7417" t="s">
        <v>5882</v>
      </c>
      <c r="F7417" t="s">
        <v>174</v>
      </c>
      <c r="G7417" t="s">
        <v>17</v>
      </c>
      <c r="J7417" t="b">
        <v>0</v>
      </c>
      <c r="K7417" t="b">
        <v>0</v>
      </c>
      <c r="L7417" t="b">
        <v>0</v>
      </c>
      <c r="M7417" t="str">
        <f>HYPERLINK("https://arizona.app.box.com/file/389137776208")</f>
        <v>https://arizona.app.box.com/file/389137776208</v>
      </c>
      <c r="N7417" t="str">
        <f>HYPERLINK("https://arizona.app.box.com/file/389161632359")</f>
        <v>https://arizona.app.box.com/file/389161632359</v>
      </c>
    </row>
    <row r="7418" spans="1:25" x14ac:dyDescent="0.2">
      <c r="A7418">
        <v>4217</v>
      </c>
      <c r="B7418" t="s">
        <v>11105</v>
      </c>
      <c r="C7418" t="s">
        <v>18</v>
      </c>
      <c r="D7418" t="s">
        <v>5877</v>
      </c>
      <c r="E7418" t="s">
        <v>5878</v>
      </c>
      <c r="F7418" t="s">
        <v>174</v>
      </c>
      <c r="G7418" t="s">
        <v>17</v>
      </c>
      <c r="J7418" t="b">
        <v>0</v>
      </c>
      <c r="K7418" t="b">
        <v>0</v>
      </c>
      <c r="L7418" t="b">
        <v>0</v>
      </c>
      <c r="M7418" t="str">
        <f>HYPERLINK("https://arizona.app.box.com/file/389164756385")</f>
        <v>https://arizona.app.box.com/file/389164756385</v>
      </c>
      <c r="N7418" t="str">
        <f>HYPERLINK("https://arizona.app.box.com/file/389162648964")</f>
        <v>https://arizona.app.box.com/file/389162648964</v>
      </c>
    </row>
    <row r="7419" spans="1:25" x14ac:dyDescent="0.2">
      <c r="A7419">
        <v>4218</v>
      </c>
      <c r="B7419" t="s">
        <v>11105</v>
      </c>
      <c r="C7419" t="s">
        <v>18</v>
      </c>
      <c r="D7419" t="s">
        <v>8424</v>
      </c>
      <c r="E7419" t="s">
        <v>517</v>
      </c>
      <c r="F7419" t="s">
        <v>174</v>
      </c>
      <c r="G7419" t="s">
        <v>17</v>
      </c>
      <c r="J7419" t="b">
        <v>0</v>
      </c>
      <c r="K7419" t="b">
        <v>0</v>
      </c>
      <c r="L7419" t="b">
        <v>0</v>
      </c>
      <c r="M7419" t="str">
        <f>HYPERLINK("https://arizona.app.box.com/file/389151324325")</f>
        <v>https://arizona.app.box.com/file/389151324325</v>
      </c>
    </row>
    <row r="7420" spans="1:25" x14ac:dyDescent="0.2">
      <c r="A7420">
        <v>4219</v>
      </c>
      <c r="B7420" t="s">
        <v>11105</v>
      </c>
      <c r="C7420" t="s">
        <v>18</v>
      </c>
      <c r="D7420" t="s">
        <v>4578</v>
      </c>
      <c r="E7420" t="s">
        <v>4579</v>
      </c>
      <c r="F7420" t="s">
        <v>174</v>
      </c>
      <c r="G7420" t="s">
        <v>17</v>
      </c>
      <c r="J7420" t="b">
        <v>0</v>
      </c>
      <c r="K7420" t="b">
        <v>0</v>
      </c>
      <c r="L7420" t="b">
        <v>0</v>
      </c>
      <c r="M7420" t="str">
        <f>HYPERLINK("https://arizona.app.box.com/file/389151654031")</f>
        <v>https://arizona.app.box.com/file/389151654031</v>
      </c>
      <c r="N7420" t="str">
        <f>HYPERLINK("https://arizona.app.box.com/file/389151888808")</f>
        <v>https://arizona.app.box.com/file/389151888808</v>
      </c>
    </row>
    <row r="7422" spans="1:25" x14ac:dyDescent="0.2">
      <c r="A7422" s="2">
        <v>4221</v>
      </c>
      <c r="B7422" s="2" t="s">
        <v>11106</v>
      </c>
      <c r="C7422" s="2" t="s">
        <v>13</v>
      </c>
      <c r="D7422" s="2" t="s">
        <v>11107</v>
      </c>
      <c r="E7422" s="2" t="s">
        <v>11108</v>
      </c>
      <c r="F7422" s="2" t="s">
        <v>1010</v>
      </c>
      <c r="G7422" s="2" t="s">
        <v>345</v>
      </c>
      <c r="H7422" s="2"/>
      <c r="I7422" s="2"/>
      <c r="J7422" s="2"/>
      <c r="K7422" s="2"/>
      <c r="L7422" s="2"/>
      <c r="M7422" s="2"/>
      <c r="N7422" s="2"/>
      <c r="O7422" s="2"/>
      <c r="P7422" s="2"/>
      <c r="Q7422" s="2"/>
      <c r="R7422" s="2"/>
      <c r="S7422" s="2"/>
      <c r="T7422" s="2"/>
      <c r="U7422" s="2"/>
      <c r="V7422" s="2"/>
      <c r="W7422" s="2"/>
      <c r="X7422" s="2"/>
      <c r="Y7422" s="2"/>
    </row>
    <row r="7423" spans="1:25" x14ac:dyDescent="0.2">
      <c r="A7423">
        <v>4222</v>
      </c>
      <c r="B7423" t="s">
        <v>11106</v>
      </c>
      <c r="C7423" t="s">
        <v>18</v>
      </c>
      <c r="D7423" t="s">
        <v>11109</v>
      </c>
      <c r="E7423" t="s">
        <v>384</v>
      </c>
      <c r="F7423" t="s">
        <v>1010</v>
      </c>
      <c r="G7423" t="s">
        <v>345</v>
      </c>
      <c r="J7423" t="b">
        <v>1</v>
      </c>
      <c r="K7423" t="b">
        <v>1</v>
      </c>
      <c r="L7423" t="b">
        <v>1</v>
      </c>
      <c r="M7423" t="str">
        <f>HYPERLINK("https://arizona.app.box.com/file/389257372236")</f>
        <v>https://arizona.app.box.com/file/389257372236</v>
      </c>
      <c r="N7423" t="str">
        <f>HYPERLINK("https://arizona.app.box.com/file/389171717197")</f>
        <v>https://arizona.app.box.com/file/389171717197</v>
      </c>
    </row>
    <row r="7424" spans="1:25" x14ac:dyDescent="0.2">
      <c r="A7424">
        <v>4223</v>
      </c>
      <c r="B7424" t="s">
        <v>11106</v>
      </c>
      <c r="C7424" t="s">
        <v>18</v>
      </c>
      <c r="D7424" t="s">
        <v>2133</v>
      </c>
      <c r="E7424" t="s">
        <v>701</v>
      </c>
      <c r="F7424" t="s">
        <v>1010</v>
      </c>
      <c r="G7424" t="s">
        <v>345</v>
      </c>
      <c r="J7424" t="b">
        <v>1</v>
      </c>
      <c r="K7424" t="b">
        <v>1</v>
      </c>
      <c r="L7424" t="b">
        <v>1</v>
      </c>
      <c r="M7424" t="str">
        <f>HYPERLINK("https://arizona.app.box.com/file/389263370155")</f>
        <v>https://arizona.app.box.com/file/389263370155</v>
      </c>
      <c r="N7424" t="str">
        <f>HYPERLINK("https://arizona.app.box.com/file/389161143061")</f>
        <v>https://arizona.app.box.com/file/389161143061</v>
      </c>
    </row>
    <row r="7425" spans="1:25" x14ac:dyDescent="0.2">
      <c r="A7425">
        <v>4224</v>
      </c>
      <c r="B7425" t="s">
        <v>11106</v>
      </c>
      <c r="C7425" t="s">
        <v>18</v>
      </c>
      <c r="D7425" t="s">
        <v>11110</v>
      </c>
      <c r="E7425" t="s">
        <v>11111</v>
      </c>
      <c r="F7425" t="s">
        <v>174</v>
      </c>
      <c r="G7425" t="s">
        <v>345</v>
      </c>
      <c r="J7425" t="b">
        <v>0</v>
      </c>
      <c r="K7425" t="b">
        <v>0</v>
      </c>
      <c r="L7425" t="b">
        <v>0</v>
      </c>
      <c r="M7425" t="str">
        <f>HYPERLINK("https://arizona.app.box.com/file/386217715184")</f>
        <v>https://arizona.app.box.com/file/386217715184</v>
      </c>
      <c r="N7425" t="str">
        <f>HYPERLINK("https://arizona.app.box.com/file/386217520832")</f>
        <v>https://arizona.app.box.com/file/386217520832</v>
      </c>
    </row>
    <row r="7426" spans="1:25" x14ac:dyDescent="0.2">
      <c r="A7426">
        <v>4225</v>
      </c>
      <c r="B7426" t="s">
        <v>11106</v>
      </c>
      <c r="C7426" t="s">
        <v>18</v>
      </c>
      <c r="D7426" t="s">
        <v>8706</v>
      </c>
      <c r="E7426" t="s">
        <v>8707</v>
      </c>
      <c r="F7426" t="s">
        <v>144</v>
      </c>
      <c r="G7426" t="s">
        <v>345</v>
      </c>
      <c r="J7426" t="b">
        <v>0</v>
      </c>
      <c r="K7426" t="b">
        <v>0</v>
      </c>
      <c r="L7426" t="b">
        <v>0</v>
      </c>
      <c r="M7426" t="str">
        <f>HYPERLINK("https://arizona.app.box.com/file/386239816235")</f>
        <v>https://arizona.app.box.com/file/386239816235</v>
      </c>
      <c r="N7426" t="str">
        <f>HYPERLINK("https://arizona.app.box.com/file/386238487503")</f>
        <v>https://arizona.app.box.com/file/386238487503</v>
      </c>
    </row>
    <row r="7427" spans="1:25" x14ac:dyDescent="0.2">
      <c r="A7427">
        <v>4226</v>
      </c>
      <c r="B7427" t="s">
        <v>11106</v>
      </c>
      <c r="C7427" t="s">
        <v>18</v>
      </c>
      <c r="D7427" t="s">
        <v>8708</v>
      </c>
      <c r="E7427" t="s">
        <v>8709</v>
      </c>
      <c r="F7427" t="s">
        <v>23</v>
      </c>
      <c r="G7427" t="s">
        <v>345</v>
      </c>
      <c r="J7427" t="b">
        <v>0</v>
      </c>
      <c r="K7427" t="b">
        <v>0</v>
      </c>
      <c r="L7427" t="b">
        <v>0</v>
      </c>
    </row>
    <row r="7429" spans="1:25" x14ac:dyDescent="0.2">
      <c r="A7429" s="2">
        <v>4235</v>
      </c>
      <c r="B7429" s="2" t="s">
        <v>11112</v>
      </c>
      <c r="C7429" s="2" t="s">
        <v>13</v>
      </c>
      <c r="D7429" s="2" t="s">
        <v>11113</v>
      </c>
      <c r="E7429" s="2" t="s">
        <v>11114</v>
      </c>
      <c r="F7429" s="2" t="s">
        <v>78</v>
      </c>
      <c r="G7429" s="2" t="s">
        <v>17</v>
      </c>
      <c r="H7429" s="2"/>
      <c r="I7429" s="2"/>
      <c r="J7429" s="2"/>
      <c r="K7429" s="2"/>
      <c r="L7429" s="2"/>
      <c r="M7429" s="2"/>
      <c r="N7429" s="2"/>
      <c r="O7429" s="2"/>
      <c r="P7429" s="2"/>
      <c r="Q7429" s="2"/>
      <c r="R7429" s="2"/>
      <c r="S7429" s="2"/>
      <c r="T7429" s="2"/>
      <c r="U7429" s="2"/>
      <c r="V7429" s="2"/>
      <c r="W7429" s="2"/>
      <c r="X7429" s="2"/>
      <c r="Y7429" s="2"/>
    </row>
    <row r="7430" spans="1:25" x14ac:dyDescent="0.2">
      <c r="A7430">
        <v>4236</v>
      </c>
      <c r="B7430" t="s">
        <v>11112</v>
      </c>
      <c r="C7430" t="s">
        <v>18</v>
      </c>
      <c r="D7430" t="s">
        <v>11113</v>
      </c>
      <c r="E7430" t="s">
        <v>11114</v>
      </c>
      <c r="F7430" t="s">
        <v>78</v>
      </c>
      <c r="G7430" t="s">
        <v>17</v>
      </c>
      <c r="J7430" t="b">
        <v>1</v>
      </c>
      <c r="K7430" t="b">
        <v>1</v>
      </c>
      <c r="L7430" t="b">
        <v>1</v>
      </c>
      <c r="M7430" t="str">
        <f>HYPERLINK("https://arizona.app.box.com/file/389266593139")</f>
        <v>https://arizona.app.box.com/file/389266593139</v>
      </c>
      <c r="N7430" t="str">
        <f>HYPERLINK("https://arizona.app.box.com/file/389159292166")</f>
        <v>https://arizona.app.box.com/file/389159292166</v>
      </c>
      <c r="O7430" t="str">
        <f>HYPERLINK("https://arizona.app.box.com/file/389172347770")</f>
        <v>https://arizona.app.box.com/file/389172347770</v>
      </c>
    </row>
    <row r="7431" spans="1:25" x14ac:dyDescent="0.2">
      <c r="A7431">
        <v>4237</v>
      </c>
      <c r="B7431" t="s">
        <v>11112</v>
      </c>
      <c r="C7431" t="s">
        <v>18</v>
      </c>
      <c r="D7431" t="s">
        <v>900</v>
      </c>
      <c r="E7431" t="s">
        <v>901</v>
      </c>
      <c r="F7431" t="s">
        <v>369</v>
      </c>
      <c r="G7431" t="s">
        <v>17</v>
      </c>
      <c r="J7431" t="b">
        <v>0</v>
      </c>
      <c r="K7431" t="b">
        <v>0</v>
      </c>
      <c r="L7431" t="b">
        <v>0</v>
      </c>
    </row>
    <row r="7432" spans="1:25" x14ac:dyDescent="0.2">
      <c r="A7432">
        <v>4238</v>
      </c>
      <c r="B7432" t="s">
        <v>11112</v>
      </c>
      <c r="C7432" t="s">
        <v>18</v>
      </c>
      <c r="D7432" t="s">
        <v>11115</v>
      </c>
      <c r="E7432" t="s">
        <v>11116</v>
      </c>
      <c r="F7432" t="s">
        <v>78</v>
      </c>
      <c r="G7432" t="s">
        <v>17</v>
      </c>
      <c r="J7432" t="b">
        <v>0</v>
      </c>
      <c r="K7432" t="b">
        <v>0</v>
      </c>
      <c r="L7432" t="b">
        <v>0</v>
      </c>
    </row>
    <row r="7433" spans="1:25" x14ac:dyDescent="0.2">
      <c r="A7433">
        <v>4239</v>
      </c>
      <c r="B7433" t="s">
        <v>11112</v>
      </c>
      <c r="C7433" t="s">
        <v>18</v>
      </c>
      <c r="D7433" t="s">
        <v>11117</v>
      </c>
      <c r="E7433" t="s">
        <v>11118</v>
      </c>
      <c r="F7433" t="s">
        <v>174</v>
      </c>
      <c r="G7433" t="s">
        <v>17</v>
      </c>
      <c r="J7433" t="b">
        <v>0</v>
      </c>
      <c r="K7433" t="b">
        <v>0</v>
      </c>
      <c r="L7433" t="b">
        <v>0</v>
      </c>
    </row>
    <row r="7434" spans="1:25" x14ac:dyDescent="0.2">
      <c r="A7434">
        <v>4240</v>
      </c>
      <c r="B7434" t="s">
        <v>11112</v>
      </c>
      <c r="C7434" t="s">
        <v>18</v>
      </c>
      <c r="D7434" t="s">
        <v>11119</v>
      </c>
      <c r="E7434" t="s">
        <v>647</v>
      </c>
      <c r="F7434" t="s">
        <v>122</v>
      </c>
      <c r="G7434" t="s">
        <v>17</v>
      </c>
      <c r="J7434" t="b">
        <v>0</v>
      </c>
      <c r="K7434" t="b">
        <v>0</v>
      </c>
      <c r="L7434" t="b">
        <v>0</v>
      </c>
    </row>
    <row r="7436" spans="1:25" x14ac:dyDescent="0.2">
      <c r="A7436" s="2">
        <v>4249</v>
      </c>
      <c r="B7436" s="2" t="s">
        <v>11120</v>
      </c>
      <c r="C7436" s="2" t="s">
        <v>13</v>
      </c>
      <c r="D7436" s="2" t="s">
        <v>8605</v>
      </c>
      <c r="E7436" s="2" t="s">
        <v>8606</v>
      </c>
      <c r="F7436" s="2" t="s">
        <v>174</v>
      </c>
      <c r="G7436" s="2" t="s">
        <v>17</v>
      </c>
      <c r="H7436" s="2"/>
      <c r="I7436" s="2"/>
      <c r="J7436" s="2"/>
      <c r="K7436" s="2"/>
      <c r="L7436" s="2"/>
      <c r="M7436" s="2"/>
      <c r="N7436" s="2"/>
      <c r="O7436" s="2"/>
      <c r="P7436" s="2"/>
      <c r="Q7436" s="2"/>
      <c r="R7436" s="2"/>
      <c r="S7436" s="2"/>
      <c r="T7436" s="2"/>
      <c r="U7436" s="2"/>
      <c r="V7436" s="2"/>
      <c r="W7436" s="2"/>
      <c r="X7436" s="2"/>
      <c r="Y7436" s="2"/>
    </row>
    <row r="7437" spans="1:25" x14ac:dyDescent="0.2">
      <c r="A7437">
        <v>4250</v>
      </c>
      <c r="B7437" t="s">
        <v>11120</v>
      </c>
      <c r="C7437" t="s">
        <v>18</v>
      </c>
      <c r="D7437" t="s">
        <v>8605</v>
      </c>
      <c r="E7437" t="s">
        <v>8606</v>
      </c>
      <c r="F7437" t="s">
        <v>174</v>
      </c>
      <c r="G7437" t="s">
        <v>17</v>
      </c>
      <c r="J7437" t="b">
        <v>1</v>
      </c>
      <c r="K7437" t="b">
        <v>1</v>
      </c>
      <c r="L7437" t="b">
        <v>1</v>
      </c>
      <c r="M7437" t="str">
        <f>HYPERLINK("https://arizona.app.box.com/file/389260728425")</f>
        <v>https://arizona.app.box.com/file/389260728425</v>
      </c>
      <c r="N7437" t="str">
        <f>HYPERLINK("https://arizona.app.box.com/file/389152432339")</f>
        <v>https://arizona.app.box.com/file/389152432339</v>
      </c>
      <c r="O7437" t="str">
        <f>HYPERLINK("https://arizona.app.box.com/file/389266677299")</f>
        <v>https://arizona.app.box.com/file/389266677299</v>
      </c>
      <c r="P7437" t="str">
        <f>HYPERLINK("https://arizona.app.box.com/file/389164028467")</f>
        <v>https://arizona.app.box.com/file/389164028467</v>
      </c>
    </row>
    <row r="7438" spans="1:25" x14ac:dyDescent="0.2">
      <c r="A7438">
        <v>4251</v>
      </c>
      <c r="B7438" t="s">
        <v>11120</v>
      </c>
      <c r="C7438" t="s">
        <v>18</v>
      </c>
      <c r="D7438" t="s">
        <v>1368</v>
      </c>
      <c r="E7438" t="s">
        <v>1369</v>
      </c>
      <c r="F7438" t="s">
        <v>174</v>
      </c>
      <c r="G7438" t="s">
        <v>17</v>
      </c>
      <c r="J7438" t="b">
        <v>0</v>
      </c>
      <c r="K7438" t="b">
        <v>0</v>
      </c>
      <c r="L7438" t="b">
        <v>0</v>
      </c>
      <c r="M7438" t="str">
        <f>HYPERLINK("https://arizona.app.box.com/file/389259852256")</f>
        <v>https://arizona.app.box.com/file/389259852256</v>
      </c>
      <c r="N7438" t="str">
        <f>HYPERLINK("https://arizona.app.box.com/file/389151932186")</f>
        <v>https://arizona.app.box.com/file/389151932186</v>
      </c>
      <c r="O7438" t="str">
        <f>HYPERLINK("https://arizona.app.box.com/file/386241113911")</f>
        <v>https://arizona.app.box.com/file/386241113911</v>
      </c>
    </row>
    <row r="7439" spans="1:25" x14ac:dyDescent="0.2">
      <c r="A7439">
        <v>4252</v>
      </c>
      <c r="B7439" t="s">
        <v>11120</v>
      </c>
      <c r="C7439" t="s">
        <v>18</v>
      </c>
      <c r="D7439" t="s">
        <v>8603</v>
      </c>
      <c r="E7439" t="s">
        <v>8604</v>
      </c>
      <c r="F7439" t="s">
        <v>23</v>
      </c>
      <c r="G7439" t="s">
        <v>17</v>
      </c>
      <c r="J7439" t="b">
        <v>0</v>
      </c>
      <c r="K7439" t="b">
        <v>0</v>
      </c>
      <c r="L7439" t="b">
        <v>0</v>
      </c>
      <c r="M7439" t="str">
        <f>HYPERLINK("https://arizona.app.box.com/file/389174493431")</f>
        <v>https://arizona.app.box.com/file/389174493431</v>
      </c>
    </row>
    <row r="7440" spans="1:25" x14ac:dyDescent="0.2">
      <c r="A7440">
        <v>4253</v>
      </c>
      <c r="B7440" t="s">
        <v>11120</v>
      </c>
      <c r="C7440" t="s">
        <v>18</v>
      </c>
      <c r="D7440" t="s">
        <v>1707</v>
      </c>
      <c r="E7440" t="s">
        <v>1708</v>
      </c>
      <c r="F7440" t="s">
        <v>31</v>
      </c>
      <c r="G7440" t="s">
        <v>17</v>
      </c>
      <c r="J7440" t="b">
        <v>0</v>
      </c>
      <c r="K7440" t="b">
        <v>0</v>
      </c>
      <c r="L7440" t="b">
        <v>0</v>
      </c>
      <c r="M7440" t="str">
        <f>HYPERLINK("https://arizona.app.box.com/file/389163277516")</f>
        <v>https://arizona.app.box.com/file/389163277516</v>
      </c>
      <c r="N7440" t="str">
        <f>HYPERLINK("https://arizona.app.box.com/file/389151266838")</f>
        <v>https://arizona.app.box.com/file/389151266838</v>
      </c>
    </row>
    <row r="7441" spans="1:25" x14ac:dyDescent="0.2">
      <c r="A7441">
        <v>4254</v>
      </c>
      <c r="B7441" t="s">
        <v>11120</v>
      </c>
      <c r="C7441" t="s">
        <v>18</v>
      </c>
      <c r="D7441" t="s">
        <v>547</v>
      </c>
      <c r="E7441" t="s">
        <v>548</v>
      </c>
      <c r="F7441" t="s">
        <v>78</v>
      </c>
      <c r="G7441" t="s">
        <v>17</v>
      </c>
      <c r="J7441" t="b">
        <v>0</v>
      </c>
      <c r="K7441" t="b">
        <v>0</v>
      </c>
      <c r="L7441" t="b">
        <v>0</v>
      </c>
      <c r="M7441" t="str">
        <f>HYPERLINK("https://arizona.app.box.com/file/389267170499")</f>
        <v>https://arizona.app.box.com/file/389267170499</v>
      </c>
      <c r="N7441" t="str">
        <f>HYPERLINK("https://arizona.app.box.com/file/389265433672")</f>
        <v>https://arizona.app.box.com/file/389265433672</v>
      </c>
      <c r="O7441" t="str">
        <f>HYPERLINK("https://arizona.app.box.com/file/389152970720")</f>
        <v>https://arizona.app.box.com/file/389152970720</v>
      </c>
    </row>
    <row r="7443" spans="1:25" x14ac:dyDescent="0.2">
      <c r="A7443" s="2">
        <v>4256</v>
      </c>
      <c r="B7443" s="2" t="s">
        <v>11121</v>
      </c>
      <c r="C7443" s="2" t="s">
        <v>13</v>
      </c>
      <c r="D7443" s="2" t="s">
        <v>11122</v>
      </c>
      <c r="E7443" s="2" t="s">
        <v>11123</v>
      </c>
      <c r="F7443" s="2" t="s">
        <v>45</v>
      </c>
      <c r="G7443" s="2" t="s">
        <v>17</v>
      </c>
      <c r="H7443" s="2"/>
      <c r="I7443" s="2"/>
      <c r="J7443" s="2"/>
      <c r="K7443" s="2"/>
      <c r="L7443" s="2"/>
      <c r="M7443" s="2"/>
      <c r="N7443" s="2"/>
      <c r="O7443" s="2"/>
      <c r="P7443" s="2"/>
      <c r="Q7443" s="2"/>
      <c r="R7443" s="2"/>
      <c r="S7443" s="2"/>
      <c r="T7443" s="2"/>
      <c r="U7443" s="2"/>
      <c r="V7443" s="2"/>
      <c r="W7443" s="2"/>
      <c r="X7443" s="2"/>
      <c r="Y7443" s="2"/>
    </row>
    <row r="7444" spans="1:25" x14ac:dyDescent="0.2">
      <c r="A7444">
        <v>4257</v>
      </c>
      <c r="B7444" t="s">
        <v>11121</v>
      </c>
      <c r="C7444" t="s">
        <v>18</v>
      </c>
      <c r="D7444" t="s">
        <v>11122</v>
      </c>
      <c r="E7444" t="s">
        <v>11123</v>
      </c>
      <c r="F7444" t="s">
        <v>45</v>
      </c>
      <c r="G7444" t="s">
        <v>17</v>
      </c>
      <c r="J7444" t="b">
        <v>1</v>
      </c>
      <c r="K7444" t="b">
        <v>1</v>
      </c>
      <c r="L7444" t="b">
        <v>1</v>
      </c>
      <c r="M7444" t="str">
        <f>HYPERLINK("https://arizona.app.box.com/file/389161641975")</f>
        <v>https://arizona.app.box.com/file/389161641975</v>
      </c>
      <c r="N7444" t="str">
        <f>HYPERLINK("https://arizona.app.box.com/file/386241113911")</f>
        <v>https://arizona.app.box.com/file/386241113911</v>
      </c>
    </row>
    <row r="7445" spans="1:25" x14ac:dyDescent="0.2">
      <c r="A7445">
        <v>4258</v>
      </c>
      <c r="B7445" t="s">
        <v>11121</v>
      </c>
      <c r="C7445" t="s">
        <v>18</v>
      </c>
      <c r="D7445" t="s">
        <v>7361</v>
      </c>
      <c r="E7445" t="s">
        <v>7362</v>
      </c>
      <c r="F7445" t="s">
        <v>45</v>
      </c>
      <c r="G7445" t="s">
        <v>17</v>
      </c>
      <c r="J7445" t="b">
        <v>0</v>
      </c>
      <c r="K7445" t="b">
        <v>0</v>
      </c>
      <c r="L7445" t="b">
        <v>0</v>
      </c>
      <c r="M7445" t="str">
        <f>HYPERLINK("https://arizona.app.box.com/file/389161648143")</f>
        <v>https://arizona.app.box.com/file/389161648143</v>
      </c>
      <c r="N7445" t="str">
        <f>HYPERLINK("https://arizona.app.box.com/file/386241113911")</f>
        <v>https://arizona.app.box.com/file/386241113911</v>
      </c>
    </row>
    <row r="7446" spans="1:25" x14ac:dyDescent="0.2">
      <c r="A7446">
        <v>4259</v>
      </c>
      <c r="B7446" t="s">
        <v>11121</v>
      </c>
      <c r="C7446" t="s">
        <v>18</v>
      </c>
      <c r="D7446" t="s">
        <v>11124</v>
      </c>
      <c r="E7446" t="s">
        <v>11125</v>
      </c>
      <c r="F7446" t="s">
        <v>45</v>
      </c>
      <c r="G7446" t="s">
        <v>17</v>
      </c>
      <c r="J7446" t="b">
        <v>0</v>
      </c>
      <c r="K7446" t="b">
        <v>0</v>
      </c>
      <c r="L7446" t="b">
        <v>0</v>
      </c>
    </row>
    <row r="7447" spans="1:25" x14ac:dyDescent="0.2">
      <c r="A7447">
        <v>4260</v>
      </c>
      <c r="B7447" t="s">
        <v>11121</v>
      </c>
      <c r="C7447" t="s">
        <v>18</v>
      </c>
      <c r="D7447" t="s">
        <v>11126</v>
      </c>
      <c r="E7447" t="s">
        <v>10643</v>
      </c>
      <c r="F7447" t="s">
        <v>45</v>
      </c>
      <c r="G7447" t="s">
        <v>17</v>
      </c>
      <c r="J7447" t="b">
        <v>0</v>
      </c>
      <c r="K7447" t="b">
        <v>0</v>
      </c>
      <c r="L7447" t="b">
        <v>0</v>
      </c>
      <c r="M7447" t="str">
        <f>HYPERLINK("https://arizona.app.box.com/file/389163374443")</f>
        <v>https://arizona.app.box.com/file/389163374443</v>
      </c>
    </row>
    <row r="7448" spans="1:25" x14ac:dyDescent="0.2">
      <c r="A7448">
        <v>4261</v>
      </c>
      <c r="B7448" t="s">
        <v>11121</v>
      </c>
      <c r="C7448" t="s">
        <v>18</v>
      </c>
      <c r="D7448" t="s">
        <v>11048</v>
      </c>
      <c r="E7448" t="s">
        <v>1336</v>
      </c>
      <c r="F7448" t="s">
        <v>45</v>
      </c>
      <c r="G7448" t="s">
        <v>24</v>
      </c>
      <c r="J7448" t="b">
        <v>0</v>
      </c>
      <c r="K7448" t="b">
        <v>0</v>
      </c>
      <c r="L7448" t="b">
        <v>0</v>
      </c>
    </row>
    <row r="7450" spans="1:25" x14ac:dyDescent="0.2">
      <c r="A7450" s="2">
        <v>4263</v>
      </c>
      <c r="B7450" s="2" t="s">
        <v>11127</v>
      </c>
      <c r="C7450" s="2" t="s">
        <v>13</v>
      </c>
      <c r="D7450" s="2" t="s">
        <v>6232</v>
      </c>
      <c r="E7450" s="2" t="s">
        <v>11128</v>
      </c>
      <c r="F7450" s="2" t="s">
        <v>316</v>
      </c>
      <c r="G7450" s="2" t="s">
        <v>280</v>
      </c>
      <c r="H7450" s="2"/>
      <c r="I7450" s="2"/>
      <c r="J7450" s="2"/>
      <c r="K7450" s="2"/>
      <c r="L7450" s="2"/>
      <c r="M7450" s="2"/>
      <c r="N7450" s="2"/>
      <c r="O7450" s="2"/>
      <c r="P7450" s="2"/>
      <c r="Q7450" s="2"/>
      <c r="R7450" s="2"/>
      <c r="S7450" s="2"/>
      <c r="T7450" s="2"/>
      <c r="U7450" s="2"/>
      <c r="V7450" s="2"/>
      <c r="W7450" s="2"/>
      <c r="X7450" s="2"/>
      <c r="Y7450" s="2"/>
    </row>
    <row r="7451" spans="1:25" x14ac:dyDescent="0.2">
      <c r="A7451">
        <v>4264</v>
      </c>
      <c r="B7451" t="s">
        <v>11127</v>
      </c>
      <c r="C7451" t="s">
        <v>18</v>
      </c>
      <c r="D7451" t="s">
        <v>6232</v>
      </c>
      <c r="E7451" t="s">
        <v>5198</v>
      </c>
      <c r="F7451" t="s">
        <v>316</v>
      </c>
      <c r="G7451" t="s">
        <v>280</v>
      </c>
      <c r="J7451" t="b">
        <v>1</v>
      </c>
      <c r="K7451" t="b">
        <v>1</v>
      </c>
      <c r="L7451" t="b">
        <v>1</v>
      </c>
      <c r="M7451" t="str">
        <f>HYPERLINK("https://arizona.app.box.com/file/389264579939")</f>
        <v>https://arizona.app.box.com/file/389264579939</v>
      </c>
      <c r="N7451" t="str">
        <f>HYPERLINK("https://arizona.app.box.com/file/389162509134")</f>
        <v>https://arizona.app.box.com/file/389162509134</v>
      </c>
    </row>
    <row r="7452" spans="1:25" x14ac:dyDescent="0.2">
      <c r="A7452">
        <v>4265</v>
      </c>
      <c r="B7452" t="s">
        <v>11127</v>
      </c>
      <c r="C7452" t="s">
        <v>18</v>
      </c>
      <c r="D7452" t="s">
        <v>11129</v>
      </c>
      <c r="E7452" t="s">
        <v>379</v>
      </c>
      <c r="F7452" t="s">
        <v>316</v>
      </c>
      <c r="G7452" t="s">
        <v>280</v>
      </c>
      <c r="J7452" t="b">
        <v>1</v>
      </c>
      <c r="K7452" t="b">
        <v>1</v>
      </c>
      <c r="L7452" t="b">
        <v>1</v>
      </c>
      <c r="M7452" t="str">
        <f>HYPERLINK("https://arizona.app.box.com/file/389268038905")</f>
        <v>https://arizona.app.box.com/file/389268038905</v>
      </c>
    </row>
    <row r="7453" spans="1:25" x14ac:dyDescent="0.2">
      <c r="A7453">
        <v>4266</v>
      </c>
      <c r="B7453" t="s">
        <v>11127</v>
      </c>
      <c r="C7453" t="s">
        <v>18</v>
      </c>
      <c r="D7453" t="s">
        <v>11130</v>
      </c>
      <c r="E7453" t="s">
        <v>11131</v>
      </c>
      <c r="F7453" t="s">
        <v>316</v>
      </c>
      <c r="G7453" t="s">
        <v>11132</v>
      </c>
      <c r="J7453" t="b">
        <v>0</v>
      </c>
      <c r="K7453" t="b">
        <v>0</v>
      </c>
      <c r="L7453" t="b">
        <v>0</v>
      </c>
      <c r="M7453" t="str">
        <f>HYPERLINK("https://arizona.app.box.com/file/386231035960")</f>
        <v>https://arizona.app.box.com/file/386231035960</v>
      </c>
      <c r="N7453" t="str">
        <f>HYPERLINK("https://arizona.app.box.com/file/389166381178")</f>
        <v>https://arizona.app.box.com/file/389166381178</v>
      </c>
    </row>
    <row r="7454" spans="1:25" x14ac:dyDescent="0.2">
      <c r="A7454">
        <v>4267</v>
      </c>
      <c r="B7454" t="s">
        <v>11127</v>
      </c>
      <c r="C7454" t="s">
        <v>18</v>
      </c>
      <c r="D7454" t="s">
        <v>11133</v>
      </c>
      <c r="E7454" t="s">
        <v>11134</v>
      </c>
      <c r="F7454" t="s">
        <v>82</v>
      </c>
      <c r="G7454" t="s">
        <v>11135</v>
      </c>
      <c r="J7454" t="b">
        <v>0</v>
      </c>
      <c r="K7454" t="b">
        <v>0</v>
      </c>
      <c r="L7454" t="b">
        <v>0</v>
      </c>
    </row>
    <row r="7455" spans="1:25" x14ac:dyDescent="0.2">
      <c r="A7455">
        <v>4268</v>
      </c>
      <c r="B7455" t="s">
        <v>11127</v>
      </c>
      <c r="C7455" t="s">
        <v>18</v>
      </c>
      <c r="D7455" t="s">
        <v>11136</v>
      </c>
      <c r="E7455" t="s">
        <v>11137</v>
      </c>
      <c r="F7455" t="s">
        <v>205</v>
      </c>
      <c r="G7455" t="s">
        <v>3558</v>
      </c>
      <c r="J7455" t="b">
        <v>0</v>
      </c>
      <c r="K7455" t="b">
        <v>0</v>
      </c>
      <c r="L7455" t="b">
        <v>0</v>
      </c>
      <c r="M7455" t="str">
        <f>HYPERLINK("https://arizona.app.box.com/file/386256116066")</f>
        <v>https://arizona.app.box.com/file/386256116066</v>
      </c>
    </row>
    <row r="7457" spans="1:25" x14ac:dyDescent="0.2">
      <c r="A7457" s="2">
        <v>434</v>
      </c>
      <c r="B7457" s="2" t="s">
        <v>11138</v>
      </c>
      <c r="C7457" s="2" t="s">
        <v>13</v>
      </c>
      <c r="D7457" s="2" t="s">
        <v>7752</v>
      </c>
      <c r="E7457" s="2" t="s">
        <v>8309</v>
      </c>
      <c r="F7457" s="2" t="s">
        <v>159</v>
      </c>
      <c r="G7457" s="2" t="s">
        <v>345</v>
      </c>
      <c r="H7457" s="2"/>
      <c r="I7457" s="2"/>
      <c r="J7457" s="2"/>
      <c r="K7457" s="2"/>
      <c r="L7457" s="2"/>
      <c r="M7457" s="2"/>
      <c r="N7457" s="2"/>
      <c r="O7457" s="2"/>
      <c r="P7457" s="2"/>
      <c r="Q7457" s="2"/>
      <c r="R7457" s="2"/>
      <c r="S7457" s="2"/>
      <c r="T7457" s="2"/>
      <c r="U7457" s="2"/>
      <c r="V7457" s="2"/>
      <c r="W7457" s="2"/>
      <c r="X7457" s="2"/>
      <c r="Y7457" s="2"/>
    </row>
    <row r="7458" spans="1:25" x14ac:dyDescent="0.2">
      <c r="A7458">
        <v>435</v>
      </c>
      <c r="B7458" t="s">
        <v>11138</v>
      </c>
      <c r="C7458" t="s">
        <v>18</v>
      </c>
      <c r="D7458" t="s">
        <v>7752</v>
      </c>
      <c r="E7458" t="s">
        <v>7753</v>
      </c>
      <c r="F7458" t="s">
        <v>159</v>
      </c>
      <c r="G7458" t="s">
        <v>345</v>
      </c>
      <c r="J7458" t="b">
        <v>1</v>
      </c>
      <c r="K7458" t="b">
        <v>1</v>
      </c>
      <c r="L7458" t="b">
        <v>1</v>
      </c>
      <c r="M7458" t="str">
        <f>HYPERLINK("https://arizona.app.box.com/file/389171715203")</f>
        <v>https://arizona.app.box.com/file/389171715203</v>
      </c>
      <c r="N7458" t="str">
        <f>HYPERLINK("https://arizona.app.box.com/file/386225910179")</f>
        <v>https://arizona.app.box.com/file/386225910179</v>
      </c>
      <c r="O7458" t="str">
        <f>HYPERLINK("https://arizona.app.box.com/file/389174021831")</f>
        <v>https://arizona.app.box.com/file/389174021831</v>
      </c>
      <c r="P7458" t="str">
        <f>HYPERLINK("https://arizona.app.box.com/file/386212129564")</f>
        <v>https://arizona.app.box.com/file/386212129564</v>
      </c>
    </row>
    <row r="7459" spans="1:25" x14ac:dyDescent="0.2">
      <c r="A7459">
        <v>436</v>
      </c>
      <c r="B7459" t="s">
        <v>11138</v>
      </c>
      <c r="C7459" t="s">
        <v>18</v>
      </c>
      <c r="D7459" t="s">
        <v>11139</v>
      </c>
      <c r="E7459" t="s">
        <v>2325</v>
      </c>
      <c r="F7459" t="s">
        <v>2451</v>
      </c>
      <c r="G7459" t="s">
        <v>345</v>
      </c>
      <c r="J7459" t="b">
        <v>0</v>
      </c>
      <c r="K7459" t="b">
        <v>0</v>
      </c>
      <c r="L7459" t="b">
        <v>0</v>
      </c>
      <c r="M7459" t="str">
        <f>HYPERLINK("https://arizona.app.box.com/file/389177543203")</f>
        <v>https://arizona.app.box.com/file/389177543203</v>
      </c>
      <c r="N7459" t="str">
        <f>HYPERLINK("https://arizona.app.box.com/file/386239618132")</f>
        <v>https://arizona.app.box.com/file/386239618132</v>
      </c>
    </row>
    <row r="7460" spans="1:25" x14ac:dyDescent="0.2">
      <c r="A7460">
        <v>437</v>
      </c>
      <c r="B7460" t="s">
        <v>11138</v>
      </c>
      <c r="C7460" t="s">
        <v>18</v>
      </c>
      <c r="D7460" t="s">
        <v>11140</v>
      </c>
      <c r="E7460" t="s">
        <v>11141</v>
      </c>
      <c r="F7460" t="s">
        <v>82</v>
      </c>
      <c r="G7460" t="s">
        <v>345</v>
      </c>
      <c r="J7460" t="b">
        <v>0</v>
      </c>
      <c r="K7460" t="b">
        <v>0</v>
      </c>
      <c r="L7460" t="b">
        <v>0</v>
      </c>
      <c r="M7460" t="str">
        <f>HYPERLINK("https://arizona.app.box.com/file/386217648336")</f>
        <v>https://arizona.app.box.com/file/386217648336</v>
      </c>
      <c r="N7460" t="str">
        <f>HYPERLINK("https://arizona.app.box.com/file/386217352077")</f>
        <v>https://arizona.app.box.com/file/386217352077</v>
      </c>
    </row>
    <row r="7461" spans="1:25" x14ac:dyDescent="0.2">
      <c r="A7461">
        <v>438</v>
      </c>
      <c r="B7461" t="s">
        <v>11138</v>
      </c>
      <c r="C7461" t="s">
        <v>18</v>
      </c>
      <c r="D7461" t="s">
        <v>9349</v>
      </c>
      <c r="E7461" t="s">
        <v>9350</v>
      </c>
      <c r="F7461" t="s">
        <v>369</v>
      </c>
      <c r="G7461" t="s">
        <v>88</v>
      </c>
      <c r="J7461" t="b">
        <v>0</v>
      </c>
      <c r="K7461" t="b">
        <v>0</v>
      </c>
      <c r="L7461" t="b">
        <v>0</v>
      </c>
      <c r="M7461" t="str">
        <f>HYPERLINK("https://arizona.app.box.com/file/389175033124")</f>
        <v>https://arizona.app.box.com/file/389175033124</v>
      </c>
      <c r="N7461" t="str">
        <f>HYPERLINK("https://arizona.app.box.com/file/386238844191")</f>
        <v>https://arizona.app.box.com/file/386238844191</v>
      </c>
    </row>
    <row r="7462" spans="1:25" x14ac:dyDescent="0.2">
      <c r="A7462">
        <v>439</v>
      </c>
      <c r="B7462" t="s">
        <v>11138</v>
      </c>
      <c r="C7462" t="s">
        <v>18</v>
      </c>
      <c r="D7462" t="s">
        <v>5702</v>
      </c>
      <c r="E7462" t="s">
        <v>5703</v>
      </c>
      <c r="F7462" t="s">
        <v>196</v>
      </c>
      <c r="G7462" t="s">
        <v>130</v>
      </c>
      <c r="J7462" t="b">
        <v>0</v>
      </c>
      <c r="K7462" t="b">
        <v>0</v>
      </c>
      <c r="L7462" t="b">
        <v>0</v>
      </c>
      <c r="M7462" t="str">
        <f>HYPERLINK("https://arizona.app.box.com/file/389262741188")</f>
        <v>https://arizona.app.box.com/file/389262741188</v>
      </c>
      <c r="N7462" t="str">
        <f>HYPERLINK("https://arizona.app.box.com/file/389152307234")</f>
        <v>https://arizona.app.box.com/file/389152307234</v>
      </c>
      <c r="O7462" t="str">
        <f>HYPERLINK("https://arizona.app.box.com/file/389257107035")</f>
        <v>https://arizona.app.box.com/file/389257107035</v>
      </c>
      <c r="P7462" t="str">
        <f>HYPERLINK("https://arizona.app.box.com/file/389163397802")</f>
        <v>https://arizona.app.box.com/file/389163397802</v>
      </c>
    </row>
    <row r="7464" spans="1:25" x14ac:dyDescent="0.2">
      <c r="A7464" s="2">
        <v>4340</v>
      </c>
      <c r="B7464" s="2" t="s">
        <v>11142</v>
      </c>
      <c r="C7464" s="2" t="s">
        <v>13</v>
      </c>
      <c r="D7464" s="2" t="s">
        <v>5857</v>
      </c>
      <c r="E7464" s="2" t="s">
        <v>5858</v>
      </c>
      <c r="F7464" s="2" t="s">
        <v>151</v>
      </c>
      <c r="G7464" s="2" t="s">
        <v>280</v>
      </c>
      <c r="H7464" s="2"/>
      <c r="I7464" s="2"/>
      <c r="J7464" s="2"/>
      <c r="K7464" s="2"/>
      <c r="L7464" s="2"/>
      <c r="M7464" s="2"/>
      <c r="N7464" s="2"/>
      <c r="O7464" s="2"/>
      <c r="P7464" s="2"/>
      <c r="Q7464" s="2"/>
      <c r="R7464" s="2"/>
      <c r="S7464" s="2"/>
      <c r="T7464" s="2"/>
      <c r="U7464" s="2"/>
      <c r="V7464" s="2"/>
      <c r="W7464" s="2"/>
      <c r="X7464" s="2"/>
      <c r="Y7464" s="2"/>
    </row>
    <row r="7465" spans="1:25" x14ac:dyDescent="0.2">
      <c r="A7465">
        <v>4341</v>
      </c>
      <c r="B7465" t="s">
        <v>11142</v>
      </c>
      <c r="C7465" t="s">
        <v>18</v>
      </c>
      <c r="D7465" t="s">
        <v>5857</v>
      </c>
      <c r="E7465" t="s">
        <v>5858</v>
      </c>
      <c r="F7465" t="s">
        <v>151</v>
      </c>
      <c r="G7465" t="s">
        <v>280</v>
      </c>
      <c r="J7465" t="b">
        <v>1</v>
      </c>
      <c r="K7465" t="b">
        <v>1</v>
      </c>
      <c r="L7465" t="b">
        <v>1</v>
      </c>
      <c r="M7465" t="str">
        <f>HYPERLINK("https://arizona.app.box.com/file/389264963906")</f>
        <v>https://arizona.app.box.com/file/389264963906</v>
      </c>
      <c r="N7465" t="str">
        <f>HYPERLINK("https://arizona.app.box.com/file/389154297895")</f>
        <v>https://arizona.app.box.com/file/389154297895</v>
      </c>
      <c r="O7465" t="str">
        <f>HYPERLINK("https://arizona.app.box.com/file/389169789396")</f>
        <v>https://arizona.app.box.com/file/389169789396</v>
      </c>
      <c r="P7465" t="str">
        <f>HYPERLINK("https://arizona.app.box.com/file/386214029321")</f>
        <v>https://arizona.app.box.com/file/386214029321</v>
      </c>
    </row>
    <row r="7466" spans="1:25" x14ac:dyDescent="0.2">
      <c r="A7466">
        <v>4342</v>
      </c>
      <c r="B7466" t="s">
        <v>11142</v>
      </c>
      <c r="C7466" t="s">
        <v>18</v>
      </c>
      <c r="D7466" t="s">
        <v>5943</v>
      </c>
      <c r="E7466" t="s">
        <v>1294</v>
      </c>
      <c r="F7466" t="s">
        <v>151</v>
      </c>
      <c r="G7466" t="s">
        <v>280</v>
      </c>
      <c r="J7466" t="b">
        <v>0</v>
      </c>
      <c r="K7466" t="b">
        <v>0</v>
      </c>
      <c r="L7466" t="b">
        <v>0</v>
      </c>
      <c r="M7466" t="str">
        <f>HYPERLINK("https://arizona.app.box.com/file/389176297125")</f>
        <v>https://arizona.app.box.com/file/389176297125</v>
      </c>
    </row>
    <row r="7467" spans="1:25" x14ac:dyDescent="0.2">
      <c r="A7467">
        <v>4343</v>
      </c>
      <c r="B7467" t="s">
        <v>11142</v>
      </c>
      <c r="C7467" t="s">
        <v>18</v>
      </c>
      <c r="D7467" t="s">
        <v>5855</v>
      </c>
      <c r="E7467" t="s">
        <v>5494</v>
      </c>
      <c r="F7467" t="s">
        <v>174</v>
      </c>
      <c r="G7467" t="s">
        <v>502</v>
      </c>
      <c r="J7467" t="b">
        <v>0</v>
      </c>
      <c r="K7467" t="b">
        <v>0</v>
      </c>
      <c r="L7467" t="b">
        <v>0</v>
      </c>
      <c r="M7467" t="str">
        <f>HYPERLINK("https://arizona.app.box.com/file/389175885920")</f>
        <v>https://arizona.app.box.com/file/389175885920</v>
      </c>
    </row>
    <row r="7468" spans="1:25" x14ac:dyDescent="0.2">
      <c r="A7468">
        <v>4344</v>
      </c>
      <c r="B7468" t="s">
        <v>11142</v>
      </c>
      <c r="C7468" t="s">
        <v>18</v>
      </c>
      <c r="D7468" t="s">
        <v>5848</v>
      </c>
      <c r="E7468" t="s">
        <v>5850</v>
      </c>
      <c r="F7468" t="s">
        <v>159</v>
      </c>
      <c r="G7468" t="s">
        <v>280</v>
      </c>
      <c r="J7468" t="b">
        <v>0</v>
      </c>
      <c r="K7468" t="b">
        <v>0</v>
      </c>
      <c r="L7468" t="b">
        <v>0</v>
      </c>
      <c r="M7468" t="str">
        <f>HYPERLINK("https://arizona.app.box.com/file/389168610405")</f>
        <v>https://arizona.app.box.com/file/389168610405</v>
      </c>
      <c r="N7468" t="str">
        <f>HYPERLINK("https://arizona.app.box.com/file/386211665274")</f>
        <v>https://arizona.app.box.com/file/386211665274</v>
      </c>
    </row>
    <row r="7469" spans="1:25" x14ac:dyDescent="0.2">
      <c r="A7469">
        <v>4345</v>
      </c>
      <c r="B7469" t="s">
        <v>11142</v>
      </c>
      <c r="C7469" t="s">
        <v>18</v>
      </c>
      <c r="D7469" t="s">
        <v>5853</v>
      </c>
      <c r="E7469" t="s">
        <v>5601</v>
      </c>
      <c r="F7469" t="s">
        <v>174</v>
      </c>
      <c r="G7469" t="s">
        <v>280</v>
      </c>
      <c r="J7469" t="b">
        <v>0</v>
      </c>
      <c r="K7469" t="b">
        <v>0</v>
      </c>
      <c r="L7469" t="b">
        <v>0</v>
      </c>
      <c r="M7469" t="str">
        <f>HYPERLINK("https://arizona.app.box.com/file/389152764819")</f>
        <v>https://arizona.app.box.com/file/389152764819</v>
      </c>
    </row>
    <row r="7471" spans="1:25" x14ac:dyDescent="0.2">
      <c r="A7471" s="2">
        <v>4368</v>
      </c>
      <c r="B7471" s="2" t="s">
        <v>11143</v>
      </c>
      <c r="C7471" s="2" t="s">
        <v>13</v>
      </c>
      <c r="D7471" s="2" t="s">
        <v>8822</v>
      </c>
      <c r="E7471" s="2" t="s">
        <v>8823</v>
      </c>
      <c r="F7471" s="2" t="s">
        <v>78</v>
      </c>
      <c r="G7471" s="2" t="s">
        <v>130</v>
      </c>
      <c r="H7471" s="2"/>
      <c r="I7471" s="2"/>
      <c r="J7471" s="2"/>
      <c r="K7471" s="2"/>
      <c r="L7471" s="2"/>
      <c r="M7471" s="2"/>
      <c r="N7471" s="2"/>
      <c r="O7471" s="2"/>
      <c r="P7471" s="2"/>
      <c r="Q7471" s="2"/>
      <c r="R7471" s="2"/>
      <c r="S7471" s="2"/>
      <c r="T7471" s="2"/>
      <c r="U7471" s="2"/>
      <c r="V7471" s="2"/>
      <c r="W7471" s="2"/>
      <c r="X7471" s="2"/>
      <c r="Y7471" s="2"/>
    </row>
    <row r="7472" spans="1:25" x14ac:dyDescent="0.2">
      <c r="A7472">
        <v>4369</v>
      </c>
      <c r="B7472" t="s">
        <v>11143</v>
      </c>
      <c r="C7472" t="s">
        <v>18</v>
      </c>
      <c r="D7472" t="s">
        <v>8822</v>
      </c>
      <c r="E7472" t="s">
        <v>8823</v>
      </c>
      <c r="F7472" t="s">
        <v>78</v>
      </c>
      <c r="G7472" t="s">
        <v>130</v>
      </c>
      <c r="J7472" t="b">
        <v>1</v>
      </c>
      <c r="K7472" t="b">
        <v>1</v>
      </c>
      <c r="L7472" t="b">
        <v>1</v>
      </c>
      <c r="M7472" t="str">
        <f>HYPERLINK("https://arizona.app.box.com/file/386240960753")</f>
        <v>https://arizona.app.box.com/file/386240960753</v>
      </c>
      <c r="N7472" t="str">
        <f>HYPERLINK("https://arizona.app.box.com/file/386237965058")</f>
        <v>https://arizona.app.box.com/file/386237965058</v>
      </c>
    </row>
    <row r="7473" spans="1:25" x14ac:dyDescent="0.2">
      <c r="A7473">
        <v>4370</v>
      </c>
      <c r="B7473" t="s">
        <v>11143</v>
      </c>
      <c r="C7473" t="s">
        <v>18</v>
      </c>
      <c r="D7473" t="s">
        <v>2542</v>
      </c>
      <c r="E7473" t="s">
        <v>2543</v>
      </c>
      <c r="F7473" t="s">
        <v>78</v>
      </c>
      <c r="G7473" t="s">
        <v>24</v>
      </c>
      <c r="J7473" t="b">
        <v>0</v>
      </c>
      <c r="K7473" t="b">
        <v>0</v>
      </c>
      <c r="L7473" t="b">
        <v>0</v>
      </c>
      <c r="M7473" t="str">
        <f>HYPERLINK("https://arizona.app.box.com/file/386227773713")</f>
        <v>https://arizona.app.box.com/file/386227773713</v>
      </c>
    </row>
    <row r="7474" spans="1:25" x14ac:dyDescent="0.2">
      <c r="A7474">
        <v>4371</v>
      </c>
      <c r="B7474" t="s">
        <v>11143</v>
      </c>
      <c r="C7474" t="s">
        <v>18</v>
      </c>
      <c r="D7474" t="s">
        <v>4279</v>
      </c>
      <c r="E7474" t="s">
        <v>4280</v>
      </c>
      <c r="F7474" t="s">
        <v>78</v>
      </c>
      <c r="G7474" t="s">
        <v>17</v>
      </c>
      <c r="J7474" t="b">
        <v>0</v>
      </c>
      <c r="K7474" t="b">
        <v>0</v>
      </c>
      <c r="L7474" t="b">
        <v>0</v>
      </c>
    </row>
    <row r="7475" spans="1:25" x14ac:dyDescent="0.2">
      <c r="A7475">
        <v>4372</v>
      </c>
      <c r="B7475" t="s">
        <v>11143</v>
      </c>
      <c r="C7475" t="s">
        <v>18</v>
      </c>
      <c r="D7475" t="s">
        <v>11144</v>
      </c>
      <c r="E7475" t="s">
        <v>3640</v>
      </c>
      <c r="F7475" t="s">
        <v>82</v>
      </c>
      <c r="G7475" t="s">
        <v>17</v>
      </c>
      <c r="J7475" t="b">
        <v>0</v>
      </c>
      <c r="K7475" t="b">
        <v>0</v>
      </c>
      <c r="L7475" t="b">
        <v>0</v>
      </c>
    </row>
    <row r="7476" spans="1:25" x14ac:dyDescent="0.2">
      <c r="A7476">
        <v>4373</v>
      </c>
      <c r="B7476" t="s">
        <v>11143</v>
      </c>
      <c r="C7476" t="s">
        <v>18</v>
      </c>
      <c r="D7476" t="s">
        <v>8816</v>
      </c>
      <c r="E7476" t="s">
        <v>8817</v>
      </c>
      <c r="F7476" t="s">
        <v>78</v>
      </c>
      <c r="G7476" t="s">
        <v>130</v>
      </c>
      <c r="J7476" t="b">
        <v>0</v>
      </c>
      <c r="K7476" t="b">
        <v>0</v>
      </c>
      <c r="L7476" t="b">
        <v>0</v>
      </c>
      <c r="M7476" t="str">
        <f>HYPERLINK("https://arizona.app.box.com/file/386227867409")</f>
        <v>https://arizona.app.box.com/file/386227867409</v>
      </c>
      <c r="N7476" t="str">
        <f>HYPERLINK("https://arizona.app.box.com/file/386217876155")</f>
        <v>https://arizona.app.box.com/file/386217876155</v>
      </c>
    </row>
    <row r="7478" spans="1:25" x14ac:dyDescent="0.2">
      <c r="A7478" s="2">
        <v>4396</v>
      </c>
      <c r="B7478" s="2" t="s">
        <v>11145</v>
      </c>
      <c r="C7478" s="2" t="s">
        <v>13</v>
      </c>
      <c r="D7478" s="2" t="s">
        <v>11146</v>
      </c>
      <c r="E7478" s="2" t="s">
        <v>11147</v>
      </c>
      <c r="F7478" s="2" t="s">
        <v>248</v>
      </c>
      <c r="G7478" s="2" t="s">
        <v>1867</v>
      </c>
      <c r="H7478" s="2"/>
      <c r="I7478" s="2"/>
      <c r="J7478" s="2"/>
      <c r="K7478" s="2"/>
      <c r="L7478" s="2"/>
      <c r="M7478" s="2"/>
      <c r="N7478" s="2"/>
      <c r="O7478" s="2"/>
      <c r="P7478" s="2"/>
      <c r="Q7478" s="2"/>
      <c r="R7478" s="2"/>
      <c r="S7478" s="2"/>
      <c r="T7478" s="2"/>
      <c r="U7478" s="2"/>
      <c r="V7478" s="2"/>
      <c r="W7478" s="2"/>
      <c r="X7478" s="2"/>
      <c r="Y7478" s="2"/>
    </row>
    <row r="7479" spans="1:25" x14ac:dyDescent="0.2">
      <c r="A7479">
        <v>4397</v>
      </c>
      <c r="B7479" t="s">
        <v>11145</v>
      </c>
      <c r="C7479" t="s">
        <v>18</v>
      </c>
      <c r="D7479" t="s">
        <v>11148</v>
      </c>
      <c r="E7479" t="s">
        <v>11149</v>
      </c>
      <c r="F7479" t="s">
        <v>248</v>
      </c>
      <c r="G7479" t="s">
        <v>1867</v>
      </c>
      <c r="J7479" t="b">
        <v>1</v>
      </c>
      <c r="K7479" t="b">
        <v>1</v>
      </c>
      <c r="L7479" t="b">
        <v>1</v>
      </c>
      <c r="M7479" t="str">
        <f>HYPERLINK("https://arizona.app.box.com/file/389265108130")</f>
        <v>https://arizona.app.box.com/file/389265108130</v>
      </c>
      <c r="N7479" t="str">
        <f>HYPERLINK("https://arizona.app.box.com/file/389138368045")</f>
        <v>https://arizona.app.box.com/file/389138368045</v>
      </c>
    </row>
    <row r="7480" spans="1:25" x14ac:dyDescent="0.2">
      <c r="A7480">
        <v>4398</v>
      </c>
      <c r="B7480" t="s">
        <v>11145</v>
      </c>
      <c r="C7480" t="s">
        <v>18</v>
      </c>
      <c r="D7480" t="s">
        <v>11150</v>
      </c>
      <c r="E7480" t="s">
        <v>3395</v>
      </c>
      <c r="F7480" t="s">
        <v>248</v>
      </c>
      <c r="G7480" t="s">
        <v>1867</v>
      </c>
      <c r="J7480" t="b">
        <v>1</v>
      </c>
      <c r="K7480" t="b">
        <v>1</v>
      </c>
      <c r="L7480" t="b">
        <v>1</v>
      </c>
      <c r="M7480" t="str">
        <f>HYPERLINK("https://arizona.app.box.com/file/386248900991")</f>
        <v>https://arizona.app.box.com/file/386248900991</v>
      </c>
    </row>
    <row r="7481" spans="1:25" x14ac:dyDescent="0.2">
      <c r="A7481">
        <v>4399</v>
      </c>
      <c r="B7481" t="s">
        <v>11145</v>
      </c>
      <c r="C7481" t="s">
        <v>18</v>
      </c>
      <c r="D7481" t="s">
        <v>5943</v>
      </c>
      <c r="E7481" t="s">
        <v>1294</v>
      </c>
      <c r="F7481" t="s">
        <v>151</v>
      </c>
      <c r="G7481" t="s">
        <v>280</v>
      </c>
      <c r="J7481" t="b">
        <v>0</v>
      </c>
      <c r="K7481" t="b">
        <v>0</v>
      </c>
      <c r="L7481" t="b">
        <v>0</v>
      </c>
      <c r="M7481" t="str">
        <f>HYPERLINK("https://arizona.app.box.com/file/389176297125")</f>
        <v>https://arizona.app.box.com/file/389176297125</v>
      </c>
    </row>
    <row r="7482" spans="1:25" x14ac:dyDescent="0.2">
      <c r="A7482">
        <v>4400</v>
      </c>
      <c r="B7482" t="s">
        <v>11145</v>
      </c>
      <c r="C7482" t="s">
        <v>18</v>
      </c>
      <c r="D7482" t="s">
        <v>5933</v>
      </c>
      <c r="E7482" t="s">
        <v>5934</v>
      </c>
      <c r="F7482" t="s">
        <v>451</v>
      </c>
      <c r="G7482" t="s">
        <v>280</v>
      </c>
      <c r="J7482" t="b">
        <v>0</v>
      </c>
      <c r="K7482" t="b">
        <v>0</v>
      </c>
      <c r="L7482" t="b">
        <v>0</v>
      </c>
      <c r="M7482" t="str">
        <f>HYPERLINK("https://arizona.app.box.com/file/389161576261")</f>
        <v>https://arizona.app.box.com/file/389161576261</v>
      </c>
    </row>
    <row r="7483" spans="1:25" x14ac:dyDescent="0.2">
      <c r="A7483">
        <v>4401</v>
      </c>
      <c r="B7483" t="s">
        <v>11145</v>
      </c>
      <c r="C7483" t="s">
        <v>18</v>
      </c>
      <c r="D7483" t="s">
        <v>4346</v>
      </c>
      <c r="E7483" t="s">
        <v>4347</v>
      </c>
      <c r="F7483" t="s">
        <v>248</v>
      </c>
      <c r="G7483" t="s">
        <v>280</v>
      </c>
      <c r="J7483" t="b">
        <v>0</v>
      </c>
      <c r="K7483" t="b">
        <v>0</v>
      </c>
      <c r="L7483" t="b">
        <v>0</v>
      </c>
      <c r="M7483" t="str">
        <f>HYPERLINK("https://arizona.app.box.com/file/389263060510")</f>
        <v>https://arizona.app.box.com/file/389263060510</v>
      </c>
      <c r="N7483" t="str">
        <f>HYPERLINK("https://arizona.app.box.com/file/389166889461")</f>
        <v>https://arizona.app.box.com/file/389166889461</v>
      </c>
      <c r="O7483" t="str">
        <f>HYPERLINK("https://arizona.app.box.com/file/389170144288")</f>
        <v>https://arizona.app.box.com/file/389170144288</v>
      </c>
      <c r="P7483" t="str">
        <f>HYPERLINK("https://arizona.app.box.com/file/386212028832")</f>
        <v>https://arizona.app.box.com/file/386212028832</v>
      </c>
    </row>
    <row r="7485" spans="1:25" x14ac:dyDescent="0.2">
      <c r="A7485" s="2">
        <v>4445</v>
      </c>
      <c r="B7485" s="2" t="s">
        <v>11151</v>
      </c>
      <c r="C7485" s="2" t="s">
        <v>13</v>
      </c>
      <c r="D7485" s="2" t="s">
        <v>11152</v>
      </c>
      <c r="E7485" s="2" t="s">
        <v>11153</v>
      </c>
      <c r="F7485" s="2" t="s">
        <v>596</v>
      </c>
      <c r="G7485" s="2" t="s">
        <v>134</v>
      </c>
      <c r="H7485" s="2"/>
      <c r="I7485" s="2"/>
      <c r="J7485" s="2"/>
      <c r="K7485" s="2"/>
      <c r="L7485" s="2"/>
      <c r="M7485" s="2"/>
      <c r="N7485" s="2"/>
      <c r="O7485" s="2"/>
      <c r="P7485" s="2"/>
      <c r="Q7485" s="2"/>
      <c r="R7485" s="2"/>
      <c r="S7485" s="2"/>
      <c r="T7485" s="2"/>
      <c r="U7485" s="2"/>
      <c r="V7485" s="2"/>
      <c r="W7485" s="2"/>
      <c r="X7485" s="2"/>
      <c r="Y7485" s="2"/>
    </row>
    <row r="7486" spans="1:25" x14ac:dyDescent="0.2">
      <c r="A7486">
        <v>4446</v>
      </c>
      <c r="B7486" t="s">
        <v>11151</v>
      </c>
      <c r="C7486" t="s">
        <v>18</v>
      </c>
      <c r="D7486" t="s">
        <v>1720</v>
      </c>
      <c r="E7486" t="s">
        <v>1721</v>
      </c>
      <c r="F7486" t="s">
        <v>596</v>
      </c>
      <c r="G7486" t="s">
        <v>134</v>
      </c>
      <c r="J7486" t="b">
        <v>1</v>
      </c>
      <c r="K7486" t="b">
        <v>1</v>
      </c>
      <c r="L7486" t="b">
        <v>1</v>
      </c>
      <c r="M7486" t="str">
        <f>HYPERLINK("https://arizona.app.box.com/file/389260786583")</f>
        <v>https://arizona.app.box.com/file/389260786583</v>
      </c>
      <c r="N7486" t="str">
        <f>HYPERLINK("https://arizona.app.box.com/file/389155429244")</f>
        <v>https://arizona.app.box.com/file/389155429244</v>
      </c>
    </row>
    <row r="7487" spans="1:25" x14ac:dyDescent="0.2">
      <c r="A7487">
        <v>4447</v>
      </c>
      <c r="B7487" t="s">
        <v>11151</v>
      </c>
      <c r="C7487" t="s">
        <v>18</v>
      </c>
      <c r="D7487" t="s">
        <v>2308</v>
      </c>
      <c r="E7487" t="s">
        <v>2309</v>
      </c>
      <c r="F7487" t="s">
        <v>248</v>
      </c>
      <c r="G7487" t="s">
        <v>134</v>
      </c>
      <c r="J7487" t="b">
        <v>0</v>
      </c>
      <c r="K7487" t="b">
        <v>0</v>
      </c>
      <c r="L7487" t="b">
        <v>0</v>
      </c>
      <c r="M7487" t="str">
        <f>HYPERLINK("https://arizona.app.box.com/file/389169464705")</f>
        <v>https://arizona.app.box.com/file/389169464705</v>
      </c>
      <c r="N7487" t="str">
        <f>HYPERLINK("https://arizona.app.box.com/file/389262453311")</f>
        <v>https://arizona.app.box.com/file/389262453311</v>
      </c>
      <c r="O7487" t="str">
        <f>HYPERLINK("https://arizona.app.box.com/file/389153026289")</f>
        <v>https://arizona.app.box.com/file/389153026289</v>
      </c>
    </row>
    <row r="7488" spans="1:25" x14ac:dyDescent="0.2">
      <c r="A7488">
        <v>4448</v>
      </c>
      <c r="B7488" t="s">
        <v>11151</v>
      </c>
      <c r="C7488" t="s">
        <v>18</v>
      </c>
      <c r="D7488" t="s">
        <v>3127</v>
      </c>
      <c r="E7488" t="s">
        <v>1167</v>
      </c>
      <c r="F7488" t="s">
        <v>168</v>
      </c>
      <c r="G7488" t="s">
        <v>134</v>
      </c>
      <c r="J7488" t="b">
        <v>0</v>
      </c>
      <c r="K7488" t="b">
        <v>0</v>
      </c>
      <c r="L7488" t="b">
        <v>0</v>
      </c>
      <c r="M7488" t="str">
        <f>HYPERLINK("https://arizona.app.box.com/file/389264303346")</f>
        <v>https://arizona.app.box.com/file/389264303346</v>
      </c>
    </row>
    <row r="7489" spans="1:25" x14ac:dyDescent="0.2">
      <c r="A7489">
        <v>4449</v>
      </c>
      <c r="B7489" t="s">
        <v>11151</v>
      </c>
      <c r="C7489" t="s">
        <v>18</v>
      </c>
      <c r="D7489" t="s">
        <v>2202</v>
      </c>
      <c r="E7489" t="s">
        <v>2203</v>
      </c>
      <c r="F7489" t="s">
        <v>23</v>
      </c>
      <c r="G7489" t="s">
        <v>134</v>
      </c>
      <c r="J7489" t="b">
        <v>0</v>
      </c>
      <c r="K7489" t="b">
        <v>0</v>
      </c>
      <c r="L7489" t="b">
        <v>0</v>
      </c>
      <c r="M7489" t="str">
        <f>HYPERLINK("https://arizona.app.box.com/file/389257434042")</f>
        <v>https://arizona.app.box.com/file/389257434042</v>
      </c>
    </row>
    <row r="7490" spans="1:25" x14ac:dyDescent="0.2">
      <c r="A7490">
        <v>4450</v>
      </c>
      <c r="B7490" t="s">
        <v>11151</v>
      </c>
      <c r="C7490" t="s">
        <v>18</v>
      </c>
      <c r="D7490" t="s">
        <v>1724</v>
      </c>
      <c r="E7490" t="s">
        <v>1725</v>
      </c>
      <c r="F7490" t="s">
        <v>168</v>
      </c>
      <c r="G7490" t="s">
        <v>134</v>
      </c>
      <c r="J7490" t="b">
        <v>0</v>
      </c>
      <c r="K7490" t="b">
        <v>0</v>
      </c>
      <c r="L7490" t="b">
        <v>0</v>
      </c>
      <c r="M7490" t="str">
        <f>HYPERLINK("https://arizona.app.box.com/file/389264007657")</f>
        <v>https://arizona.app.box.com/file/389264007657</v>
      </c>
      <c r="N7490" t="str">
        <f>HYPERLINK("https://arizona.app.box.com/file/389167626193")</f>
        <v>https://arizona.app.box.com/file/389167626193</v>
      </c>
    </row>
    <row r="7492" spans="1:25" x14ac:dyDescent="0.2">
      <c r="A7492" s="2">
        <v>4452</v>
      </c>
      <c r="B7492" s="2" t="s">
        <v>11154</v>
      </c>
      <c r="C7492" s="2" t="s">
        <v>13</v>
      </c>
      <c r="D7492" s="2" t="s">
        <v>9396</v>
      </c>
      <c r="E7492" s="2" t="s">
        <v>9397</v>
      </c>
      <c r="F7492" s="2" t="s">
        <v>654</v>
      </c>
      <c r="G7492" s="2" t="s">
        <v>62</v>
      </c>
      <c r="H7492" s="2"/>
      <c r="I7492" s="2"/>
      <c r="J7492" s="2"/>
      <c r="K7492" s="2"/>
      <c r="L7492" s="2"/>
      <c r="M7492" s="2"/>
      <c r="N7492" s="2"/>
      <c r="O7492" s="2"/>
      <c r="P7492" s="2"/>
      <c r="Q7492" s="2"/>
      <c r="R7492" s="2"/>
      <c r="S7492" s="2"/>
      <c r="T7492" s="2"/>
      <c r="U7492" s="2"/>
      <c r="V7492" s="2"/>
      <c r="W7492" s="2"/>
      <c r="X7492" s="2"/>
      <c r="Y7492" s="2"/>
    </row>
    <row r="7493" spans="1:25" x14ac:dyDescent="0.2">
      <c r="A7493">
        <v>4453</v>
      </c>
      <c r="B7493" t="s">
        <v>11154</v>
      </c>
      <c r="C7493" t="s">
        <v>18</v>
      </c>
      <c r="D7493" t="s">
        <v>9396</v>
      </c>
      <c r="E7493" t="s">
        <v>9397</v>
      </c>
      <c r="F7493" t="s">
        <v>654</v>
      </c>
      <c r="G7493" t="s">
        <v>62</v>
      </c>
      <c r="J7493" t="b">
        <v>1</v>
      </c>
      <c r="K7493" t="b">
        <v>1</v>
      </c>
      <c r="L7493" t="b">
        <v>1</v>
      </c>
      <c r="M7493" t="str">
        <f>HYPERLINK("https://arizona.app.box.com/file/386216909659")</f>
        <v>https://arizona.app.box.com/file/386216909659</v>
      </c>
      <c r="N7493" t="str">
        <f>HYPERLINK("https://arizona.app.box.com/file/386250051266")</f>
        <v>https://arizona.app.box.com/file/386250051266</v>
      </c>
    </row>
    <row r="7494" spans="1:25" x14ac:dyDescent="0.2">
      <c r="A7494">
        <v>4454</v>
      </c>
      <c r="B7494" t="s">
        <v>11154</v>
      </c>
      <c r="C7494" t="s">
        <v>18</v>
      </c>
      <c r="D7494" t="s">
        <v>5686</v>
      </c>
      <c r="E7494" t="s">
        <v>5687</v>
      </c>
      <c r="F7494" t="s">
        <v>654</v>
      </c>
      <c r="G7494" t="s">
        <v>62</v>
      </c>
      <c r="J7494" t="b">
        <v>0</v>
      </c>
      <c r="K7494" t="b">
        <v>0</v>
      </c>
      <c r="L7494" t="b">
        <v>0</v>
      </c>
      <c r="M7494" t="str">
        <f>HYPERLINK("https://arizona.app.box.com/file/386247704901")</f>
        <v>https://arizona.app.box.com/file/386247704901</v>
      </c>
    </row>
    <row r="7495" spans="1:25" x14ac:dyDescent="0.2">
      <c r="A7495">
        <v>4455</v>
      </c>
      <c r="B7495" t="s">
        <v>11154</v>
      </c>
      <c r="C7495" t="s">
        <v>18</v>
      </c>
      <c r="D7495" t="s">
        <v>5693</v>
      </c>
      <c r="E7495" t="s">
        <v>5694</v>
      </c>
      <c r="F7495" t="s">
        <v>654</v>
      </c>
      <c r="G7495" t="s">
        <v>62</v>
      </c>
      <c r="J7495" t="b">
        <v>0</v>
      </c>
      <c r="K7495" t="b">
        <v>0</v>
      </c>
      <c r="L7495" t="b">
        <v>0</v>
      </c>
      <c r="M7495" t="str">
        <f>HYPERLINK("https://arizona.app.box.com/file/386247919839")</f>
        <v>https://arizona.app.box.com/file/386247919839</v>
      </c>
      <c r="N7495" t="str">
        <f>HYPERLINK("https://arizona.app.box.com/file/386247579334")</f>
        <v>https://arizona.app.box.com/file/386247579334</v>
      </c>
    </row>
    <row r="7496" spans="1:25" x14ac:dyDescent="0.2">
      <c r="A7496">
        <v>4456</v>
      </c>
      <c r="B7496" t="s">
        <v>11154</v>
      </c>
      <c r="C7496" t="s">
        <v>18</v>
      </c>
      <c r="D7496" t="s">
        <v>8014</v>
      </c>
      <c r="E7496" t="s">
        <v>8015</v>
      </c>
      <c r="F7496" t="s">
        <v>654</v>
      </c>
      <c r="G7496" t="s">
        <v>62</v>
      </c>
      <c r="J7496" t="b">
        <v>1</v>
      </c>
      <c r="K7496" t="b">
        <v>0</v>
      </c>
      <c r="L7496" t="b">
        <v>1</v>
      </c>
      <c r="M7496" t="str">
        <f>HYPERLINK("https://arizona.app.box.com/file/389266594930")</f>
        <v>https://arizona.app.box.com/file/389266594930</v>
      </c>
      <c r="N7496" t="str">
        <f>HYPERLINK("https://arizona.app.box.com/file/389166153284")</f>
        <v>https://arizona.app.box.com/file/389166153284</v>
      </c>
      <c r="O7496" t="str">
        <f>HYPERLINK("https://arizona.app.box.com/file/389163557601")</f>
        <v>https://arizona.app.box.com/file/389163557601</v>
      </c>
    </row>
    <row r="7497" spans="1:25" x14ac:dyDescent="0.2">
      <c r="A7497">
        <v>4457</v>
      </c>
      <c r="B7497" t="s">
        <v>11154</v>
      </c>
      <c r="C7497" t="s">
        <v>18</v>
      </c>
      <c r="D7497" t="s">
        <v>1226</v>
      </c>
      <c r="E7497" t="s">
        <v>1227</v>
      </c>
      <c r="F7497" t="s">
        <v>654</v>
      </c>
      <c r="G7497" t="s">
        <v>62</v>
      </c>
      <c r="J7497" t="b">
        <v>0</v>
      </c>
      <c r="K7497" t="b">
        <v>0</v>
      </c>
      <c r="L7497" t="b">
        <v>0</v>
      </c>
    </row>
    <row r="7499" spans="1:25" x14ac:dyDescent="0.2">
      <c r="A7499" s="2">
        <v>4459</v>
      </c>
      <c r="B7499" s="2" t="s">
        <v>11155</v>
      </c>
      <c r="C7499" s="2" t="s">
        <v>13</v>
      </c>
      <c r="D7499" s="2" t="s">
        <v>8514</v>
      </c>
      <c r="E7499" s="2" t="s">
        <v>8491</v>
      </c>
      <c r="F7499" s="2" t="s">
        <v>122</v>
      </c>
      <c r="G7499" s="2" t="s">
        <v>17</v>
      </c>
      <c r="H7499" s="2"/>
      <c r="I7499" s="2"/>
      <c r="J7499" s="2"/>
      <c r="K7499" s="2"/>
      <c r="L7499" s="2"/>
      <c r="M7499" s="2"/>
      <c r="N7499" s="2"/>
      <c r="O7499" s="2"/>
      <c r="P7499" s="2"/>
      <c r="Q7499" s="2"/>
      <c r="R7499" s="2"/>
      <c r="S7499" s="2"/>
      <c r="T7499" s="2"/>
      <c r="U7499" s="2"/>
      <c r="V7499" s="2"/>
      <c r="W7499" s="2"/>
      <c r="X7499" s="2"/>
      <c r="Y7499" s="2"/>
    </row>
    <row r="7500" spans="1:25" x14ac:dyDescent="0.2">
      <c r="A7500">
        <v>4460</v>
      </c>
      <c r="B7500" t="s">
        <v>11155</v>
      </c>
      <c r="C7500" t="s">
        <v>18</v>
      </c>
      <c r="D7500" t="s">
        <v>8514</v>
      </c>
      <c r="E7500" t="s">
        <v>8491</v>
      </c>
      <c r="F7500" t="s">
        <v>122</v>
      </c>
      <c r="G7500" t="s">
        <v>17</v>
      </c>
      <c r="J7500" t="b">
        <v>1</v>
      </c>
      <c r="K7500" t="b">
        <v>1</v>
      </c>
      <c r="L7500" t="b">
        <v>1</v>
      </c>
      <c r="M7500" t="str">
        <f>HYPERLINK("https://arizona.app.box.com/file/389268401542")</f>
        <v>https://arizona.app.box.com/file/389268401542</v>
      </c>
      <c r="N7500" t="str">
        <f>HYPERLINK("https://arizona.app.box.com/file/389172580228")</f>
        <v>https://arizona.app.box.com/file/389172580228</v>
      </c>
      <c r="O7500" t="str">
        <f>HYPERLINK("https://arizona.app.box.com/file/389169342449")</f>
        <v>https://arizona.app.box.com/file/389169342449</v>
      </c>
    </row>
    <row r="7501" spans="1:25" x14ac:dyDescent="0.2">
      <c r="A7501">
        <v>4461</v>
      </c>
      <c r="B7501" t="s">
        <v>11155</v>
      </c>
      <c r="C7501" t="s">
        <v>18</v>
      </c>
      <c r="D7501" t="s">
        <v>11156</v>
      </c>
      <c r="E7501" t="s">
        <v>11157</v>
      </c>
      <c r="F7501" t="s">
        <v>122</v>
      </c>
      <c r="G7501" t="s">
        <v>17</v>
      </c>
      <c r="J7501" t="b">
        <v>0</v>
      </c>
      <c r="K7501" t="b">
        <v>0</v>
      </c>
      <c r="L7501" t="b">
        <v>0</v>
      </c>
    </row>
    <row r="7502" spans="1:25" x14ac:dyDescent="0.2">
      <c r="A7502">
        <v>4462</v>
      </c>
      <c r="B7502" t="s">
        <v>11155</v>
      </c>
      <c r="C7502" t="s">
        <v>18</v>
      </c>
      <c r="D7502" t="s">
        <v>11158</v>
      </c>
      <c r="E7502" t="s">
        <v>7578</v>
      </c>
      <c r="F7502" t="s">
        <v>122</v>
      </c>
      <c r="G7502" t="s">
        <v>17</v>
      </c>
      <c r="J7502" t="b">
        <v>0</v>
      </c>
      <c r="K7502" t="b">
        <v>0</v>
      </c>
      <c r="L7502" t="b">
        <v>0</v>
      </c>
    </row>
    <row r="7503" spans="1:25" x14ac:dyDescent="0.2">
      <c r="A7503">
        <v>4463</v>
      </c>
      <c r="B7503" t="s">
        <v>11155</v>
      </c>
      <c r="C7503" t="s">
        <v>18</v>
      </c>
      <c r="D7503" t="s">
        <v>4482</v>
      </c>
      <c r="E7503" t="s">
        <v>4483</v>
      </c>
      <c r="F7503" t="s">
        <v>78</v>
      </c>
      <c r="G7503" t="s">
        <v>252</v>
      </c>
      <c r="J7503" t="b">
        <v>0</v>
      </c>
      <c r="K7503" t="b">
        <v>0</v>
      </c>
      <c r="L7503" t="b">
        <v>0</v>
      </c>
      <c r="M7503" t="str">
        <f>HYPERLINK("https://arizona.app.box.com/file/389170795475")</f>
        <v>https://arizona.app.box.com/file/389170795475</v>
      </c>
    </row>
    <row r="7504" spans="1:25" x14ac:dyDescent="0.2">
      <c r="A7504">
        <v>4464</v>
      </c>
      <c r="B7504" t="s">
        <v>11155</v>
      </c>
      <c r="C7504" t="s">
        <v>18</v>
      </c>
      <c r="D7504" t="s">
        <v>8014</v>
      </c>
      <c r="E7504" t="s">
        <v>8015</v>
      </c>
      <c r="F7504" t="s">
        <v>654</v>
      </c>
      <c r="G7504" t="s">
        <v>62</v>
      </c>
      <c r="J7504" t="b">
        <v>0</v>
      </c>
      <c r="K7504" t="b">
        <v>0</v>
      </c>
      <c r="L7504" t="b">
        <v>0</v>
      </c>
      <c r="M7504" t="str">
        <f>HYPERLINK("https://arizona.app.box.com/file/389266594930")</f>
        <v>https://arizona.app.box.com/file/389266594930</v>
      </c>
      <c r="N7504" t="str">
        <f>HYPERLINK("https://arizona.app.box.com/file/389166153284")</f>
        <v>https://arizona.app.box.com/file/389166153284</v>
      </c>
      <c r="O7504" t="str">
        <f>HYPERLINK("https://arizona.app.box.com/file/389163557601")</f>
        <v>https://arizona.app.box.com/file/389163557601</v>
      </c>
    </row>
    <row r="7506" spans="1:25" x14ac:dyDescent="0.2">
      <c r="A7506" s="2">
        <v>4473</v>
      </c>
      <c r="B7506" s="2" t="s">
        <v>11159</v>
      </c>
      <c r="C7506" s="2" t="s">
        <v>13</v>
      </c>
      <c r="D7506" s="2" t="s">
        <v>10287</v>
      </c>
      <c r="E7506" s="2" t="s">
        <v>11160</v>
      </c>
      <c r="F7506" s="2" t="s">
        <v>31</v>
      </c>
      <c r="G7506" s="2" t="s">
        <v>134</v>
      </c>
      <c r="H7506" s="2"/>
      <c r="I7506" s="2"/>
      <c r="J7506" s="2"/>
      <c r="K7506" s="2"/>
      <c r="L7506" s="2"/>
      <c r="M7506" s="2"/>
      <c r="N7506" s="2"/>
      <c r="O7506" s="2"/>
      <c r="P7506" s="2"/>
      <c r="Q7506" s="2"/>
      <c r="R7506" s="2"/>
      <c r="S7506" s="2"/>
      <c r="T7506" s="2"/>
      <c r="U7506" s="2"/>
      <c r="V7506" s="2"/>
      <c r="W7506" s="2"/>
      <c r="X7506" s="2"/>
      <c r="Y7506" s="2"/>
    </row>
    <row r="7507" spans="1:25" x14ac:dyDescent="0.2">
      <c r="A7507">
        <v>4474</v>
      </c>
      <c r="B7507" t="s">
        <v>11159</v>
      </c>
      <c r="C7507" t="s">
        <v>18</v>
      </c>
      <c r="D7507" t="s">
        <v>10287</v>
      </c>
      <c r="E7507" t="s">
        <v>3085</v>
      </c>
      <c r="F7507" t="s">
        <v>31</v>
      </c>
      <c r="G7507" t="s">
        <v>134</v>
      </c>
      <c r="J7507" t="b">
        <v>1</v>
      </c>
      <c r="K7507" t="b">
        <v>1</v>
      </c>
      <c r="L7507" t="b">
        <v>1</v>
      </c>
      <c r="M7507" t="str">
        <f>HYPERLINK("https://arizona.app.box.com/file/389166241243")</f>
        <v>https://arizona.app.box.com/file/389166241243</v>
      </c>
    </row>
    <row r="7508" spans="1:25" x14ac:dyDescent="0.2">
      <c r="A7508">
        <v>4475</v>
      </c>
      <c r="B7508" t="s">
        <v>11159</v>
      </c>
      <c r="C7508" t="s">
        <v>18</v>
      </c>
      <c r="D7508" t="s">
        <v>11161</v>
      </c>
      <c r="E7508" t="s">
        <v>11162</v>
      </c>
      <c r="F7508" t="s">
        <v>31</v>
      </c>
      <c r="G7508" t="s">
        <v>134</v>
      </c>
      <c r="J7508" t="b">
        <v>0</v>
      </c>
      <c r="K7508" t="b">
        <v>0</v>
      </c>
      <c r="L7508" t="b">
        <v>0</v>
      </c>
      <c r="M7508" t="str">
        <f>HYPERLINK("https://arizona.app.box.com/file/389169582473")</f>
        <v>https://arizona.app.box.com/file/389169582473</v>
      </c>
    </row>
    <row r="7509" spans="1:25" x14ac:dyDescent="0.2">
      <c r="A7509">
        <v>4476</v>
      </c>
      <c r="B7509" t="s">
        <v>11159</v>
      </c>
      <c r="C7509" t="s">
        <v>18</v>
      </c>
      <c r="D7509" t="s">
        <v>11163</v>
      </c>
      <c r="E7509" t="s">
        <v>11164</v>
      </c>
      <c r="F7509" t="s">
        <v>31</v>
      </c>
      <c r="G7509" t="s">
        <v>134</v>
      </c>
      <c r="J7509" t="b">
        <v>1</v>
      </c>
      <c r="K7509" t="b">
        <v>1</v>
      </c>
      <c r="L7509" t="b">
        <v>1</v>
      </c>
      <c r="M7509" t="str">
        <f>HYPERLINK("https://arizona.app.box.com/file/389162392373")</f>
        <v>https://arizona.app.box.com/file/389162392373</v>
      </c>
    </row>
    <row r="7510" spans="1:25" x14ac:dyDescent="0.2">
      <c r="A7510">
        <v>4477</v>
      </c>
      <c r="B7510" t="s">
        <v>11159</v>
      </c>
      <c r="C7510" t="s">
        <v>18</v>
      </c>
      <c r="D7510" t="s">
        <v>11165</v>
      </c>
      <c r="E7510" t="s">
        <v>11166</v>
      </c>
      <c r="F7510" t="s">
        <v>23</v>
      </c>
      <c r="G7510" t="s">
        <v>134</v>
      </c>
      <c r="J7510" t="b">
        <v>0</v>
      </c>
      <c r="K7510" t="b">
        <v>0</v>
      </c>
      <c r="L7510" t="b">
        <v>0</v>
      </c>
    </row>
    <row r="7511" spans="1:25" x14ac:dyDescent="0.2">
      <c r="A7511">
        <v>4478</v>
      </c>
      <c r="B7511" t="s">
        <v>11159</v>
      </c>
      <c r="C7511" t="s">
        <v>18</v>
      </c>
      <c r="D7511" t="s">
        <v>2492</v>
      </c>
      <c r="E7511" t="s">
        <v>2493</v>
      </c>
      <c r="F7511" t="s">
        <v>78</v>
      </c>
      <c r="G7511" t="s">
        <v>134</v>
      </c>
      <c r="J7511" t="b">
        <v>0</v>
      </c>
      <c r="K7511" t="b">
        <v>0</v>
      </c>
      <c r="L7511" t="b">
        <v>0</v>
      </c>
    </row>
    <row r="7513" spans="1:25" x14ac:dyDescent="0.2">
      <c r="A7513" s="2">
        <v>4494</v>
      </c>
      <c r="B7513" s="2" t="s">
        <v>11167</v>
      </c>
      <c r="C7513" s="2" t="s">
        <v>13</v>
      </c>
      <c r="D7513" s="2" t="s">
        <v>10177</v>
      </c>
      <c r="E7513" s="2" t="s">
        <v>11168</v>
      </c>
      <c r="F7513" s="2" t="s">
        <v>122</v>
      </c>
      <c r="G7513" s="2" t="s">
        <v>24</v>
      </c>
      <c r="H7513" s="2"/>
      <c r="I7513" s="2"/>
      <c r="J7513" s="2"/>
      <c r="K7513" s="2"/>
      <c r="L7513" s="2"/>
      <c r="M7513" s="2"/>
      <c r="N7513" s="2"/>
      <c r="O7513" s="2"/>
      <c r="P7513" s="2"/>
      <c r="Q7513" s="2"/>
      <c r="R7513" s="2"/>
      <c r="S7513" s="2"/>
      <c r="T7513" s="2"/>
      <c r="U7513" s="2"/>
      <c r="V7513" s="2"/>
      <c r="W7513" s="2"/>
      <c r="X7513" s="2"/>
      <c r="Y7513" s="2"/>
    </row>
    <row r="7514" spans="1:25" x14ac:dyDescent="0.2">
      <c r="A7514">
        <v>4495</v>
      </c>
      <c r="B7514" t="s">
        <v>11167</v>
      </c>
      <c r="C7514" t="s">
        <v>18</v>
      </c>
      <c r="D7514" t="s">
        <v>10177</v>
      </c>
      <c r="E7514" t="s">
        <v>1100</v>
      </c>
      <c r="F7514" t="s">
        <v>122</v>
      </c>
      <c r="G7514" t="s">
        <v>24</v>
      </c>
      <c r="J7514" t="b">
        <v>1</v>
      </c>
      <c r="K7514" t="b">
        <v>1</v>
      </c>
      <c r="L7514" t="b">
        <v>1</v>
      </c>
      <c r="M7514" t="str">
        <f>HYPERLINK("https://arizona.app.box.com/file/389170572307")</f>
        <v>https://arizona.app.box.com/file/389170572307</v>
      </c>
      <c r="N7514" t="str">
        <f>HYPERLINK("https://arizona.app.box.com/file/386245701877")</f>
        <v>https://arizona.app.box.com/file/386245701877</v>
      </c>
    </row>
    <row r="7515" spans="1:25" x14ac:dyDescent="0.2">
      <c r="A7515">
        <v>4496</v>
      </c>
      <c r="B7515" t="s">
        <v>11167</v>
      </c>
      <c r="C7515" t="s">
        <v>18</v>
      </c>
      <c r="D7515" t="s">
        <v>10178</v>
      </c>
      <c r="E7515" t="s">
        <v>10179</v>
      </c>
      <c r="F7515" t="s">
        <v>122</v>
      </c>
      <c r="G7515" t="s">
        <v>24</v>
      </c>
      <c r="J7515" t="b">
        <v>1</v>
      </c>
      <c r="K7515" t="b">
        <v>1</v>
      </c>
      <c r="L7515" t="b">
        <v>1</v>
      </c>
      <c r="M7515" t="str">
        <f>HYPERLINK("https://arizona.app.box.com/file/389262898129")</f>
        <v>https://arizona.app.box.com/file/389262898129</v>
      </c>
      <c r="N7515" t="str">
        <f>HYPERLINK("https://arizona.app.box.com/file/389164409206")</f>
        <v>https://arizona.app.box.com/file/389164409206</v>
      </c>
    </row>
    <row r="7516" spans="1:25" x14ac:dyDescent="0.2">
      <c r="A7516">
        <v>4497</v>
      </c>
      <c r="B7516" t="s">
        <v>11167</v>
      </c>
      <c r="C7516" t="s">
        <v>18</v>
      </c>
      <c r="D7516" t="s">
        <v>11169</v>
      </c>
      <c r="E7516" t="s">
        <v>10179</v>
      </c>
      <c r="F7516" t="s">
        <v>122</v>
      </c>
      <c r="G7516" t="s">
        <v>24</v>
      </c>
      <c r="J7516" t="b">
        <v>1</v>
      </c>
      <c r="K7516" t="b">
        <v>1</v>
      </c>
      <c r="L7516" t="b">
        <v>1</v>
      </c>
    </row>
    <row r="7517" spans="1:25" x14ac:dyDescent="0.2">
      <c r="A7517">
        <v>4498</v>
      </c>
      <c r="B7517" t="s">
        <v>11167</v>
      </c>
      <c r="C7517" t="s">
        <v>18</v>
      </c>
      <c r="D7517" t="s">
        <v>1579</v>
      </c>
      <c r="E7517" t="s">
        <v>1580</v>
      </c>
      <c r="F7517" t="s">
        <v>122</v>
      </c>
      <c r="G7517" t="s">
        <v>24</v>
      </c>
      <c r="J7517" t="b">
        <v>0</v>
      </c>
      <c r="K7517" t="b">
        <v>0</v>
      </c>
      <c r="L7517" t="b">
        <v>0</v>
      </c>
      <c r="M7517" t="str">
        <f>HYPERLINK("https://arizona.app.box.com/file/386226923986")</f>
        <v>https://arizona.app.box.com/file/386226923986</v>
      </c>
      <c r="N7517" t="str">
        <f>HYPERLINK("https://arizona.app.box.com/file/386245351562")</f>
        <v>https://arizona.app.box.com/file/386245351562</v>
      </c>
    </row>
    <row r="7518" spans="1:25" x14ac:dyDescent="0.2">
      <c r="A7518">
        <v>4499</v>
      </c>
      <c r="B7518" t="s">
        <v>11167</v>
      </c>
      <c r="C7518" t="s">
        <v>18</v>
      </c>
      <c r="D7518" t="s">
        <v>11170</v>
      </c>
      <c r="E7518" t="s">
        <v>11171</v>
      </c>
      <c r="F7518" t="s">
        <v>122</v>
      </c>
      <c r="G7518" t="s">
        <v>24</v>
      </c>
      <c r="J7518" t="b">
        <v>0</v>
      </c>
      <c r="K7518" t="b">
        <v>0</v>
      </c>
      <c r="L7518" t="b">
        <v>0</v>
      </c>
    </row>
    <row r="7520" spans="1:25" x14ac:dyDescent="0.2">
      <c r="A7520" s="2">
        <v>4515</v>
      </c>
      <c r="B7520" s="2" t="s">
        <v>11172</v>
      </c>
      <c r="C7520" s="2" t="s">
        <v>13</v>
      </c>
      <c r="D7520" s="2" t="s">
        <v>11173</v>
      </c>
      <c r="E7520" s="2" t="s">
        <v>11174</v>
      </c>
      <c r="F7520" s="2" t="s">
        <v>654</v>
      </c>
      <c r="G7520" s="2" t="s">
        <v>88</v>
      </c>
      <c r="H7520" s="2"/>
      <c r="I7520" s="2"/>
      <c r="J7520" s="2"/>
      <c r="K7520" s="2"/>
      <c r="L7520" s="2"/>
      <c r="M7520" s="2"/>
      <c r="N7520" s="2"/>
      <c r="O7520" s="2"/>
      <c r="P7520" s="2"/>
      <c r="Q7520" s="2"/>
      <c r="R7520" s="2"/>
      <c r="S7520" s="2"/>
      <c r="T7520" s="2"/>
      <c r="U7520" s="2"/>
      <c r="V7520" s="2"/>
      <c r="W7520" s="2"/>
      <c r="X7520" s="2"/>
      <c r="Y7520" s="2"/>
    </row>
    <row r="7521" spans="1:25" x14ac:dyDescent="0.2">
      <c r="A7521">
        <v>4516</v>
      </c>
      <c r="B7521" t="s">
        <v>11172</v>
      </c>
      <c r="C7521" t="s">
        <v>18</v>
      </c>
      <c r="D7521" t="s">
        <v>11173</v>
      </c>
      <c r="E7521" t="s">
        <v>4483</v>
      </c>
      <c r="F7521" t="s">
        <v>654</v>
      </c>
      <c r="G7521" t="s">
        <v>88</v>
      </c>
      <c r="J7521" t="b">
        <v>1</v>
      </c>
      <c r="K7521" t="b">
        <v>1</v>
      </c>
      <c r="L7521" t="b">
        <v>1</v>
      </c>
      <c r="M7521" t="str">
        <f>HYPERLINK("https://arizona.app.box.com/file/389172287319")</f>
        <v>https://arizona.app.box.com/file/389172287319</v>
      </c>
      <c r="N7521" t="str">
        <f>HYPERLINK("https://arizona.app.box.com/file/386227314316")</f>
        <v>https://arizona.app.box.com/file/386227314316</v>
      </c>
    </row>
    <row r="7522" spans="1:25" x14ac:dyDescent="0.2">
      <c r="A7522">
        <v>4517</v>
      </c>
      <c r="B7522" t="s">
        <v>11172</v>
      </c>
      <c r="C7522" t="s">
        <v>18</v>
      </c>
      <c r="D7522" t="s">
        <v>11175</v>
      </c>
      <c r="E7522" t="s">
        <v>6017</v>
      </c>
      <c r="F7522" t="s">
        <v>654</v>
      </c>
      <c r="G7522" t="s">
        <v>88</v>
      </c>
      <c r="J7522" t="b">
        <v>1</v>
      </c>
      <c r="K7522" t="b">
        <v>1</v>
      </c>
      <c r="L7522" t="b">
        <v>1</v>
      </c>
      <c r="M7522" t="str">
        <f>HYPERLINK("https://arizona.app.box.com/file/389261439474")</f>
        <v>https://arizona.app.box.com/file/389261439474</v>
      </c>
      <c r="N7522" t="str">
        <f>HYPERLINK("https://arizona.app.box.com/file/389164552932")</f>
        <v>https://arizona.app.box.com/file/389164552932</v>
      </c>
    </row>
    <row r="7523" spans="1:25" x14ac:dyDescent="0.2">
      <c r="A7523">
        <v>4518</v>
      </c>
      <c r="B7523" t="s">
        <v>11172</v>
      </c>
      <c r="C7523" t="s">
        <v>18</v>
      </c>
      <c r="D7523" t="s">
        <v>1075</v>
      </c>
      <c r="E7523" t="s">
        <v>1076</v>
      </c>
      <c r="F7523" t="s">
        <v>1077</v>
      </c>
      <c r="G7523" t="s">
        <v>88</v>
      </c>
      <c r="J7523" t="b">
        <v>0</v>
      </c>
      <c r="K7523" t="b">
        <v>0</v>
      </c>
      <c r="L7523" t="b">
        <v>0</v>
      </c>
      <c r="M7523" t="str">
        <f>HYPERLINK("https://arizona.app.box.com/file/386241564709")</f>
        <v>https://arizona.app.box.com/file/386241564709</v>
      </c>
    </row>
    <row r="7524" spans="1:25" x14ac:dyDescent="0.2">
      <c r="A7524">
        <v>4519</v>
      </c>
      <c r="B7524" t="s">
        <v>11172</v>
      </c>
      <c r="C7524" t="s">
        <v>18</v>
      </c>
      <c r="D7524" t="s">
        <v>1079</v>
      </c>
      <c r="E7524" t="s">
        <v>1080</v>
      </c>
      <c r="F7524" t="s">
        <v>1077</v>
      </c>
      <c r="G7524" t="s">
        <v>88</v>
      </c>
      <c r="J7524" t="b">
        <v>0</v>
      </c>
      <c r="K7524" t="b">
        <v>0</v>
      </c>
      <c r="L7524" t="b">
        <v>0</v>
      </c>
      <c r="M7524" t="str">
        <f>HYPERLINK("https://arizona.app.box.com/file/386264867328")</f>
        <v>https://arizona.app.box.com/file/386264867328</v>
      </c>
    </row>
    <row r="7525" spans="1:25" x14ac:dyDescent="0.2">
      <c r="A7525">
        <v>4520</v>
      </c>
      <c r="B7525" t="s">
        <v>11172</v>
      </c>
      <c r="C7525" t="s">
        <v>18</v>
      </c>
      <c r="D7525" t="s">
        <v>8888</v>
      </c>
      <c r="E7525" t="s">
        <v>8889</v>
      </c>
      <c r="F7525" t="s">
        <v>1077</v>
      </c>
      <c r="G7525" t="s">
        <v>88</v>
      </c>
      <c r="J7525" t="b">
        <v>0</v>
      </c>
      <c r="K7525" t="b">
        <v>0</v>
      </c>
      <c r="L7525" t="b">
        <v>0</v>
      </c>
      <c r="M7525" t="str">
        <f>HYPERLINK("https://arizona.app.box.com/file/386246892991")</f>
        <v>https://arizona.app.box.com/file/386246892991</v>
      </c>
    </row>
    <row r="7527" spans="1:25" x14ac:dyDescent="0.2">
      <c r="A7527" s="2">
        <v>4543</v>
      </c>
      <c r="B7527" s="2" t="s">
        <v>11176</v>
      </c>
      <c r="C7527" s="2" t="s">
        <v>13</v>
      </c>
      <c r="D7527" s="2" t="s">
        <v>8510</v>
      </c>
      <c r="E7527" s="2" t="s">
        <v>8511</v>
      </c>
      <c r="F7527" s="2" t="s">
        <v>20</v>
      </c>
      <c r="G7527" s="2" t="s">
        <v>17</v>
      </c>
      <c r="H7527" s="2"/>
      <c r="I7527" s="2"/>
      <c r="J7527" s="2"/>
      <c r="K7527" s="2"/>
      <c r="L7527" s="2"/>
      <c r="M7527" s="2"/>
      <c r="N7527" s="2"/>
      <c r="O7527" s="2"/>
      <c r="P7527" s="2"/>
      <c r="Q7527" s="2"/>
      <c r="R7527" s="2"/>
      <c r="S7527" s="2"/>
      <c r="T7527" s="2"/>
      <c r="U7527" s="2"/>
      <c r="V7527" s="2"/>
      <c r="W7527" s="2"/>
      <c r="X7527" s="2"/>
      <c r="Y7527" s="2"/>
    </row>
    <row r="7528" spans="1:25" x14ac:dyDescent="0.2">
      <c r="A7528">
        <v>4544</v>
      </c>
      <c r="B7528" t="s">
        <v>11176</v>
      </c>
      <c r="C7528" t="s">
        <v>18</v>
      </c>
      <c r="D7528" t="s">
        <v>8510</v>
      </c>
      <c r="E7528" t="s">
        <v>8511</v>
      </c>
      <c r="F7528" t="s">
        <v>20</v>
      </c>
      <c r="G7528" t="s">
        <v>17</v>
      </c>
      <c r="J7528" t="b">
        <v>1</v>
      </c>
      <c r="K7528" t="b">
        <v>1</v>
      </c>
      <c r="L7528" t="b">
        <v>1</v>
      </c>
      <c r="M7528" t="str">
        <f>HYPERLINK("https://arizona.app.box.com/file/389161568038")</f>
        <v>https://arizona.app.box.com/file/389161568038</v>
      </c>
      <c r="N7528" t="str">
        <f>HYPERLINK("https://arizona.app.box.com/file/389159936717")</f>
        <v>https://arizona.app.box.com/file/389159936717</v>
      </c>
    </row>
    <row r="7529" spans="1:25" x14ac:dyDescent="0.2">
      <c r="A7529">
        <v>4545</v>
      </c>
      <c r="B7529" t="s">
        <v>11176</v>
      </c>
      <c r="C7529" t="s">
        <v>18</v>
      </c>
      <c r="D7529" t="s">
        <v>10149</v>
      </c>
      <c r="E7529" t="s">
        <v>10150</v>
      </c>
      <c r="F7529" t="s">
        <v>82</v>
      </c>
      <c r="G7529" t="s">
        <v>17</v>
      </c>
      <c r="J7529" t="b">
        <v>0</v>
      </c>
      <c r="K7529" t="b">
        <v>0</v>
      </c>
      <c r="L7529" t="b">
        <v>0</v>
      </c>
    </row>
    <row r="7530" spans="1:25" x14ac:dyDescent="0.2">
      <c r="A7530">
        <v>4546</v>
      </c>
      <c r="B7530" t="s">
        <v>11176</v>
      </c>
      <c r="C7530" t="s">
        <v>18</v>
      </c>
      <c r="D7530" t="s">
        <v>10153</v>
      </c>
      <c r="E7530" t="s">
        <v>10154</v>
      </c>
      <c r="F7530" t="s">
        <v>82</v>
      </c>
      <c r="G7530" t="s">
        <v>17</v>
      </c>
      <c r="J7530" t="b">
        <v>0</v>
      </c>
      <c r="K7530" t="b">
        <v>0</v>
      </c>
      <c r="L7530" t="b">
        <v>0</v>
      </c>
      <c r="M7530" t="str">
        <f>HYPERLINK("https://arizona.app.box.com/file/386243589441")</f>
        <v>https://arizona.app.box.com/file/386243589441</v>
      </c>
    </row>
    <row r="7531" spans="1:25" x14ac:dyDescent="0.2">
      <c r="A7531">
        <v>4547</v>
      </c>
      <c r="B7531" t="s">
        <v>11176</v>
      </c>
      <c r="C7531" t="s">
        <v>18</v>
      </c>
      <c r="D7531" t="s">
        <v>10151</v>
      </c>
      <c r="E7531" t="s">
        <v>10152</v>
      </c>
      <c r="F7531" t="s">
        <v>20</v>
      </c>
      <c r="G7531" t="s">
        <v>17</v>
      </c>
      <c r="J7531" t="b">
        <v>0</v>
      </c>
      <c r="K7531" t="b">
        <v>0</v>
      </c>
      <c r="L7531" t="b">
        <v>0</v>
      </c>
      <c r="M7531" t="str">
        <f>HYPERLINK("https://arizona.app.box.com/file/386237980027")</f>
        <v>https://arizona.app.box.com/file/386237980027</v>
      </c>
    </row>
    <row r="7532" spans="1:25" x14ac:dyDescent="0.2">
      <c r="A7532">
        <v>4548</v>
      </c>
      <c r="B7532" t="s">
        <v>11176</v>
      </c>
      <c r="C7532" t="s">
        <v>18</v>
      </c>
      <c r="D7532" t="s">
        <v>9428</v>
      </c>
      <c r="E7532" t="s">
        <v>9429</v>
      </c>
      <c r="F7532" t="s">
        <v>20</v>
      </c>
      <c r="G7532" t="s">
        <v>17</v>
      </c>
      <c r="J7532" t="b">
        <v>0</v>
      </c>
      <c r="K7532" t="b">
        <v>0</v>
      </c>
      <c r="L7532" t="b">
        <v>0</v>
      </c>
      <c r="M7532" t="str">
        <f>HYPERLINK("https://arizona.app.box.com/file/389152112683")</f>
        <v>https://arizona.app.box.com/file/389152112683</v>
      </c>
      <c r="N7532" t="str">
        <f>HYPERLINK("https://arizona.app.box.com/file/389157808966")</f>
        <v>https://arizona.app.box.com/file/389157808966</v>
      </c>
    </row>
    <row r="7534" spans="1:25" x14ac:dyDescent="0.2">
      <c r="A7534" s="2">
        <v>455</v>
      </c>
      <c r="B7534" s="2" t="s">
        <v>11177</v>
      </c>
      <c r="C7534" s="2" t="s">
        <v>13</v>
      </c>
      <c r="D7534" s="2" t="s">
        <v>11178</v>
      </c>
      <c r="E7534" s="2" t="s">
        <v>11179</v>
      </c>
      <c r="F7534" s="2" t="s">
        <v>159</v>
      </c>
      <c r="G7534" s="2" t="s">
        <v>345</v>
      </c>
      <c r="H7534" s="2"/>
      <c r="I7534" s="2"/>
      <c r="J7534" s="2"/>
      <c r="K7534" s="2"/>
      <c r="L7534" s="2"/>
      <c r="M7534" s="2"/>
      <c r="N7534" s="2"/>
      <c r="O7534" s="2"/>
      <c r="P7534" s="2"/>
      <c r="Q7534" s="2"/>
      <c r="R7534" s="2"/>
      <c r="S7534" s="2"/>
      <c r="T7534" s="2"/>
      <c r="U7534" s="2"/>
      <c r="V7534" s="2"/>
      <c r="W7534" s="2"/>
      <c r="X7534" s="2"/>
      <c r="Y7534" s="2"/>
    </row>
    <row r="7535" spans="1:25" x14ac:dyDescent="0.2">
      <c r="A7535">
        <v>456</v>
      </c>
      <c r="B7535" t="s">
        <v>11177</v>
      </c>
      <c r="C7535" t="s">
        <v>18</v>
      </c>
      <c r="D7535" t="s">
        <v>11178</v>
      </c>
      <c r="E7535" t="s">
        <v>11180</v>
      </c>
      <c r="F7535" t="s">
        <v>159</v>
      </c>
      <c r="G7535" t="s">
        <v>345</v>
      </c>
      <c r="J7535" t="b">
        <v>1</v>
      </c>
      <c r="K7535" t="b">
        <v>1</v>
      </c>
      <c r="L7535" t="b">
        <v>1</v>
      </c>
      <c r="M7535" t="str">
        <f>HYPERLINK("https://arizona.app.box.com/file/389169612256")</f>
        <v>https://arizona.app.box.com/file/389169612256</v>
      </c>
      <c r="N7535" t="str">
        <f>HYPERLINK("https://arizona.app.box.com/file/386216530322")</f>
        <v>https://arizona.app.box.com/file/386216530322</v>
      </c>
    </row>
    <row r="7536" spans="1:25" x14ac:dyDescent="0.2">
      <c r="A7536">
        <v>457</v>
      </c>
      <c r="B7536" t="s">
        <v>11177</v>
      </c>
      <c r="C7536" t="s">
        <v>18</v>
      </c>
      <c r="D7536" t="s">
        <v>8603</v>
      </c>
      <c r="E7536" t="s">
        <v>8604</v>
      </c>
      <c r="F7536" t="s">
        <v>23</v>
      </c>
      <c r="G7536" t="s">
        <v>17</v>
      </c>
      <c r="J7536" t="b">
        <v>0</v>
      </c>
      <c r="K7536" t="b">
        <v>0</v>
      </c>
      <c r="L7536" t="b">
        <v>0</v>
      </c>
      <c r="M7536" t="str">
        <f>HYPERLINK("https://arizona.app.box.com/file/389174493431")</f>
        <v>https://arizona.app.box.com/file/389174493431</v>
      </c>
    </row>
    <row r="7537" spans="1:25" x14ac:dyDescent="0.2">
      <c r="A7537">
        <v>458</v>
      </c>
      <c r="B7537" t="s">
        <v>11177</v>
      </c>
      <c r="C7537" t="s">
        <v>18</v>
      </c>
      <c r="D7537" t="s">
        <v>4428</v>
      </c>
      <c r="E7537" t="s">
        <v>4429</v>
      </c>
      <c r="F7537" t="s">
        <v>78</v>
      </c>
      <c r="G7537" t="s">
        <v>88</v>
      </c>
      <c r="J7537" t="b">
        <v>0</v>
      </c>
      <c r="K7537" t="b">
        <v>0</v>
      </c>
      <c r="L7537" t="b">
        <v>0</v>
      </c>
    </row>
    <row r="7538" spans="1:25" x14ac:dyDescent="0.2">
      <c r="A7538">
        <v>459</v>
      </c>
      <c r="B7538" t="s">
        <v>11177</v>
      </c>
      <c r="C7538" t="s">
        <v>18</v>
      </c>
      <c r="D7538" t="s">
        <v>11181</v>
      </c>
      <c r="E7538" t="s">
        <v>7381</v>
      </c>
      <c r="F7538" t="s">
        <v>174</v>
      </c>
      <c r="G7538" t="s">
        <v>17</v>
      </c>
      <c r="J7538" t="b">
        <v>0</v>
      </c>
      <c r="K7538" t="b">
        <v>0</v>
      </c>
      <c r="L7538" t="b">
        <v>0</v>
      </c>
      <c r="M7538" t="str">
        <f>HYPERLINK("https://arizona.app.box.com/file/389266460728")</f>
        <v>https://arizona.app.box.com/file/389266460728</v>
      </c>
      <c r="N7538" t="str">
        <f>HYPERLINK("https://arizona.app.box.com/file/389169029660")</f>
        <v>https://arizona.app.box.com/file/389169029660</v>
      </c>
    </row>
    <row r="7539" spans="1:25" x14ac:dyDescent="0.2">
      <c r="A7539">
        <v>460</v>
      </c>
      <c r="B7539" t="s">
        <v>11177</v>
      </c>
      <c r="C7539" t="s">
        <v>18</v>
      </c>
      <c r="D7539" t="s">
        <v>7276</v>
      </c>
      <c r="E7539" t="s">
        <v>7277</v>
      </c>
      <c r="F7539" t="s">
        <v>174</v>
      </c>
      <c r="G7539" t="s">
        <v>62</v>
      </c>
      <c r="J7539" t="b">
        <v>0</v>
      </c>
      <c r="K7539" t="b">
        <v>0</v>
      </c>
      <c r="L7539" t="b">
        <v>0</v>
      </c>
    </row>
    <row r="7541" spans="1:25" x14ac:dyDescent="0.2">
      <c r="A7541" s="2">
        <v>4550</v>
      </c>
      <c r="B7541" s="2" t="s">
        <v>11182</v>
      </c>
      <c r="C7541" s="2" t="s">
        <v>13</v>
      </c>
      <c r="D7541" s="2" t="s">
        <v>11183</v>
      </c>
      <c r="E7541" s="2" t="s">
        <v>11184</v>
      </c>
      <c r="F7541" s="2" t="s">
        <v>159</v>
      </c>
      <c r="G7541" s="2" t="s">
        <v>345</v>
      </c>
      <c r="H7541" s="2"/>
      <c r="I7541" s="2"/>
      <c r="J7541" s="2"/>
      <c r="K7541" s="2"/>
      <c r="L7541" s="2"/>
      <c r="M7541" s="2"/>
      <c r="N7541" s="2"/>
      <c r="O7541" s="2"/>
      <c r="P7541" s="2"/>
      <c r="Q7541" s="2"/>
      <c r="R7541" s="2"/>
      <c r="S7541" s="2"/>
      <c r="T7541" s="2"/>
      <c r="U7541" s="2"/>
      <c r="V7541" s="2"/>
      <c r="W7541" s="2"/>
      <c r="X7541" s="2"/>
      <c r="Y7541" s="2"/>
    </row>
    <row r="7542" spans="1:25" x14ac:dyDescent="0.2">
      <c r="A7542">
        <v>4551</v>
      </c>
      <c r="B7542" t="s">
        <v>11182</v>
      </c>
      <c r="C7542" t="s">
        <v>18</v>
      </c>
      <c r="D7542" t="s">
        <v>11183</v>
      </c>
      <c r="E7542" t="s">
        <v>6981</v>
      </c>
      <c r="F7542" t="s">
        <v>159</v>
      </c>
      <c r="G7542" t="s">
        <v>345</v>
      </c>
      <c r="J7542" t="b">
        <v>1</v>
      </c>
      <c r="K7542" t="b">
        <v>1</v>
      </c>
      <c r="L7542" t="b">
        <v>1</v>
      </c>
      <c r="M7542" t="str">
        <f>HYPERLINK("https://arizona.app.box.com/file/386237046026")</f>
        <v>https://arizona.app.box.com/file/386237046026</v>
      </c>
    </row>
    <row r="7543" spans="1:25" x14ac:dyDescent="0.2">
      <c r="A7543">
        <v>4552</v>
      </c>
      <c r="B7543" t="s">
        <v>11182</v>
      </c>
      <c r="C7543" t="s">
        <v>18</v>
      </c>
      <c r="D7543" t="s">
        <v>4197</v>
      </c>
      <c r="E7543" t="s">
        <v>1789</v>
      </c>
      <c r="F7543" t="s">
        <v>174</v>
      </c>
      <c r="G7543" t="s">
        <v>17</v>
      </c>
      <c r="J7543" t="b">
        <v>0</v>
      </c>
      <c r="K7543" t="b">
        <v>0</v>
      </c>
      <c r="L7543" t="b">
        <v>0</v>
      </c>
      <c r="M7543" t="str">
        <f>HYPERLINK("https://arizona.app.box.com/file/389170642136")</f>
        <v>https://arizona.app.box.com/file/389170642136</v>
      </c>
      <c r="N7543" t="str">
        <f>HYPERLINK("https://arizona.app.box.com/file/386239372641")</f>
        <v>https://arizona.app.box.com/file/386239372641</v>
      </c>
    </row>
    <row r="7544" spans="1:25" x14ac:dyDescent="0.2">
      <c r="A7544">
        <v>4553</v>
      </c>
      <c r="B7544" t="s">
        <v>11182</v>
      </c>
      <c r="C7544" t="s">
        <v>18</v>
      </c>
      <c r="D7544" t="s">
        <v>11185</v>
      </c>
      <c r="E7544" t="s">
        <v>155</v>
      </c>
      <c r="F7544" t="s">
        <v>168</v>
      </c>
      <c r="G7544" t="s">
        <v>17</v>
      </c>
      <c r="J7544" t="b">
        <v>0</v>
      </c>
      <c r="K7544" t="b">
        <v>0</v>
      </c>
      <c r="L7544" t="b">
        <v>0</v>
      </c>
      <c r="M7544" t="str">
        <f>HYPERLINK("https://arizona.app.box.com/file/386272962838")</f>
        <v>https://arizona.app.box.com/file/386272962838</v>
      </c>
    </row>
    <row r="7545" spans="1:25" x14ac:dyDescent="0.2">
      <c r="A7545">
        <v>4554</v>
      </c>
      <c r="B7545" t="s">
        <v>11182</v>
      </c>
      <c r="C7545" t="s">
        <v>18</v>
      </c>
      <c r="D7545" t="s">
        <v>11186</v>
      </c>
      <c r="E7545" t="s">
        <v>11187</v>
      </c>
      <c r="F7545" t="s">
        <v>151</v>
      </c>
      <c r="G7545" t="s">
        <v>24</v>
      </c>
      <c r="J7545" t="b">
        <v>0</v>
      </c>
      <c r="K7545" t="b">
        <v>0</v>
      </c>
      <c r="L7545" t="b">
        <v>0</v>
      </c>
      <c r="M7545" t="str">
        <f>HYPERLINK("https://arizona.app.box.com/file/386226958162")</f>
        <v>https://arizona.app.box.com/file/386226958162</v>
      </c>
      <c r="N7545" t="str">
        <f>HYPERLINK("https://arizona.app.box.com/file/386241113911")</f>
        <v>https://arizona.app.box.com/file/386241113911</v>
      </c>
    </row>
    <row r="7546" spans="1:25" x14ac:dyDescent="0.2">
      <c r="A7546">
        <v>4555</v>
      </c>
      <c r="B7546" t="s">
        <v>11182</v>
      </c>
      <c r="C7546" t="s">
        <v>18</v>
      </c>
      <c r="D7546" t="s">
        <v>11188</v>
      </c>
      <c r="E7546" t="s">
        <v>11189</v>
      </c>
      <c r="F7546" t="s">
        <v>168</v>
      </c>
      <c r="G7546" t="s">
        <v>17</v>
      </c>
      <c r="J7546" t="b">
        <v>0</v>
      </c>
      <c r="K7546" t="b">
        <v>0</v>
      </c>
      <c r="L7546" t="b">
        <v>0</v>
      </c>
      <c r="M7546" t="str">
        <f>HYPERLINK("https://arizona.app.box.com/file/386246239060")</f>
        <v>https://arizona.app.box.com/file/386246239060</v>
      </c>
    </row>
    <row r="7548" spans="1:25" x14ac:dyDescent="0.2">
      <c r="A7548" s="2">
        <v>4578</v>
      </c>
      <c r="B7548" s="2" t="s">
        <v>11190</v>
      </c>
      <c r="C7548" s="2" t="s">
        <v>13</v>
      </c>
      <c r="D7548" s="2" t="s">
        <v>8734</v>
      </c>
      <c r="E7548" s="2" t="s">
        <v>11191</v>
      </c>
      <c r="F7548" s="2" t="s">
        <v>174</v>
      </c>
      <c r="G7548" s="2" t="s">
        <v>17</v>
      </c>
      <c r="H7548" s="2"/>
      <c r="I7548" s="2"/>
      <c r="J7548" s="2"/>
      <c r="K7548" s="2"/>
      <c r="L7548" s="2"/>
      <c r="M7548" s="2"/>
      <c r="N7548" s="2"/>
      <c r="O7548" s="2"/>
      <c r="P7548" s="2"/>
      <c r="Q7548" s="2"/>
      <c r="R7548" s="2"/>
      <c r="S7548" s="2"/>
      <c r="T7548" s="2"/>
      <c r="U7548" s="2"/>
      <c r="V7548" s="2"/>
      <c r="W7548" s="2"/>
      <c r="X7548" s="2"/>
      <c r="Y7548" s="2"/>
    </row>
    <row r="7549" spans="1:25" x14ac:dyDescent="0.2">
      <c r="A7549">
        <v>4579</v>
      </c>
      <c r="B7549" t="s">
        <v>11190</v>
      </c>
      <c r="C7549" t="s">
        <v>18</v>
      </c>
      <c r="D7549" t="s">
        <v>8734</v>
      </c>
      <c r="E7549" t="s">
        <v>3860</v>
      </c>
      <c r="F7549" t="s">
        <v>174</v>
      </c>
      <c r="G7549" t="s">
        <v>17</v>
      </c>
      <c r="J7549" t="b">
        <v>1</v>
      </c>
      <c r="K7549" t="b">
        <v>1</v>
      </c>
      <c r="L7549" t="b">
        <v>1</v>
      </c>
      <c r="M7549" t="str">
        <f>HYPERLINK("https://arizona.app.box.com/file/389274443489")</f>
        <v>https://arizona.app.box.com/file/389274443489</v>
      </c>
      <c r="N7549" t="str">
        <f>HYPERLINK("https://arizona.app.box.com/file/389169638476")</f>
        <v>https://arizona.app.box.com/file/389169638476</v>
      </c>
    </row>
    <row r="7550" spans="1:25" x14ac:dyDescent="0.2">
      <c r="A7550">
        <v>4580</v>
      </c>
      <c r="B7550" t="s">
        <v>11190</v>
      </c>
      <c r="C7550" t="s">
        <v>18</v>
      </c>
      <c r="D7550" t="s">
        <v>11181</v>
      </c>
      <c r="E7550" t="s">
        <v>7381</v>
      </c>
      <c r="F7550" t="s">
        <v>174</v>
      </c>
      <c r="G7550" t="s">
        <v>17</v>
      </c>
      <c r="J7550" t="b">
        <v>1</v>
      </c>
      <c r="K7550" t="b">
        <v>1</v>
      </c>
      <c r="L7550" t="b">
        <v>1</v>
      </c>
      <c r="M7550" t="str">
        <f>HYPERLINK("https://arizona.app.box.com/file/389266460728")</f>
        <v>https://arizona.app.box.com/file/389266460728</v>
      </c>
      <c r="N7550" t="str">
        <f>HYPERLINK("https://arizona.app.box.com/file/389169029660")</f>
        <v>https://arizona.app.box.com/file/389169029660</v>
      </c>
    </row>
    <row r="7551" spans="1:25" x14ac:dyDescent="0.2">
      <c r="A7551">
        <v>4581</v>
      </c>
      <c r="B7551" t="s">
        <v>11190</v>
      </c>
      <c r="C7551" t="s">
        <v>18</v>
      </c>
      <c r="D7551" t="s">
        <v>11117</v>
      </c>
      <c r="E7551" t="s">
        <v>11118</v>
      </c>
      <c r="F7551" t="s">
        <v>174</v>
      </c>
      <c r="G7551" t="s">
        <v>17</v>
      </c>
      <c r="J7551" t="b">
        <v>0</v>
      </c>
      <c r="K7551" t="b">
        <v>0</v>
      </c>
      <c r="L7551" t="b">
        <v>0</v>
      </c>
    </row>
    <row r="7552" spans="1:25" x14ac:dyDescent="0.2">
      <c r="A7552">
        <v>4582</v>
      </c>
      <c r="B7552" t="s">
        <v>11190</v>
      </c>
      <c r="C7552" t="s">
        <v>18</v>
      </c>
      <c r="D7552" t="s">
        <v>11192</v>
      </c>
      <c r="E7552" t="s">
        <v>11193</v>
      </c>
      <c r="F7552" t="s">
        <v>174</v>
      </c>
      <c r="G7552" t="s">
        <v>17</v>
      </c>
      <c r="J7552" t="b">
        <v>0</v>
      </c>
      <c r="K7552" t="b">
        <v>0</v>
      </c>
      <c r="L7552" t="b">
        <v>0</v>
      </c>
    </row>
    <row r="7553" spans="1:25" x14ac:dyDescent="0.2">
      <c r="A7553">
        <v>4583</v>
      </c>
      <c r="B7553" t="s">
        <v>11190</v>
      </c>
      <c r="C7553" t="s">
        <v>18</v>
      </c>
      <c r="D7553" t="s">
        <v>11194</v>
      </c>
      <c r="E7553" t="s">
        <v>11195</v>
      </c>
      <c r="F7553" t="s">
        <v>174</v>
      </c>
      <c r="G7553" t="s">
        <v>17</v>
      </c>
      <c r="J7553" t="b">
        <v>0</v>
      </c>
      <c r="K7553" t="b">
        <v>0</v>
      </c>
      <c r="L7553" t="b">
        <v>0</v>
      </c>
      <c r="M7553" t="str">
        <f>HYPERLINK("https://arizona.app.box.com/file/386248514311")</f>
        <v>https://arizona.app.box.com/file/386248514311</v>
      </c>
    </row>
    <row r="7555" spans="1:25" x14ac:dyDescent="0.2">
      <c r="A7555" s="2">
        <v>4599</v>
      </c>
      <c r="B7555" s="2" t="s">
        <v>11196</v>
      </c>
      <c r="C7555" s="2" t="s">
        <v>13</v>
      </c>
      <c r="D7555" s="2" t="s">
        <v>11197</v>
      </c>
      <c r="E7555" s="2" t="s">
        <v>11198</v>
      </c>
      <c r="F7555" s="2" t="s">
        <v>952</v>
      </c>
      <c r="G7555" s="2" t="s">
        <v>279</v>
      </c>
      <c r="H7555" s="2"/>
      <c r="I7555" s="2"/>
      <c r="J7555" s="2"/>
      <c r="K7555" s="2"/>
      <c r="L7555" s="2"/>
      <c r="M7555" s="2"/>
      <c r="N7555" s="2"/>
      <c r="O7555" s="2"/>
      <c r="P7555" s="2"/>
      <c r="Q7555" s="2"/>
      <c r="R7555" s="2"/>
      <c r="S7555" s="2"/>
      <c r="T7555" s="2"/>
      <c r="U7555" s="2"/>
      <c r="V7555" s="2"/>
      <c r="W7555" s="2"/>
      <c r="X7555" s="2"/>
      <c r="Y7555" s="2"/>
    </row>
    <row r="7556" spans="1:25" x14ac:dyDescent="0.2">
      <c r="A7556">
        <v>4600</v>
      </c>
      <c r="B7556" t="s">
        <v>11196</v>
      </c>
      <c r="C7556" t="s">
        <v>18</v>
      </c>
      <c r="D7556" t="s">
        <v>11197</v>
      </c>
      <c r="E7556" t="s">
        <v>3618</v>
      </c>
      <c r="F7556" t="s">
        <v>952</v>
      </c>
      <c r="G7556" t="s">
        <v>279</v>
      </c>
      <c r="J7556" t="b">
        <v>1</v>
      </c>
      <c r="K7556" t="b">
        <v>1</v>
      </c>
      <c r="L7556" t="b">
        <v>1</v>
      </c>
      <c r="M7556" t="str">
        <f>HYPERLINK("https://arizona.app.box.com/file/389270798805")</f>
        <v>https://arizona.app.box.com/file/389270798805</v>
      </c>
      <c r="N7556" t="str">
        <f>HYPERLINK("https://arizona.app.box.com/file/389162864391")</f>
        <v>https://arizona.app.box.com/file/389162864391</v>
      </c>
    </row>
    <row r="7557" spans="1:25" x14ac:dyDescent="0.2">
      <c r="A7557">
        <v>4601</v>
      </c>
      <c r="B7557" t="s">
        <v>11196</v>
      </c>
      <c r="C7557" t="s">
        <v>18</v>
      </c>
      <c r="D7557" t="s">
        <v>11199</v>
      </c>
      <c r="E7557" t="s">
        <v>11200</v>
      </c>
      <c r="F7557" t="s">
        <v>952</v>
      </c>
      <c r="G7557" t="s">
        <v>279</v>
      </c>
      <c r="J7557" t="b">
        <v>1</v>
      </c>
      <c r="K7557" t="b">
        <v>1</v>
      </c>
      <c r="L7557" t="b">
        <v>1</v>
      </c>
      <c r="M7557" t="str">
        <f>HYPERLINK("https://arizona.app.box.com/file/389174108390")</f>
        <v>https://arizona.app.box.com/file/389174108390</v>
      </c>
      <c r="N7557" t="str">
        <f>HYPERLINK("https://arizona.app.box.com/file/386239352753")</f>
        <v>https://arizona.app.box.com/file/386239352753</v>
      </c>
    </row>
    <row r="7558" spans="1:25" x14ac:dyDescent="0.2">
      <c r="A7558">
        <v>4602</v>
      </c>
      <c r="B7558" t="s">
        <v>11196</v>
      </c>
      <c r="C7558" t="s">
        <v>18</v>
      </c>
      <c r="D7558" t="s">
        <v>900</v>
      </c>
      <c r="E7558" t="s">
        <v>901</v>
      </c>
      <c r="F7558" t="s">
        <v>369</v>
      </c>
      <c r="G7558" t="s">
        <v>17</v>
      </c>
      <c r="J7558" t="b">
        <v>0</v>
      </c>
      <c r="K7558" t="b">
        <v>0</v>
      </c>
      <c r="L7558" t="b">
        <v>0</v>
      </c>
    </row>
    <row r="7559" spans="1:25" x14ac:dyDescent="0.2">
      <c r="A7559">
        <v>4603</v>
      </c>
      <c r="B7559" t="s">
        <v>11196</v>
      </c>
      <c r="C7559" t="s">
        <v>18</v>
      </c>
      <c r="D7559" t="s">
        <v>8953</v>
      </c>
      <c r="E7559" t="s">
        <v>1398</v>
      </c>
      <c r="F7559" t="s">
        <v>159</v>
      </c>
      <c r="G7559" t="s">
        <v>345</v>
      </c>
      <c r="J7559" t="b">
        <v>0</v>
      </c>
      <c r="K7559" t="b">
        <v>0</v>
      </c>
      <c r="L7559" t="b">
        <v>0</v>
      </c>
      <c r="M7559" t="str">
        <f>HYPERLINK("https://arizona.app.box.com/file/389163344848")</f>
        <v>https://arizona.app.box.com/file/389163344848</v>
      </c>
      <c r="N7559" t="str">
        <f>HYPERLINK("https://arizona.app.box.com/file/386216407617")</f>
        <v>https://arizona.app.box.com/file/386216407617</v>
      </c>
    </row>
    <row r="7560" spans="1:25" x14ac:dyDescent="0.2">
      <c r="A7560">
        <v>4604</v>
      </c>
      <c r="B7560" t="s">
        <v>11196</v>
      </c>
      <c r="C7560" t="s">
        <v>18</v>
      </c>
      <c r="D7560" t="s">
        <v>11201</v>
      </c>
      <c r="E7560" t="s">
        <v>10694</v>
      </c>
      <c r="F7560" t="s">
        <v>451</v>
      </c>
      <c r="G7560" t="s">
        <v>638</v>
      </c>
      <c r="J7560" t="b">
        <v>0</v>
      </c>
      <c r="K7560" t="b">
        <v>0</v>
      </c>
      <c r="L7560" t="b">
        <v>0</v>
      </c>
      <c r="M7560" t="str">
        <f>HYPERLINK("https://arizona.app.box.com/file/386242620023")</f>
        <v>https://arizona.app.box.com/file/386242620023</v>
      </c>
    </row>
    <row r="7562" spans="1:25" x14ac:dyDescent="0.2">
      <c r="A7562" s="2">
        <v>462</v>
      </c>
      <c r="B7562" s="2" t="s">
        <v>11202</v>
      </c>
      <c r="C7562" s="2" t="s">
        <v>13</v>
      </c>
      <c r="D7562" s="2" t="s">
        <v>11203</v>
      </c>
      <c r="E7562" s="2" t="s">
        <v>11204</v>
      </c>
      <c r="F7562" s="2" t="s">
        <v>16</v>
      </c>
      <c r="G7562" s="2" t="s">
        <v>1405</v>
      </c>
      <c r="H7562" s="2"/>
      <c r="I7562" s="2"/>
      <c r="J7562" s="2"/>
      <c r="K7562" s="2"/>
      <c r="L7562" s="2"/>
      <c r="M7562" s="2"/>
      <c r="N7562" s="2"/>
      <c r="O7562" s="2"/>
      <c r="P7562" s="2"/>
      <c r="Q7562" s="2"/>
      <c r="R7562" s="2"/>
      <c r="S7562" s="2"/>
      <c r="T7562" s="2"/>
      <c r="U7562" s="2"/>
      <c r="V7562" s="2"/>
      <c r="W7562" s="2"/>
      <c r="X7562" s="2"/>
      <c r="Y7562" s="2"/>
    </row>
    <row r="7563" spans="1:25" x14ac:dyDescent="0.2">
      <c r="A7563">
        <v>463</v>
      </c>
      <c r="B7563" t="s">
        <v>11202</v>
      </c>
      <c r="C7563" t="s">
        <v>18</v>
      </c>
      <c r="D7563" t="s">
        <v>5555</v>
      </c>
      <c r="E7563" t="s">
        <v>2504</v>
      </c>
      <c r="F7563" t="s">
        <v>16</v>
      </c>
      <c r="G7563" t="s">
        <v>1406</v>
      </c>
      <c r="J7563" t="b">
        <v>1</v>
      </c>
      <c r="K7563" t="b">
        <v>1</v>
      </c>
      <c r="L7563" t="b">
        <v>1</v>
      </c>
      <c r="M7563" t="str">
        <f>HYPERLINK("https://arizona.app.box.com/file/389175408876")</f>
        <v>https://arizona.app.box.com/file/389175408876</v>
      </c>
    </row>
    <row r="7564" spans="1:25" x14ac:dyDescent="0.2">
      <c r="A7564">
        <v>464</v>
      </c>
      <c r="B7564" t="s">
        <v>11202</v>
      </c>
      <c r="C7564" t="s">
        <v>18</v>
      </c>
      <c r="D7564" t="s">
        <v>5551</v>
      </c>
      <c r="E7564" t="s">
        <v>5552</v>
      </c>
      <c r="F7564" t="s">
        <v>16</v>
      </c>
      <c r="G7564" t="s">
        <v>24</v>
      </c>
      <c r="J7564" t="b">
        <v>0</v>
      </c>
      <c r="K7564" t="b">
        <v>0</v>
      </c>
      <c r="L7564" t="b">
        <v>0</v>
      </c>
      <c r="M7564" t="str">
        <f>HYPERLINK("https://arizona.app.box.com/file/389172060957")</f>
        <v>https://arizona.app.box.com/file/389172060957</v>
      </c>
      <c r="N7564" t="str">
        <f>HYPERLINK("https://arizona.app.box.com/file/386238109543")</f>
        <v>https://arizona.app.box.com/file/386238109543</v>
      </c>
    </row>
    <row r="7565" spans="1:25" x14ac:dyDescent="0.2">
      <c r="A7565">
        <v>465</v>
      </c>
      <c r="B7565" t="s">
        <v>11202</v>
      </c>
      <c r="C7565" t="s">
        <v>18</v>
      </c>
      <c r="D7565" t="s">
        <v>5252</v>
      </c>
      <c r="E7565" t="s">
        <v>5253</v>
      </c>
      <c r="F7565" t="s">
        <v>16</v>
      </c>
      <c r="G7565" t="s">
        <v>24</v>
      </c>
      <c r="J7565" t="b">
        <v>0</v>
      </c>
      <c r="K7565" t="b">
        <v>0</v>
      </c>
      <c r="L7565" t="b">
        <v>0</v>
      </c>
      <c r="M7565" t="str">
        <f>HYPERLINK("https://arizona.app.box.com/file/389262987081")</f>
        <v>https://arizona.app.box.com/file/389262987081</v>
      </c>
      <c r="N7565" t="str">
        <f>HYPERLINK("https://arizona.app.box.com/file/389153999622")</f>
        <v>https://arizona.app.box.com/file/389153999622</v>
      </c>
    </row>
    <row r="7566" spans="1:25" x14ac:dyDescent="0.2">
      <c r="A7566">
        <v>466</v>
      </c>
      <c r="B7566" t="s">
        <v>11202</v>
      </c>
      <c r="C7566" t="s">
        <v>18</v>
      </c>
      <c r="D7566" t="s">
        <v>11205</v>
      </c>
      <c r="E7566" t="s">
        <v>11206</v>
      </c>
      <c r="F7566" t="s">
        <v>420</v>
      </c>
      <c r="G7566" t="s">
        <v>828</v>
      </c>
      <c r="J7566" t="b">
        <v>0</v>
      </c>
      <c r="K7566" t="b">
        <v>0</v>
      </c>
      <c r="L7566" t="b">
        <v>0</v>
      </c>
      <c r="M7566" t="str">
        <f>HYPERLINK("https://arizona.app.box.com/file/386248546725")</f>
        <v>https://arizona.app.box.com/file/386248546725</v>
      </c>
      <c r="N7566" t="str">
        <f>HYPERLINK("https://arizona.app.box.com/file/386243069248")</f>
        <v>https://arizona.app.box.com/file/386243069248</v>
      </c>
    </row>
    <row r="7567" spans="1:25" x14ac:dyDescent="0.2">
      <c r="A7567">
        <v>467</v>
      </c>
      <c r="B7567" t="s">
        <v>11202</v>
      </c>
      <c r="C7567" t="s">
        <v>18</v>
      </c>
      <c r="D7567" t="s">
        <v>11207</v>
      </c>
      <c r="E7567" t="s">
        <v>2097</v>
      </c>
      <c r="F7567" t="s">
        <v>420</v>
      </c>
      <c r="G7567" t="s">
        <v>345</v>
      </c>
      <c r="J7567" t="b">
        <v>0</v>
      </c>
      <c r="K7567" t="b">
        <v>0</v>
      </c>
      <c r="L7567" t="b">
        <v>0</v>
      </c>
      <c r="M7567" t="str">
        <f>HYPERLINK("https://arizona.app.box.com/file/389168046940")</f>
        <v>https://arizona.app.box.com/file/389168046940</v>
      </c>
    </row>
    <row r="7569" spans="1:25" x14ac:dyDescent="0.2">
      <c r="A7569" s="2">
        <v>4718</v>
      </c>
      <c r="B7569" s="2" t="s">
        <v>11208</v>
      </c>
      <c r="C7569" s="2" t="s">
        <v>13</v>
      </c>
      <c r="D7569" s="2" t="s">
        <v>11209</v>
      </c>
      <c r="E7569" s="2" t="s">
        <v>11210</v>
      </c>
      <c r="F7569" s="2" t="s">
        <v>23</v>
      </c>
      <c r="G7569" s="2" t="s">
        <v>280</v>
      </c>
      <c r="H7569" s="2"/>
      <c r="I7569" s="2"/>
      <c r="J7569" s="2"/>
      <c r="K7569" s="2"/>
      <c r="L7569" s="2"/>
      <c r="M7569" s="2"/>
      <c r="N7569" s="2"/>
      <c r="O7569" s="2"/>
      <c r="P7569" s="2"/>
      <c r="Q7569" s="2"/>
      <c r="R7569" s="2"/>
      <c r="S7569" s="2"/>
      <c r="T7569" s="2"/>
      <c r="U7569" s="2"/>
      <c r="V7569" s="2"/>
      <c r="W7569" s="2"/>
      <c r="X7569" s="2"/>
      <c r="Y7569" s="2"/>
    </row>
    <row r="7570" spans="1:25" x14ac:dyDescent="0.2">
      <c r="A7570">
        <v>4719</v>
      </c>
      <c r="B7570" t="s">
        <v>11208</v>
      </c>
      <c r="C7570" t="s">
        <v>18</v>
      </c>
      <c r="D7570" t="s">
        <v>11209</v>
      </c>
      <c r="E7570" t="s">
        <v>11210</v>
      </c>
      <c r="F7570" t="s">
        <v>23</v>
      </c>
      <c r="G7570" t="s">
        <v>280</v>
      </c>
      <c r="J7570" t="b">
        <v>1</v>
      </c>
      <c r="K7570" t="b">
        <v>1</v>
      </c>
      <c r="L7570" t="b">
        <v>1</v>
      </c>
      <c r="M7570" t="str">
        <f>HYPERLINK("https://arizona.app.box.com/file/389165779456")</f>
        <v>https://arizona.app.box.com/file/389165779456</v>
      </c>
      <c r="N7570" t="str">
        <f>HYPERLINK("https://arizona.app.box.com/file/389168931505")</f>
        <v>https://arizona.app.box.com/file/389168931505</v>
      </c>
    </row>
    <row r="7571" spans="1:25" x14ac:dyDescent="0.2">
      <c r="A7571">
        <v>4720</v>
      </c>
      <c r="B7571" t="s">
        <v>11208</v>
      </c>
      <c r="C7571" t="s">
        <v>18</v>
      </c>
      <c r="D7571" t="s">
        <v>11211</v>
      </c>
      <c r="E7571" t="s">
        <v>11212</v>
      </c>
      <c r="F7571" t="s">
        <v>1837</v>
      </c>
      <c r="G7571" t="s">
        <v>280</v>
      </c>
      <c r="J7571" t="b">
        <v>0</v>
      </c>
      <c r="K7571" t="b">
        <v>0</v>
      </c>
      <c r="L7571" t="b">
        <v>0</v>
      </c>
      <c r="M7571" t="str">
        <f>HYPERLINK("https://arizona.app.box.com/file/389153553248")</f>
        <v>https://arizona.app.box.com/file/389153553248</v>
      </c>
      <c r="N7571" t="str">
        <f>HYPERLINK("https://arizona.app.box.com/file/389155246874")</f>
        <v>https://arizona.app.box.com/file/389155246874</v>
      </c>
    </row>
    <row r="7572" spans="1:25" x14ac:dyDescent="0.2">
      <c r="A7572">
        <v>4721</v>
      </c>
      <c r="B7572" t="s">
        <v>11208</v>
      </c>
      <c r="C7572" t="s">
        <v>18</v>
      </c>
      <c r="D7572" t="s">
        <v>11213</v>
      </c>
      <c r="E7572" t="s">
        <v>11214</v>
      </c>
      <c r="F7572" t="s">
        <v>952</v>
      </c>
      <c r="G7572" t="s">
        <v>280</v>
      </c>
      <c r="J7572" t="b">
        <v>0</v>
      </c>
      <c r="K7572" t="b">
        <v>0</v>
      </c>
      <c r="L7572" t="b">
        <v>0</v>
      </c>
      <c r="M7572" t="str">
        <f>HYPERLINK("https://arizona.app.box.com/file/389164126073")</f>
        <v>https://arizona.app.box.com/file/389164126073</v>
      </c>
    </row>
    <row r="7573" spans="1:25" x14ac:dyDescent="0.2">
      <c r="A7573">
        <v>4722</v>
      </c>
      <c r="B7573" t="s">
        <v>11208</v>
      </c>
      <c r="C7573" t="s">
        <v>18</v>
      </c>
      <c r="D7573" t="s">
        <v>11215</v>
      </c>
      <c r="E7573" t="s">
        <v>11216</v>
      </c>
      <c r="F7573" t="s">
        <v>82</v>
      </c>
      <c r="G7573" t="s">
        <v>280</v>
      </c>
      <c r="J7573" t="b">
        <v>0</v>
      </c>
      <c r="K7573" t="b">
        <v>0</v>
      </c>
      <c r="L7573" t="b">
        <v>0</v>
      </c>
      <c r="M7573" t="str">
        <f>HYPERLINK("https://arizona.app.box.com/file/389152648304")</f>
        <v>https://arizona.app.box.com/file/389152648304</v>
      </c>
    </row>
    <row r="7574" spans="1:25" x14ac:dyDescent="0.2">
      <c r="A7574">
        <v>4723</v>
      </c>
      <c r="B7574" t="s">
        <v>11208</v>
      </c>
      <c r="C7574" t="s">
        <v>18</v>
      </c>
      <c r="D7574" t="s">
        <v>11217</v>
      </c>
      <c r="E7574" t="s">
        <v>11218</v>
      </c>
      <c r="F7574" t="s">
        <v>23</v>
      </c>
      <c r="G7574" t="s">
        <v>252</v>
      </c>
      <c r="J7574" t="b">
        <v>0</v>
      </c>
      <c r="K7574" t="b">
        <v>0</v>
      </c>
      <c r="L7574" t="b">
        <v>0</v>
      </c>
      <c r="M7574" t="str">
        <f>HYPERLINK("https://arizona.app.box.com/file/386242715825")</f>
        <v>https://arizona.app.box.com/file/386242715825</v>
      </c>
      <c r="N7574" t="str">
        <f>HYPERLINK("https://arizona.app.box.com/file/386241113911")</f>
        <v>https://arizona.app.box.com/file/386241113911</v>
      </c>
    </row>
    <row r="7576" spans="1:25" x14ac:dyDescent="0.2">
      <c r="A7576" s="2">
        <v>4725</v>
      </c>
      <c r="B7576" s="2" t="s">
        <v>11219</v>
      </c>
      <c r="C7576" s="2" t="s">
        <v>13</v>
      </c>
      <c r="D7576" s="2" t="s">
        <v>11220</v>
      </c>
      <c r="E7576" s="2" t="s">
        <v>11221</v>
      </c>
      <c r="F7576" s="2" t="s">
        <v>654</v>
      </c>
      <c r="G7576" s="2" t="s">
        <v>88</v>
      </c>
      <c r="H7576" s="2"/>
      <c r="I7576" s="2"/>
      <c r="J7576" s="2"/>
      <c r="K7576" s="2"/>
      <c r="L7576" s="2"/>
      <c r="M7576" s="2"/>
      <c r="N7576" s="2"/>
      <c r="O7576" s="2"/>
      <c r="P7576" s="2"/>
      <c r="Q7576" s="2"/>
      <c r="R7576" s="2"/>
      <c r="S7576" s="2"/>
      <c r="T7576" s="2"/>
      <c r="U7576" s="2"/>
      <c r="V7576" s="2"/>
      <c r="W7576" s="2"/>
      <c r="X7576" s="2"/>
      <c r="Y7576" s="2"/>
    </row>
    <row r="7577" spans="1:25" x14ac:dyDescent="0.2">
      <c r="A7577">
        <v>4726</v>
      </c>
      <c r="B7577" t="s">
        <v>11219</v>
      </c>
      <c r="C7577" t="s">
        <v>18</v>
      </c>
      <c r="D7577" t="s">
        <v>11222</v>
      </c>
      <c r="E7577" t="s">
        <v>11223</v>
      </c>
      <c r="F7577" t="s">
        <v>654</v>
      </c>
      <c r="G7577" t="s">
        <v>88</v>
      </c>
      <c r="J7577" t="b">
        <v>1</v>
      </c>
      <c r="K7577" t="b">
        <v>1</v>
      </c>
      <c r="L7577" t="b">
        <v>1</v>
      </c>
      <c r="M7577" t="str">
        <f>HYPERLINK("https://arizona.app.box.com/file/389265365608")</f>
        <v>https://arizona.app.box.com/file/389265365608</v>
      </c>
      <c r="N7577" t="str">
        <f>HYPERLINK("https://arizona.app.box.com/file/389163229673")</f>
        <v>https://arizona.app.box.com/file/389163229673</v>
      </c>
    </row>
    <row r="7578" spans="1:25" x14ac:dyDescent="0.2">
      <c r="A7578">
        <v>4727</v>
      </c>
      <c r="B7578" t="s">
        <v>11219</v>
      </c>
      <c r="C7578" t="s">
        <v>18</v>
      </c>
      <c r="D7578" t="s">
        <v>11224</v>
      </c>
      <c r="E7578" t="s">
        <v>5458</v>
      </c>
      <c r="F7578" t="s">
        <v>654</v>
      </c>
      <c r="G7578" t="s">
        <v>88</v>
      </c>
      <c r="J7578" t="b">
        <v>1</v>
      </c>
      <c r="K7578" t="b">
        <v>1</v>
      </c>
      <c r="L7578" t="b">
        <v>1</v>
      </c>
      <c r="M7578" t="str">
        <f>HYPERLINK("https://arizona.app.box.com/file/386244647825")</f>
        <v>https://arizona.app.box.com/file/386244647825</v>
      </c>
    </row>
    <row r="7579" spans="1:25" x14ac:dyDescent="0.2">
      <c r="A7579">
        <v>4728</v>
      </c>
      <c r="B7579" t="s">
        <v>11219</v>
      </c>
      <c r="C7579" t="s">
        <v>18</v>
      </c>
      <c r="D7579" t="s">
        <v>11225</v>
      </c>
      <c r="E7579" t="s">
        <v>3391</v>
      </c>
      <c r="F7579" t="s">
        <v>654</v>
      </c>
      <c r="G7579" t="s">
        <v>88</v>
      </c>
      <c r="J7579" t="b">
        <v>1</v>
      </c>
      <c r="K7579" t="b">
        <v>1</v>
      </c>
      <c r="L7579" t="b">
        <v>1</v>
      </c>
      <c r="M7579" t="str">
        <f>HYPERLINK("https://arizona.app.box.com/file/389265625578")</f>
        <v>https://arizona.app.box.com/file/389265625578</v>
      </c>
      <c r="N7579" t="str">
        <f>HYPERLINK("https://arizona.app.box.com/file/389140590510")</f>
        <v>https://arizona.app.box.com/file/389140590510</v>
      </c>
    </row>
    <row r="7580" spans="1:25" x14ac:dyDescent="0.2">
      <c r="A7580">
        <v>4729</v>
      </c>
      <c r="B7580" t="s">
        <v>11219</v>
      </c>
      <c r="C7580" t="s">
        <v>18</v>
      </c>
      <c r="D7580" t="s">
        <v>11226</v>
      </c>
      <c r="E7580" t="s">
        <v>11137</v>
      </c>
      <c r="F7580" t="s">
        <v>616</v>
      </c>
      <c r="G7580" t="s">
        <v>502</v>
      </c>
      <c r="J7580" t="b">
        <v>0</v>
      </c>
      <c r="K7580" t="b">
        <v>0</v>
      </c>
      <c r="L7580" t="b">
        <v>0</v>
      </c>
      <c r="M7580" t="str">
        <f>HYPERLINK("https://arizona.app.box.com/file/386239199798")</f>
        <v>https://arizona.app.box.com/file/386239199798</v>
      </c>
    </row>
    <row r="7581" spans="1:25" x14ac:dyDescent="0.2">
      <c r="A7581">
        <v>4730</v>
      </c>
      <c r="B7581" t="s">
        <v>11219</v>
      </c>
      <c r="C7581" t="s">
        <v>18</v>
      </c>
      <c r="D7581" t="s">
        <v>11227</v>
      </c>
      <c r="E7581" t="s">
        <v>11228</v>
      </c>
      <c r="F7581" t="s">
        <v>654</v>
      </c>
      <c r="G7581" t="s">
        <v>62</v>
      </c>
      <c r="J7581" t="b">
        <v>0</v>
      </c>
      <c r="K7581" t="b">
        <v>0</v>
      </c>
      <c r="L7581" t="b">
        <v>0</v>
      </c>
      <c r="M7581" t="str">
        <f>HYPERLINK("https://arizona.app.box.com/file/386229435786")</f>
        <v>https://arizona.app.box.com/file/386229435786</v>
      </c>
    </row>
    <row r="7583" spans="1:25" x14ac:dyDescent="0.2">
      <c r="A7583" s="2">
        <v>4746</v>
      </c>
      <c r="B7583" s="2" t="s">
        <v>11229</v>
      </c>
      <c r="C7583" s="2" t="s">
        <v>13</v>
      </c>
      <c r="D7583" s="2" t="s">
        <v>11230</v>
      </c>
      <c r="E7583" s="2" t="s">
        <v>11231</v>
      </c>
      <c r="F7583" s="2" t="s">
        <v>159</v>
      </c>
      <c r="G7583" s="2" t="s">
        <v>879</v>
      </c>
      <c r="H7583" s="2"/>
      <c r="I7583" s="2"/>
      <c r="J7583" s="2"/>
      <c r="K7583" s="2"/>
      <c r="L7583" s="2"/>
      <c r="M7583" s="2"/>
      <c r="N7583" s="2"/>
      <c r="O7583" s="2"/>
      <c r="P7583" s="2"/>
      <c r="Q7583" s="2"/>
      <c r="R7583" s="2"/>
      <c r="S7583" s="2"/>
      <c r="T7583" s="2"/>
      <c r="U7583" s="2"/>
      <c r="V7583" s="2"/>
      <c r="W7583" s="2"/>
      <c r="X7583" s="2"/>
      <c r="Y7583" s="2"/>
    </row>
    <row r="7584" spans="1:25" x14ac:dyDescent="0.2">
      <c r="A7584">
        <v>4747</v>
      </c>
      <c r="B7584" t="s">
        <v>11229</v>
      </c>
      <c r="C7584" t="s">
        <v>18</v>
      </c>
      <c r="D7584" t="s">
        <v>5523</v>
      </c>
      <c r="E7584" t="s">
        <v>898</v>
      </c>
      <c r="F7584" t="s">
        <v>174</v>
      </c>
      <c r="G7584" t="s">
        <v>879</v>
      </c>
      <c r="J7584" t="b">
        <v>0</v>
      </c>
      <c r="K7584" t="b">
        <v>0</v>
      </c>
      <c r="L7584" t="b">
        <v>0</v>
      </c>
      <c r="M7584" t="str">
        <f>HYPERLINK("https://arizona.app.box.com/file/389179086295")</f>
        <v>https://arizona.app.box.com/file/389179086295</v>
      </c>
    </row>
    <row r="7585" spans="1:25" x14ac:dyDescent="0.2">
      <c r="A7585">
        <v>4748</v>
      </c>
      <c r="B7585" t="s">
        <v>11229</v>
      </c>
      <c r="C7585" t="s">
        <v>18</v>
      </c>
      <c r="D7585" t="s">
        <v>8332</v>
      </c>
      <c r="E7585" t="s">
        <v>4847</v>
      </c>
      <c r="F7585" t="s">
        <v>87</v>
      </c>
      <c r="G7585" t="s">
        <v>62</v>
      </c>
      <c r="J7585" t="b">
        <v>0</v>
      </c>
      <c r="K7585" t="b">
        <v>0</v>
      </c>
      <c r="L7585" t="b">
        <v>0</v>
      </c>
      <c r="M7585" t="str">
        <f>HYPERLINK("https://arizona.app.box.com/file/389265515737")</f>
        <v>https://arizona.app.box.com/file/389265515737</v>
      </c>
    </row>
    <row r="7586" spans="1:25" x14ac:dyDescent="0.2">
      <c r="A7586">
        <v>4749</v>
      </c>
      <c r="B7586" t="s">
        <v>11229</v>
      </c>
      <c r="C7586" t="s">
        <v>18</v>
      </c>
      <c r="D7586" t="s">
        <v>428</v>
      </c>
      <c r="E7586" t="s">
        <v>429</v>
      </c>
      <c r="F7586" t="s">
        <v>174</v>
      </c>
      <c r="G7586" t="s">
        <v>417</v>
      </c>
      <c r="J7586" t="b">
        <v>0</v>
      </c>
      <c r="K7586" t="b">
        <v>0</v>
      </c>
      <c r="L7586" t="b">
        <v>0</v>
      </c>
      <c r="M7586" t="str">
        <f>HYPERLINK("https://arizona.app.box.com/file/389168809881")</f>
        <v>https://arizona.app.box.com/file/389168809881</v>
      </c>
      <c r="N7586" t="str">
        <f>HYPERLINK("https://arizona.app.box.com/file/386216543312")</f>
        <v>https://arizona.app.box.com/file/386216543312</v>
      </c>
    </row>
    <row r="7587" spans="1:25" x14ac:dyDescent="0.2">
      <c r="A7587">
        <v>4750</v>
      </c>
      <c r="B7587" t="s">
        <v>11229</v>
      </c>
      <c r="C7587" t="s">
        <v>18</v>
      </c>
      <c r="D7587" t="s">
        <v>372</v>
      </c>
      <c r="E7587" t="s">
        <v>373</v>
      </c>
      <c r="F7587" t="s">
        <v>78</v>
      </c>
      <c r="G7587" t="s">
        <v>134</v>
      </c>
      <c r="J7587" t="b">
        <v>0</v>
      </c>
      <c r="K7587" t="b">
        <v>0</v>
      </c>
      <c r="L7587" t="b">
        <v>0</v>
      </c>
      <c r="M7587" t="str">
        <f>HYPERLINK("https://arizona.app.box.com/file/389166891779")</f>
        <v>https://arizona.app.box.com/file/389166891779</v>
      </c>
      <c r="N7587" t="str">
        <f>HYPERLINK("https://arizona.app.box.com/file/386241451510")</f>
        <v>https://arizona.app.box.com/file/386241451510</v>
      </c>
    </row>
    <row r="7588" spans="1:25" x14ac:dyDescent="0.2">
      <c r="A7588">
        <v>4751</v>
      </c>
      <c r="B7588" t="s">
        <v>11229</v>
      </c>
      <c r="C7588" t="s">
        <v>18</v>
      </c>
      <c r="D7588" t="s">
        <v>11232</v>
      </c>
      <c r="E7588" t="s">
        <v>11233</v>
      </c>
      <c r="F7588" t="s">
        <v>122</v>
      </c>
      <c r="G7588" t="s">
        <v>24</v>
      </c>
      <c r="J7588" t="b">
        <v>0</v>
      </c>
      <c r="K7588" t="b">
        <v>0</v>
      </c>
      <c r="L7588" t="b">
        <v>0</v>
      </c>
      <c r="M7588" t="str">
        <f>HYPERLINK("https://arizona.app.box.com/file/389174663582")</f>
        <v>https://arizona.app.box.com/file/389174663582</v>
      </c>
      <c r="N7588" t="str">
        <f>HYPERLINK("https://arizona.app.box.com/file/386216933774")</f>
        <v>https://arizona.app.box.com/file/386216933774</v>
      </c>
    </row>
    <row r="7590" spans="1:25" x14ac:dyDescent="0.2">
      <c r="A7590" s="2">
        <v>476</v>
      </c>
      <c r="B7590" s="2" t="s">
        <v>11234</v>
      </c>
      <c r="C7590" s="2" t="s">
        <v>13</v>
      </c>
      <c r="D7590" s="2" t="s">
        <v>11235</v>
      </c>
      <c r="E7590" s="2" t="s">
        <v>11236</v>
      </c>
      <c r="F7590" s="2" t="s">
        <v>23</v>
      </c>
      <c r="G7590" s="2" t="s">
        <v>17</v>
      </c>
      <c r="H7590" s="2"/>
      <c r="I7590" s="2"/>
      <c r="J7590" s="2"/>
      <c r="K7590" s="2"/>
      <c r="L7590" s="2"/>
      <c r="M7590" s="2"/>
      <c r="N7590" s="2"/>
      <c r="O7590" s="2"/>
      <c r="P7590" s="2"/>
      <c r="Q7590" s="2"/>
      <c r="R7590" s="2"/>
      <c r="S7590" s="2"/>
      <c r="T7590" s="2"/>
      <c r="U7590" s="2"/>
      <c r="V7590" s="2"/>
      <c r="W7590" s="2"/>
      <c r="X7590" s="2"/>
      <c r="Y7590" s="2"/>
    </row>
    <row r="7591" spans="1:25" x14ac:dyDescent="0.2">
      <c r="A7591">
        <v>477</v>
      </c>
      <c r="B7591" t="s">
        <v>11234</v>
      </c>
      <c r="C7591" t="s">
        <v>18</v>
      </c>
      <c r="D7591" t="s">
        <v>11235</v>
      </c>
      <c r="E7591" t="s">
        <v>1299</v>
      </c>
      <c r="F7591" t="s">
        <v>23</v>
      </c>
      <c r="G7591" t="s">
        <v>17</v>
      </c>
      <c r="J7591" t="b">
        <v>1</v>
      </c>
      <c r="K7591" t="b">
        <v>1</v>
      </c>
      <c r="L7591" t="b">
        <v>1</v>
      </c>
      <c r="M7591" t="str">
        <f>HYPERLINK("https://arizona.app.box.com/file/389266304861")</f>
        <v>https://arizona.app.box.com/file/389266304861</v>
      </c>
      <c r="N7591" t="str">
        <f>HYPERLINK("https://arizona.app.box.com/file/389152538069")</f>
        <v>https://arizona.app.box.com/file/389152538069</v>
      </c>
    </row>
    <row r="7592" spans="1:25" x14ac:dyDescent="0.2">
      <c r="A7592">
        <v>478</v>
      </c>
      <c r="B7592" t="s">
        <v>11234</v>
      </c>
      <c r="C7592" t="s">
        <v>18</v>
      </c>
      <c r="D7592" t="s">
        <v>11237</v>
      </c>
      <c r="E7592" t="s">
        <v>3263</v>
      </c>
      <c r="F7592" t="s">
        <v>23</v>
      </c>
      <c r="G7592" t="s">
        <v>17</v>
      </c>
      <c r="J7592" t="b">
        <v>1</v>
      </c>
      <c r="K7592" t="b">
        <v>1</v>
      </c>
      <c r="L7592" t="b">
        <v>1</v>
      </c>
      <c r="M7592" t="str">
        <f>HYPERLINK("https://arizona.app.box.com/file/389263497812")</f>
        <v>https://arizona.app.box.com/file/389263497812</v>
      </c>
      <c r="N7592" t="str">
        <f>HYPERLINK("https://arizona.app.box.com/file/389152802340")</f>
        <v>https://arizona.app.box.com/file/389152802340</v>
      </c>
    </row>
    <row r="7593" spans="1:25" x14ac:dyDescent="0.2">
      <c r="A7593">
        <v>479</v>
      </c>
      <c r="B7593" t="s">
        <v>11234</v>
      </c>
      <c r="C7593" t="s">
        <v>18</v>
      </c>
      <c r="D7593" t="s">
        <v>11238</v>
      </c>
      <c r="E7593" t="s">
        <v>11239</v>
      </c>
      <c r="F7593" t="s">
        <v>45</v>
      </c>
      <c r="G7593" t="s">
        <v>24</v>
      </c>
      <c r="J7593" t="b">
        <v>0</v>
      </c>
      <c r="K7593" t="b">
        <v>0</v>
      </c>
      <c r="L7593" t="b">
        <v>0</v>
      </c>
    </row>
    <row r="7594" spans="1:25" x14ac:dyDescent="0.2">
      <c r="A7594">
        <v>480</v>
      </c>
      <c r="B7594" t="s">
        <v>11234</v>
      </c>
      <c r="C7594" t="s">
        <v>18</v>
      </c>
      <c r="D7594" t="s">
        <v>11240</v>
      </c>
      <c r="E7594" t="s">
        <v>11241</v>
      </c>
      <c r="F7594" t="s">
        <v>168</v>
      </c>
      <c r="G7594" t="s">
        <v>17</v>
      </c>
      <c r="J7594" t="b">
        <v>0</v>
      </c>
      <c r="K7594" t="b">
        <v>0</v>
      </c>
      <c r="L7594" t="b">
        <v>0</v>
      </c>
      <c r="M7594" t="str">
        <f>HYPERLINK("https://arizona.app.box.com/file/386252911372")</f>
        <v>https://arizona.app.box.com/file/386252911372</v>
      </c>
      <c r="N7594" t="str">
        <f>HYPERLINK("https://arizona.app.box.com/file/389150512469")</f>
        <v>https://arizona.app.box.com/file/389150512469</v>
      </c>
    </row>
    <row r="7595" spans="1:25" x14ac:dyDescent="0.2">
      <c r="A7595">
        <v>481</v>
      </c>
      <c r="B7595" t="s">
        <v>11234</v>
      </c>
      <c r="C7595" t="s">
        <v>18</v>
      </c>
      <c r="D7595" t="s">
        <v>1634</v>
      </c>
      <c r="E7595" t="s">
        <v>1635</v>
      </c>
      <c r="F7595" t="s">
        <v>174</v>
      </c>
      <c r="G7595" t="s">
        <v>17</v>
      </c>
      <c r="J7595" t="b">
        <v>0</v>
      </c>
      <c r="K7595" t="b">
        <v>0</v>
      </c>
      <c r="L7595" t="b">
        <v>0</v>
      </c>
      <c r="M7595" t="str">
        <f>HYPERLINK("https://arizona.app.box.com/file/389136148981")</f>
        <v>https://arizona.app.box.com/file/389136148981</v>
      </c>
    </row>
    <row r="7597" spans="1:25" x14ac:dyDescent="0.2">
      <c r="A7597" s="2">
        <v>4767</v>
      </c>
      <c r="B7597" s="2" t="s">
        <v>11242</v>
      </c>
      <c r="C7597" s="2" t="s">
        <v>13</v>
      </c>
      <c r="D7597" s="2" t="s">
        <v>11243</v>
      </c>
      <c r="E7597" s="2" t="s">
        <v>11244</v>
      </c>
      <c r="F7597" s="2" t="s">
        <v>82</v>
      </c>
      <c r="G7597" s="2" t="s">
        <v>265</v>
      </c>
      <c r="H7597" s="2"/>
      <c r="I7597" s="2"/>
      <c r="J7597" s="2"/>
      <c r="K7597" s="2"/>
      <c r="L7597" s="2"/>
      <c r="M7597" s="2"/>
      <c r="N7597" s="2"/>
      <c r="O7597" s="2"/>
      <c r="P7597" s="2"/>
      <c r="Q7597" s="2"/>
      <c r="R7597" s="2"/>
      <c r="S7597" s="2"/>
      <c r="T7597" s="2"/>
      <c r="U7597" s="2"/>
      <c r="V7597" s="2"/>
      <c r="W7597" s="2"/>
      <c r="X7597" s="2"/>
      <c r="Y7597" s="2"/>
    </row>
    <row r="7598" spans="1:25" x14ac:dyDescent="0.2">
      <c r="A7598">
        <v>4768</v>
      </c>
      <c r="B7598" t="s">
        <v>11242</v>
      </c>
      <c r="C7598" t="s">
        <v>18</v>
      </c>
      <c r="D7598" t="s">
        <v>11245</v>
      </c>
      <c r="E7598" t="s">
        <v>5160</v>
      </c>
      <c r="F7598" t="s">
        <v>82</v>
      </c>
      <c r="G7598" t="s">
        <v>265</v>
      </c>
      <c r="J7598" t="b">
        <v>0</v>
      </c>
      <c r="K7598" t="b">
        <v>0</v>
      </c>
      <c r="L7598" t="b">
        <v>0</v>
      </c>
      <c r="M7598" t="str">
        <f>HYPERLINK("https://arizona.app.box.com/file/386242285531")</f>
        <v>https://arizona.app.box.com/file/386242285531</v>
      </c>
    </row>
    <row r="7599" spans="1:25" x14ac:dyDescent="0.2">
      <c r="A7599">
        <v>4769</v>
      </c>
      <c r="B7599" t="s">
        <v>11242</v>
      </c>
      <c r="C7599" t="s">
        <v>18</v>
      </c>
      <c r="D7599" t="s">
        <v>11246</v>
      </c>
      <c r="E7599" t="s">
        <v>3121</v>
      </c>
      <c r="F7599" t="s">
        <v>82</v>
      </c>
      <c r="G7599" t="s">
        <v>265</v>
      </c>
      <c r="J7599" t="b">
        <v>0</v>
      </c>
      <c r="K7599" t="b">
        <v>0</v>
      </c>
      <c r="L7599" t="b">
        <v>0</v>
      </c>
      <c r="M7599" t="str">
        <f>HYPERLINK("https://arizona.app.box.com/file/386223481124")</f>
        <v>https://arizona.app.box.com/file/386223481124</v>
      </c>
    </row>
    <row r="7600" spans="1:25" x14ac:dyDescent="0.2">
      <c r="A7600">
        <v>4770</v>
      </c>
      <c r="B7600" t="s">
        <v>11242</v>
      </c>
      <c r="C7600" t="s">
        <v>18</v>
      </c>
      <c r="D7600" t="s">
        <v>9300</v>
      </c>
      <c r="E7600" t="s">
        <v>9301</v>
      </c>
      <c r="F7600" t="s">
        <v>82</v>
      </c>
      <c r="G7600" t="s">
        <v>265</v>
      </c>
      <c r="J7600" t="b">
        <v>0</v>
      </c>
      <c r="K7600" t="b">
        <v>0</v>
      </c>
      <c r="L7600" t="b">
        <v>0</v>
      </c>
    </row>
    <row r="7601" spans="1:25" x14ac:dyDescent="0.2">
      <c r="A7601">
        <v>4771</v>
      </c>
      <c r="B7601" t="s">
        <v>11242</v>
      </c>
      <c r="C7601" t="s">
        <v>18</v>
      </c>
      <c r="D7601" t="s">
        <v>11247</v>
      </c>
      <c r="E7601" t="s">
        <v>11248</v>
      </c>
      <c r="F7601" t="s">
        <v>82</v>
      </c>
      <c r="G7601" t="s">
        <v>265</v>
      </c>
      <c r="J7601" t="b">
        <v>0</v>
      </c>
      <c r="K7601" t="b">
        <v>0</v>
      </c>
      <c r="L7601" t="b">
        <v>0</v>
      </c>
      <c r="M7601" t="str">
        <f>HYPERLINK("https://arizona.app.box.com/file/386239442258")</f>
        <v>https://arizona.app.box.com/file/386239442258</v>
      </c>
    </row>
    <row r="7602" spans="1:25" x14ac:dyDescent="0.2">
      <c r="A7602">
        <v>4772</v>
      </c>
      <c r="B7602" t="s">
        <v>11242</v>
      </c>
      <c r="C7602" t="s">
        <v>18</v>
      </c>
      <c r="D7602" t="s">
        <v>3487</v>
      </c>
      <c r="E7602" t="s">
        <v>3488</v>
      </c>
      <c r="F7602" t="s">
        <v>82</v>
      </c>
      <c r="G7602" t="s">
        <v>265</v>
      </c>
      <c r="J7602" t="b">
        <v>0</v>
      </c>
      <c r="K7602" t="b">
        <v>0</v>
      </c>
      <c r="L7602" t="b">
        <v>0</v>
      </c>
    </row>
    <row r="7604" spans="1:25" x14ac:dyDescent="0.2">
      <c r="A7604" s="2">
        <v>4781</v>
      </c>
      <c r="B7604" s="2" t="s">
        <v>11249</v>
      </c>
      <c r="C7604" s="2" t="s">
        <v>13</v>
      </c>
      <c r="D7604" s="2" t="s">
        <v>11250</v>
      </c>
      <c r="E7604" s="2" t="s">
        <v>11251</v>
      </c>
      <c r="F7604" s="2" t="s">
        <v>78</v>
      </c>
      <c r="G7604" s="2" t="s">
        <v>130</v>
      </c>
      <c r="H7604" s="2"/>
      <c r="I7604" s="2"/>
      <c r="J7604" s="2"/>
      <c r="K7604" s="2"/>
      <c r="L7604" s="2"/>
      <c r="M7604" s="2"/>
      <c r="N7604" s="2"/>
      <c r="O7604" s="2"/>
      <c r="P7604" s="2"/>
      <c r="Q7604" s="2"/>
      <c r="R7604" s="2"/>
      <c r="S7604" s="2"/>
      <c r="T7604" s="2"/>
      <c r="U7604" s="2"/>
      <c r="V7604" s="2"/>
      <c r="W7604" s="2"/>
      <c r="X7604" s="2"/>
      <c r="Y7604" s="2"/>
    </row>
    <row r="7605" spans="1:25" x14ac:dyDescent="0.2">
      <c r="A7605">
        <v>4782</v>
      </c>
      <c r="B7605" t="s">
        <v>11249</v>
      </c>
      <c r="C7605" t="s">
        <v>18</v>
      </c>
      <c r="D7605" t="s">
        <v>11250</v>
      </c>
      <c r="E7605" t="s">
        <v>11251</v>
      </c>
      <c r="F7605" t="s">
        <v>78</v>
      </c>
      <c r="G7605" t="s">
        <v>130</v>
      </c>
      <c r="J7605" t="b">
        <v>1</v>
      </c>
      <c r="K7605" t="b">
        <v>1</v>
      </c>
      <c r="L7605" t="b">
        <v>1</v>
      </c>
      <c r="M7605" t="str">
        <f>HYPERLINK("https://arizona.app.box.com/file/386227322495")</f>
        <v>https://arizona.app.box.com/file/386227322495</v>
      </c>
      <c r="N7605" t="str">
        <f>HYPERLINK("https://arizona.app.box.com/file/386241113911")</f>
        <v>https://arizona.app.box.com/file/386241113911</v>
      </c>
    </row>
    <row r="7606" spans="1:25" x14ac:dyDescent="0.2">
      <c r="A7606">
        <v>4783</v>
      </c>
      <c r="B7606" t="s">
        <v>11249</v>
      </c>
      <c r="C7606" t="s">
        <v>18</v>
      </c>
      <c r="D7606" t="s">
        <v>11252</v>
      </c>
      <c r="E7606" t="s">
        <v>11253</v>
      </c>
      <c r="F7606" t="s">
        <v>78</v>
      </c>
      <c r="G7606" t="s">
        <v>17</v>
      </c>
      <c r="J7606" t="b">
        <v>0</v>
      </c>
      <c r="K7606" t="b">
        <v>0</v>
      </c>
      <c r="L7606" t="b">
        <v>0</v>
      </c>
    </row>
    <row r="7607" spans="1:25" x14ac:dyDescent="0.2">
      <c r="A7607">
        <v>4784</v>
      </c>
      <c r="B7607" t="s">
        <v>11249</v>
      </c>
      <c r="C7607" t="s">
        <v>18</v>
      </c>
      <c r="D7607" t="s">
        <v>10341</v>
      </c>
      <c r="E7607" t="s">
        <v>10342</v>
      </c>
      <c r="F7607" t="s">
        <v>78</v>
      </c>
      <c r="G7607" t="s">
        <v>252</v>
      </c>
      <c r="J7607" t="b">
        <v>0</v>
      </c>
      <c r="K7607" t="b">
        <v>0</v>
      </c>
      <c r="L7607" t="b">
        <v>0</v>
      </c>
      <c r="M7607" t="str">
        <f>HYPERLINK("https://arizona.app.box.com/file/386230389814")</f>
        <v>https://arizona.app.box.com/file/386230389814</v>
      </c>
    </row>
    <row r="7608" spans="1:25" x14ac:dyDescent="0.2">
      <c r="A7608">
        <v>4785</v>
      </c>
      <c r="B7608" t="s">
        <v>11249</v>
      </c>
      <c r="C7608" t="s">
        <v>18</v>
      </c>
      <c r="D7608" t="s">
        <v>10162</v>
      </c>
      <c r="E7608" t="s">
        <v>5474</v>
      </c>
      <c r="F7608" t="s">
        <v>78</v>
      </c>
      <c r="G7608" t="s">
        <v>252</v>
      </c>
      <c r="J7608" t="b">
        <v>0</v>
      </c>
      <c r="K7608" t="b">
        <v>0</v>
      </c>
      <c r="L7608" t="b">
        <v>0</v>
      </c>
      <c r="M7608" t="str">
        <f>HYPERLINK("https://arizona.app.box.com/file/389162595066")</f>
        <v>https://arizona.app.box.com/file/389162595066</v>
      </c>
    </row>
    <row r="7609" spans="1:25" x14ac:dyDescent="0.2">
      <c r="A7609">
        <v>4786</v>
      </c>
      <c r="B7609" t="s">
        <v>11249</v>
      </c>
      <c r="C7609" t="s">
        <v>18</v>
      </c>
      <c r="D7609" t="s">
        <v>5801</v>
      </c>
      <c r="E7609" t="s">
        <v>195</v>
      </c>
      <c r="F7609" t="s">
        <v>78</v>
      </c>
      <c r="G7609" t="s">
        <v>252</v>
      </c>
      <c r="J7609" t="b">
        <v>0</v>
      </c>
      <c r="K7609" t="b">
        <v>0</v>
      </c>
      <c r="L7609" t="b">
        <v>0</v>
      </c>
      <c r="M7609" t="str">
        <f>HYPERLINK("https://arizona.app.box.com/file/389266100162")</f>
        <v>https://arizona.app.box.com/file/389266100162</v>
      </c>
    </row>
    <row r="7611" spans="1:25" x14ac:dyDescent="0.2">
      <c r="A7611" s="2">
        <v>4802</v>
      </c>
      <c r="B7611" s="2" t="s">
        <v>11254</v>
      </c>
      <c r="C7611" s="2" t="s">
        <v>13</v>
      </c>
      <c r="D7611" s="2" t="s">
        <v>11255</v>
      </c>
      <c r="E7611" s="2" t="s">
        <v>11256</v>
      </c>
      <c r="F7611" s="2" t="s">
        <v>670</v>
      </c>
      <c r="G7611" s="2" t="s">
        <v>17</v>
      </c>
      <c r="H7611" s="2"/>
      <c r="I7611" s="2"/>
      <c r="J7611" s="2"/>
      <c r="K7611" s="2"/>
      <c r="L7611" s="2"/>
      <c r="M7611" s="2"/>
      <c r="N7611" s="2"/>
      <c r="O7611" s="2"/>
      <c r="P7611" s="2"/>
      <c r="Q7611" s="2"/>
      <c r="R7611" s="2"/>
      <c r="S7611" s="2"/>
      <c r="T7611" s="2"/>
      <c r="U7611" s="2"/>
      <c r="V7611" s="2"/>
      <c r="W7611" s="2"/>
      <c r="X7611" s="2"/>
      <c r="Y7611" s="2"/>
    </row>
    <row r="7612" spans="1:25" x14ac:dyDescent="0.2">
      <c r="A7612">
        <v>4803</v>
      </c>
      <c r="B7612" t="s">
        <v>11254</v>
      </c>
      <c r="C7612" t="s">
        <v>18</v>
      </c>
      <c r="D7612" t="s">
        <v>11257</v>
      </c>
      <c r="E7612" t="s">
        <v>11258</v>
      </c>
      <c r="F7612" t="s">
        <v>670</v>
      </c>
      <c r="G7612" t="s">
        <v>17</v>
      </c>
      <c r="J7612" t="b">
        <v>1</v>
      </c>
      <c r="K7612" t="b">
        <v>1</v>
      </c>
      <c r="L7612" t="b">
        <v>1</v>
      </c>
      <c r="M7612" t="str">
        <f>HYPERLINK("https://arizona.app.box.com/file/389166795875")</f>
        <v>https://arizona.app.box.com/file/389166795875</v>
      </c>
    </row>
    <row r="7613" spans="1:25" x14ac:dyDescent="0.2">
      <c r="A7613">
        <v>4804</v>
      </c>
      <c r="B7613" t="s">
        <v>11254</v>
      </c>
      <c r="C7613" t="s">
        <v>18</v>
      </c>
      <c r="D7613" t="s">
        <v>11259</v>
      </c>
      <c r="E7613" t="s">
        <v>1111</v>
      </c>
      <c r="F7613" t="s">
        <v>82</v>
      </c>
      <c r="G7613" t="s">
        <v>24</v>
      </c>
      <c r="J7613" t="b">
        <v>0</v>
      </c>
      <c r="K7613" t="b">
        <v>0</v>
      </c>
      <c r="L7613" t="b">
        <v>0</v>
      </c>
    </row>
    <row r="7614" spans="1:25" x14ac:dyDescent="0.2">
      <c r="A7614">
        <v>4805</v>
      </c>
      <c r="B7614" t="s">
        <v>11254</v>
      </c>
      <c r="C7614" t="s">
        <v>18</v>
      </c>
      <c r="D7614" t="s">
        <v>7701</v>
      </c>
      <c r="E7614" t="s">
        <v>2958</v>
      </c>
      <c r="F7614" t="s">
        <v>174</v>
      </c>
      <c r="G7614" t="s">
        <v>17</v>
      </c>
      <c r="J7614" t="b">
        <v>0</v>
      </c>
      <c r="K7614" t="b">
        <v>0</v>
      </c>
      <c r="L7614" t="b">
        <v>0</v>
      </c>
      <c r="M7614" t="str">
        <f>HYPERLINK("https://arizona.app.box.com/file/389160926617")</f>
        <v>https://arizona.app.box.com/file/389160926617</v>
      </c>
    </row>
    <row r="7615" spans="1:25" x14ac:dyDescent="0.2">
      <c r="A7615">
        <v>4806</v>
      </c>
      <c r="B7615" t="s">
        <v>11254</v>
      </c>
      <c r="C7615" t="s">
        <v>18</v>
      </c>
      <c r="D7615" t="s">
        <v>11260</v>
      </c>
      <c r="E7615" t="s">
        <v>3562</v>
      </c>
      <c r="F7615" t="s">
        <v>174</v>
      </c>
      <c r="G7615" t="s">
        <v>17</v>
      </c>
      <c r="J7615" t="b">
        <v>0</v>
      </c>
      <c r="K7615" t="b">
        <v>0</v>
      </c>
      <c r="L7615" t="b">
        <v>0</v>
      </c>
      <c r="M7615" t="str">
        <f>HYPERLINK("https://arizona.app.box.com/file/386245152313")</f>
        <v>https://arizona.app.box.com/file/386245152313</v>
      </c>
    </row>
    <row r="7616" spans="1:25" x14ac:dyDescent="0.2">
      <c r="A7616">
        <v>4807</v>
      </c>
      <c r="B7616" t="s">
        <v>11254</v>
      </c>
      <c r="C7616" t="s">
        <v>18</v>
      </c>
      <c r="D7616" t="s">
        <v>11261</v>
      </c>
      <c r="E7616" t="s">
        <v>11262</v>
      </c>
      <c r="F7616" t="s">
        <v>952</v>
      </c>
      <c r="G7616" t="s">
        <v>74</v>
      </c>
      <c r="J7616" t="b">
        <v>0</v>
      </c>
      <c r="K7616" t="b">
        <v>0</v>
      </c>
      <c r="L7616" t="b">
        <v>0</v>
      </c>
      <c r="M7616" t="str">
        <f>HYPERLINK("https://arizona.app.box.com/file/386234679887")</f>
        <v>https://arizona.app.box.com/file/386234679887</v>
      </c>
      <c r="N7616" t="str">
        <f>HYPERLINK("https://arizona.app.box.com/file/386218378011")</f>
        <v>https://arizona.app.box.com/file/386218378011</v>
      </c>
    </row>
    <row r="7618" spans="1:25" x14ac:dyDescent="0.2">
      <c r="A7618" s="2">
        <v>4837</v>
      </c>
      <c r="B7618" s="2" t="s">
        <v>11263</v>
      </c>
      <c r="C7618" s="2" t="s">
        <v>13</v>
      </c>
      <c r="D7618" s="2" t="s">
        <v>11264</v>
      </c>
      <c r="E7618" s="2" t="s">
        <v>11265</v>
      </c>
      <c r="F7618" s="2" t="s">
        <v>159</v>
      </c>
      <c r="G7618" s="2" t="s">
        <v>11266</v>
      </c>
      <c r="H7618" s="2"/>
      <c r="I7618" s="2"/>
      <c r="J7618" s="2"/>
      <c r="K7618" s="2"/>
      <c r="L7618" s="2"/>
      <c r="M7618" s="2"/>
      <c r="N7618" s="2"/>
      <c r="O7618" s="2"/>
      <c r="P7618" s="2"/>
      <c r="Q7618" s="2"/>
      <c r="R7618" s="2"/>
      <c r="S7618" s="2"/>
      <c r="T7618" s="2"/>
      <c r="U7618" s="2"/>
      <c r="V7618" s="2"/>
      <c r="W7618" s="2"/>
      <c r="X7618" s="2"/>
      <c r="Y7618" s="2"/>
    </row>
    <row r="7619" spans="1:25" x14ac:dyDescent="0.2">
      <c r="A7619">
        <v>4838</v>
      </c>
      <c r="B7619" t="s">
        <v>11263</v>
      </c>
      <c r="C7619" t="s">
        <v>18</v>
      </c>
      <c r="D7619" t="s">
        <v>11264</v>
      </c>
      <c r="E7619" t="s">
        <v>11265</v>
      </c>
      <c r="F7619" t="s">
        <v>159</v>
      </c>
      <c r="G7619" t="s">
        <v>11267</v>
      </c>
      <c r="J7619" t="b">
        <v>1</v>
      </c>
      <c r="K7619" t="b">
        <v>1</v>
      </c>
      <c r="L7619" t="b">
        <v>1</v>
      </c>
      <c r="M7619" t="str">
        <f>HYPERLINK("https://arizona.app.box.com/file/389173781883")</f>
        <v>https://arizona.app.box.com/file/389173781883</v>
      </c>
      <c r="N7619" t="str">
        <f>HYPERLINK("https://arizona.app.box.com/file/386216055202")</f>
        <v>https://arizona.app.box.com/file/386216055202</v>
      </c>
      <c r="O7619" t="str">
        <f>HYPERLINK("https://arizona.app.box.com/file/386213231813")</f>
        <v>https://arizona.app.box.com/file/386213231813</v>
      </c>
    </row>
    <row r="7620" spans="1:25" x14ac:dyDescent="0.2">
      <c r="A7620">
        <v>4839</v>
      </c>
      <c r="B7620" t="s">
        <v>11263</v>
      </c>
      <c r="C7620" t="s">
        <v>18</v>
      </c>
      <c r="D7620" t="s">
        <v>9334</v>
      </c>
      <c r="E7620" t="s">
        <v>9335</v>
      </c>
      <c r="F7620" t="s">
        <v>510</v>
      </c>
      <c r="G7620" t="s">
        <v>252</v>
      </c>
      <c r="J7620" t="b">
        <v>0</v>
      </c>
      <c r="K7620" t="b">
        <v>0</v>
      </c>
      <c r="L7620" t="b">
        <v>0</v>
      </c>
      <c r="M7620" t="str">
        <f>HYPERLINK("https://arizona.app.box.com/file/386244724716")</f>
        <v>https://arizona.app.box.com/file/386244724716</v>
      </c>
      <c r="N7620" t="str">
        <f>HYPERLINK("https://arizona.app.box.com/file/386246672638")</f>
        <v>https://arizona.app.box.com/file/386246672638</v>
      </c>
    </row>
    <row r="7621" spans="1:25" x14ac:dyDescent="0.2">
      <c r="A7621">
        <v>4840</v>
      </c>
      <c r="B7621" t="s">
        <v>11263</v>
      </c>
      <c r="C7621" t="s">
        <v>18</v>
      </c>
      <c r="D7621" t="s">
        <v>5116</v>
      </c>
      <c r="E7621" t="s">
        <v>3304</v>
      </c>
      <c r="F7621" t="s">
        <v>5117</v>
      </c>
      <c r="G7621" t="s">
        <v>88</v>
      </c>
      <c r="J7621" t="b">
        <v>0</v>
      </c>
      <c r="K7621" t="b">
        <v>0</v>
      </c>
      <c r="L7621" t="b">
        <v>0</v>
      </c>
      <c r="M7621" t="str">
        <f>HYPERLINK("https://arizona.app.box.com/file/386264890399")</f>
        <v>https://arizona.app.box.com/file/386264890399</v>
      </c>
      <c r="N7621" t="str">
        <f>HYPERLINK("https://arizona.app.box.com/file/386247338864")</f>
        <v>https://arizona.app.box.com/file/386247338864</v>
      </c>
    </row>
    <row r="7622" spans="1:25" x14ac:dyDescent="0.2">
      <c r="A7622">
        <v>4841</v>
      </c>
      <c r="B7622" t="s">
        <v>11263</v>
      </c>
      <c r="C7622" t="s">
        <v>18</v>
      </c>
      <c r="D7622" t="s">
        <v>10749</v>
      </c>
      <c r="E7622" t="s">
        <v>1721</v>
      </c>
      <c r="F7622" t="s">
        <v>31</v>
      </c>
      <c r="G7622" t="s">
        <v>17</v>
      </c>
      <c r="J7622" t="b">
        <v>0</v>
      </c>
      <c r="K7622" t="b">
        <v>0</v>
      </c>
      <c r="L7622" t="b">
        <v>0</v>
      </c>
      <c r="M7622" t="str">
        <f>HYPERLINK("https://arizona.app.box.com/file/389166612989")</f>
        <v>https://arizona.app.box.com/file/389166612989</v>
      </c>
    </row>
    <row r="7623" spans="1:25" x14ac:dyDescent="0.2">
      <c r="A7623">
        <v>4842</v>
      </c>
      <c r="B7623" t="s">
        <v>11263</v>
      </c>
      <c r="C7623" t="s">
        <v>18</v>
      </c>
      <c r="D7623" t="s">
        <v>10494</v>
      </c>
      <c r="E7623" t="s">
        <v>1342</v>
      </c>
      <c r="F7623" t="s">
        <v>952</v>
      </c>
      <c r="G7623" t="s">
        <v>2326</v>
      </c>
      <c r="J7623" t="b">
        <v>0</v>
      </c>
      <c r="K7623" t="b">
        <v>0</v>
      </c>
      <c r="L7623" t="b">
        <v>0</v>
      </c>
      <c r="M7623" t="str">
        <f>HYPERLINK("https://arizona.app.box.com/file/389167129656")</f>
        <v>https://arizona.app.box.com/file/389167129656</v>
      </c>
    </row>
    <row r="7625" spans="1:25" x14ac:dyDescent="0.2">
      <c r="A7625" s="2">
        <v>4844</v>
      </c>
      <c r="B7625" s="2" t="s">
        <v>11268</v>
      </c>
      <c r="C7625" s="2" t="s">
        <v>13</v>
      </c>
      <c r="D7625" s="2" t="s">
        <v>11269</v>
      </c>
      <c r="E7625" s="2" t="s">
        <v>11270</v>
      </c>
      <c r="F7625" s="2" t="s">
        <v>159</v>
      </c>
      <c r="G7625" s="2" t="s">
        <v>345</v>
      </c>
      <c r="H7625" s="2"/>
      <c r="I7625" s="2"/>
      <c r="J7625" s="2"/>
      <c r="K7625" s="2"/>
      <c r="L7625" s="2"/>
      <c r="M7625" s="2"/>
      <c r="N7625" s="2"/>
      <c r="O7625" s="2"/>
      <c r="P7625" s="2"/>
      <c r="Q7625" s="2"/>
      <c r="R7625" s="2"/>
      <c r="S7625" s="2"/>
      <c r="T7625" s="2"/>
      <c r="U7625" s="2"/>
      <c r="V7625" s="2"/>
      <c r="W7625" s="2"/>
      <c r="X7625" s="2"/>
      <c r="Y7625" s="2"/>
    </row>
    <row r="7626" spans="1:25" x14ac:dyDescent="0.2">
      <c r="A7626">
        <v>4845</v>
      </c>
      <c r="B7626" t="s">
        <v>11268</v>
      </c>
      <c r="C7626" t="s">
        <v>18</v>
      </c>
      <c r="D7626" t="s">
        <v>11269</v>
      </c>
      <c r="E7626" t="s">
        <v>4071</v>
      </c>
      <c r="F7626" t="s">
        <v>159</v>
      </c>
      <c r="G7626" t="s">
        <v>345</v>
      </c>
      <c r="J7626" t="b">
        <v>1</v>
      </c>
      <c r="K7626" t="b">
        <v>1</v>
      </c>
      <c r="L7626" t="b">
        <v>1</v>
      </c>
      <c r="M7626" t="str">
        <f>HYPERLINK("https://arizona.app.box.com/file/389171811373")</f>
        <v>https://arizona.app.box.com/file/389171811373</v>
      </c>
      <c r="N7626" t="str">
        <f>HYPERLINK("https://arizona.app.box.com/file/386237910531")</f>
        <v>https://arizona.app.box.com/file/386237910531</v>
      </c>
    </row>
    <row r="7627" spans="1:25" x14ac:dyDescent="0.2">
      <c r="A7627">
        <v>4846</v>
      </c>
      <c r="B7627" t="s">
        <v>11268</v>
      </c>
      <c r="C7627" t="s">
        <v>18</v>
      </c>
      <c r="D7627" t="s">
        <v>1062</v>
      </c>
      <c r="E7627" t="s">
        <v>1063</v>
      </c>
      <c r="F7627" t="s">
        <v>159</v>
      </c>
      <c r="G7627" t="s">
        <v>32</v>
      </c>
      <c r="J7627" t="b">
        <v>0</v>
      </c>
      <c r="K7627" t="b">
        <v>0</v>
      </c>
      <c r="L7627" t="b">
        <v>0</v>
      </c>
      <c r="M7627" t="str">
        <f>HYPERLINK("https://arizona.app.box.com/file/389173873603")</f>
        <v>https://arizona.app.box.com/file/389173873603</v>
      </c>
    </row>
    <row r="7628" spans="1:25" x14ac:dyDescent="0.2">
      <c r="A7628">
        <v>4847</v>
      </c>
      <c r="B7628" t="s">
        <v>11268</v>
      </c>
      <c r="C7628" t="s">
        <v>18</v>
      </c>
      <c r="D7628" t="s">
        <v>4186</v>
      </c>
      <c r="E7628" t="s">
        <v>1202</v>
      </c>
      <c r="F7628" t="s">
        <v>159</v>
      </c>
      <c r="G7628" t="s">
        <v>32</v>
      </c>
      <c r="J7628" t="b">
        <v>0</v>
      </c>
      <c r="K7628" t="b">
        <v>0</v>
      </c>
      <c r="L7628" t="b">
        <v>0</v>
      </c>
      <c r="M7628" t="str">
        <f>HYPERLINK("https://arizona.app.box.com/file/389265067004")</f>
        <v>https://arizona.app.box.com/file/389265067004</v>
      </c>
      <c r="N7628" t="str">
        <f>HYPERLINK("https://arizona.app.box.com/file/389167635134")</f>
        <v>https://arizona.app.box.com/file/389167635134</v>
      </c>
    </row>
    <row r="7629" spans="1:25" x14ac:dyDescent="0.2">
      <c r="A7629">
        <v>4848</v>
      </c>
      <c r="B7629" t="s">
        <v>11268</v>
      </c>
      <c r="C7629" t="s">
        <v>18</v>
      </c>
      <c r="D7629" t="s">
        <v>8337</v>
      </c>
      <c r="E7629" t="s">
        <v>8338</v>
      </c>
      <c r="F7629" t="s">
        <v>205</v>
      </c>
      <c r="G7629" t="s">
        <v>345</v>
      </c>
      <c r="J7629" t="b">
        <v>0</v>
      </c>
      <c r="K7629" t="b">
        <v>0</v>
      </c>
      <c r="L7629" t="b">
        <v>0</v>
      </c>
      <c r="M7629" t="str">
        <f>HYPERLINK("https://arizona.app.box.com/file/389169930058")</f>
        <v>https://arizona.app.box.com/file/389169930058</v>
      </c>
    </row>
    <row r="7630" spans="1:25" x14ac:dyDescent="0.2">
      <c r="A7630">
        <v>4849</v>
      </c>
      <c r="B7630" t="s">
        <v>11268</v>
      </c>
      <c r="C7630" t="s">
        <v>18</v>
      </c>
      <c r="D7630" t="s">
        <v>11271</v>
      </c>
      <c r="E7630" t="s">
        <v>11272</v>
      </c>
      <c r="F7630" t="s">
        <v>82</v>
      </c>
      <c r="G7630" t="s">
        <v>345</v>
      </c>
      <c r="J7630" t="b">
        <v>0</v>
      </c>
      <c r="K7630" t="b">
        <v>0</v>
      </c>
      <c r="L7630" t="b">
        <v>0</v>
      </c>
      <c r="M7630" t="str">
        <f>HYPERLINK("https://arizona.app.box.com/file/386228231676")</f>
        <v>https://arizona.app.box.com/file/386228231676</v>
      </c>
      <c r="N7630" t="str">
        <f>HYPERLINK("https://arizona.app.box.com/file/386241662280")</f>
        <v>https://arizona.app.box.com/file/386241662280</v>
      </c>
    </row>
    <row r="7632" spans="1:25" x14ac:dyDescent="0.2">
      <c r="A7632" s="2">
        <v>4872</v>
      </c>
      <c r="B7632" s="2" t="s">
        <v>11273</v>
      </c>
      <c r="C7632" s="2" t="s">
        <v>13</v>
      </c>
      <c r="D7632" s="2" t="s">
        <v>7549</v>
      </c>
      <c r="E7632" s="2" t="s">
        <v>11274</v>
      </c>
      <c r="F7632" s="2" t="s">
        <v>159</v>
      </c>
      <c r="G7632" s="2" t="s">
        <v>134</v>
      </c>
      <c r="H7632" s="2"/>
      <c r="I7632" s="2"/>
      <c r="J7632" s="2"/>
      <c r="K7632" s="2"/>
      <c r="L7632" s="2"/>
      <c r="M7632" s="2"/>
      <c r="N7632" s="2"/>
      <c r="O7632" s="2"/>
      <c r="P7632" s="2"/>
      <c r="Q7632" s="2"/>
      <c r="R7632" s="2"/>
      <c r="S7632" s="2"/>
      <c r="T7632" s="2"/>
      <c r="U7632" s="2"/>
      <c r="V7632" s="2"/>
      <c r="W7632" s="2"/>
      <c r="X7632" s="2"/>
      <c r="Y7632" s="2"/>
    </row>
    <row r="7633" spans="1:25" x14ac:dyDescent="0.2">
      <c r="A7633">
        <v>4873</v>
      </c>
      <c r="B7633" t="s">
        <v>11273</v>
      </c>
      <c r="C7633" t="s">
        <v>18</v>
      </c>
      <c r="D7633" t="s">
        <v>7549</v>
      </c>
      <c r="E7633" t="s">
        <v>5927</v>
      </c>
      <c r="F7633" t="s">
        <v>159</v>
      </c>
      <c r="G7633" t="s">
        <v>134</v>
      </c>
      <c r="J7633" t="b">
        <v>1</v>
      </c>
      <c r="K7633" t="b">
        <v>1</v>
      </c>
      <c r="L7633" t="b">
        <v>1</v>
      </c>
      <c r="M7633" t="str">
        <f>HYPERLINK("https://arizona.app.box.com/file/389263391517")</f>
        <v>https://arizona.app.box.com/file/389263391517</v>
      </c>
      <c r="N7633" t="str">
        <f>HYPERLINK("https://arizona.app.box.com/file/389153004034")</f>
        <v>https://arizona.app.box.com/file/389153004034</v>
      </c>
    </row>
    <row r="7634" spans="1:25" x14ac:dyDescent="0.2">
      <c r="A7634">
        <v>4874</v>
      </c>
      <c r="B7634" t="s">
        <v>11273</v>
      </c>
      <c r="C7634" t="s">
        <v>18</v>
      </c>
      <c r="D7634" t="s">
        <v>8495</v>
      </c>
      <c r="E7634" t="s">
        <v>4097</v>
      </c>
      <c r="F7634" t="s">
        <v>670</v>
      </c>
      <c r="G7634" t="s">
        <v>134</v>
      </c>
      <c r="J7634" t="b">
        <v>0</v>
      </c>
      <c r="K7634" t="b">
        <v>0</v>
      </c>
      <c r="L7634" t="b">
        <v>0</v>
      </c>
      <c r="M7634" t="str">
        <f>HYPERLINK("https://arizona.app.box.com/file/389256927534")</f>
        <v>https://arizona.app.box.com/file/389256927534</v>
      </c>
      <c r="N7634" t="str">
        <f>HYPERLINK("https://arizona.app.box.com/file/389167070484")</f>
        <v>https://arizona.app.box.com/file/389167070484</v>
      </c>
    </row>
    <row r="7635" spans="1:25" x14ac:dyDescent="0.2">
      <c r="A7635">
        <v>4875</v>
      </c>
      <c r="B7635" t="s">
        <v>11273</v>
      </c>
      <c r="C7635" t="s">
        <v>18</v>
      </c>
      <c r="D7635" t="s">
        <v>11275</v>
      </c>
      <c r="E7635" t="s">
        <v>11276</v>
      </c>
      <c r="F7635" t="s">
        <v>159</v>
      </c>
      <c r="G7635" t="s">
        <v>134</v>
      </c>
      <c r="J7635" t="b">
        <v>0</v>
      </c>
      <c r="K7635" t="b">
        <v>0</v>
      </c>
      <c r="L7635" t="b">
        <v>0</v>
      </c>
      <c r="M7635" t="str">
        <f>HYPERLINK("https://arizona.app.box.com/file/389172456857")</f>
        <v>https://arizona.app.box.com/file/389172456857</v>
      </c>
      <c r="N7635" t="str">
        <f>HYPERLINK("https://arizona.app.box.com/file/386226892200")</f>
        <v>https://arizona.app.box.com/file/386226892200</v>
      </c>
    </row>
    <row r="7636" spans="1:25" x14ac:dyDescent="0.2">
      <c r="A7636">
        <v>4876</v>
      </c>
      <c r="B7636" t="s">
        <v>11273</v>
      </c>
      <c r="C7636" t="s">
        <v>18</v>
      </c>
      <c r="D7636" t="s">
        <v>10434</v>
      </c>
      <c r="E7636" t="s">
        <v>10435</v>
      </c>
      <c r="F7636" t="s">
        <v>78</v>
      </c>
      <c r="G7636" t="s">
        <v>134</v>
      </c>
      <c r="J7636" t="b">
        <v>0</v>
      </c>
      <c r="K7636" t="b">
        <v>0</v>
      </c>
      <c r="L7636" t="b">
        <v>0</v>
      </c>
      <c r="M7636" t="str">
        <f>HYPERLINK("https://arizona.app.box.com/file/389133846817")</f>
        <v>https://arizona.app.box.com/file/389133846817</v>
      </c>
      <c r="N7636" t="str">
        <f>HYPERLINK("https://arizona.app.box.com/file/389164797745")</f>
        <v>https://arizona.app.box.com/file/389164797745</v>
      </c>
    </row>
    <row r="7637" spans="1:25" x14ac:dyDescent="0.2">
      <c r="A7637">
        <v>4877</v>
      </c>
      <c r="B7637" t="s">
        <v>11273</v>
      </c>
      <c r="C7637" t="s">
        <v>18</v>
      </c>
      <c r="D7637" t="s">
        <v>11277</v>
      </c>
      <c r="E7637" t="s">
        <v>1425</v>
      </c>
      <c r="F7637" t="s">
        <v>82</v>
      </c>
      <c r="G7637" t="s">
        <v>134</v>
      </c>
      <c r="J7637" t="b">
        <v>1</v>
      </c>
      <c r="K7637" t="b">
        <v>1</v>
      </c>
      <c r="L7637" t="b">
        <v>1</v>
      </c>
      <c r="M7637" t="str">
        <f>HYPERLINK("https://arizona.app.box.com/file/389163042042")</f>
        <v>https://arizona.app.box.com/file/389163042042</v>
      </c>
    </row>
    <row r="7639" spans="1:25" x14ac:dyDescent="0.2">
      <c r="A7639" s="2">
        <v>4879</v>
      </c>
      <c r="B7639" s="2" t="s">
        <v>11278</v>
      </c>
      <c r="C7639" s="2" t="s">
        <v>13</v>
      </c>
      <c r="D7639" s="2" t="s">
        <v>11279</v>
      </c>
      <c r="E7639" s="2" t="s">
        <v>11280</v>
      </c>
      <c r="F7639" s="2" t="s">
        <v>20</v>
      </c>
      <c r="G7639" s="2" t="s">
        <v>17</v>
      </c>
      <c r="H7639" s="2"/>
      <c r="I7639" s="2"/>
      <c r="J7639" s="2"/>
      <c r="K7639" s="2"/>
      <c r="L7639" s="2"/>
      <c r="M7639" s="2"/>
      <c r="N7639" s="2"/>
      <c r="O7639" s="2"/>
      <c r="P7639" s="2"/>
      <c r="Q7639" s="2"/>
      <c r="R7639" s="2"/>
      <c r="S7639" s="2"/>
      <c r="T7639" s="2"/>
      <c r="U7639" s="2"/>
      <c r="V7639" s="2"/>
      <c r="W7639" s="2"/>
      <c r="X7639" s="2"/>
      <c r="Y7639" s="2"/>
    </row>
    <row r="7640" spans="1:25" x14ac:dyDescent="0.2">
      <c r="A7640">
        <v>4880</v>
      </c>
      <c r="B7640" t="s">
        <v>11278</v>
      </c>
      <c r="C7640" t="s">
        <v>18</v>
      </c>
      <c r="D7640" t="s">
        <v>11279</v>
      </c>
      <c r="E7640" t="s">
        <v>11280</v>
      </c>
      <c r="F7640" t="s">
        <v>20</v>
      </c>
      <c r="G7640" t="s">
        <v>17</v>
      </c>
      <c r="J7640" t="b">
        <v>1</v>
      </c>
      <c r="K7640" t="b">
        <v>1</v>
      </c>
      <c r="L7640" t="b">
        <v>1</v>
      </c>
      <c r="M7640" t="str">
        <f>HYPERLINK("https://arizona.app.box.com/file/389137736131")</f>
        <v>https://arizona.app.box.com/file/389137736131</v>
      </c>
      <c r="N7640" t="str">
        <f>HYPERLINK("https://arizona.app.box.com/file/389165628051")</f>
        <v>https://arizona.app.box.com/file/389165628051</v>
      </c>
    </row>
    <row r="7641" spans="1:25" x14ac:dyDescent="0.2">
      <c r="A7641">
        <v>4881</v>
      </c>
      <c r="B7641" t="s">
        <v>11278</v>
      </c>
      <c r="C7641" t="s">
        <v>18</v>
      </c>
      <c r="D7641" t="s">
        <v>11281</v>
      </c>
      <c r="E7641" t="s">
        <v>11282</v>
      </c>
      <c r="F7641" t="s">
        <v>82</v>
      </c>
      <c r="G7641" t="s">
        <v>17</v>
      </c>
      <c r="J7641" t="b">
        <v>0</v>
      </c>
      <c r="K7641" t="b">
        <v>0</v>
      </c>
      <c r="L7641" t="b">
        <v>0</v>
      </c>
    </row>
    <row r="7642" spans="1:25" x14ac:dyDescent="0.2">
      <c r="A7642">
        <v>4882</v>
      </c>
      <c r="B7642" t="s">
        <v>11278</v>
      </c>
      <c r="C7642" t="s">
        <v>18</v>
      </c>
      <c r="D7642" t="s">
        <v>11283</v>
      </c>
      <c r="E7642" t="s">
        <v>11284</v>
      </c>
      <c r="F7642" t="s">
        <v>82</v>
      </c>
      <c r="G7642" t="s">
        <v>17</v>
      </c>
      <c r="J7642" t="b">
        <v>0</v>
      </c>
      <c r="K7642" t="b">
        <v>0</v>
      </c>
      <c r="L7642" t="b">
        <v>0</v>
      </c>
    </row>
    <row r="7643" spans="1:25" x14ac:dyDescent="0.2">
      <c r="A7643">
        <v>4883</v>
      </c>
      <c r="B7643" t="s">
        <v>11278</v>
      </c>
      <c r="C7643" t="s">
        <v>18</v>
      </c>
      <c r="D7643" t="s">
        <v>11285</v>
      </c>
      <c r="E7643" t="s">
        <v>11286</v>
      </c>
      <c r="F7643" t="s">
        <v>82</v>
      </c>
      <c r="G7643" t="s">
        <v>17</v>
      </c>
      <c r="J7643" t="b">
        <v>0</v>
      </c>
      <c r="K7643" t="b">
        <v>0</v>
      </c>
      <c r="L7643" t="b">
        <v>0</v>
      </c>
    </row>
    <row r="7644" spans="1:25" x14ac:dyDescent="0.2">
      <c r="A7644">
        <v>4884</v>
      </c>
      <c r="B7644" t="s">
        <v>11278</v>
      </c>
      <c r="C7644" t="s">
        <v>18</v>
      </c>
      <c r="D7644" t="s">
        <v>6085</v>
      </c>
      <c r="E7644" t="s">
        <v>6086</v>
      </c>
      <c r="F7644" t="s">
        <v>20</v>
      </c>
      <c r="G7644" t="s">
        <v>17</v>
      </c>
      <c r="J7644" t="b">
        <v>0</v>
      </c>
      <c r="K7644" t="b">
        <v>0</v>
      </c>
      <c r="L7644" t="b">
        <v>0</v>
      </c>
    </row>
    <row r="7646" spans="1:25" x14ac:dyDescent="0.2">
      <c r="A7646" s="2">
        <v>4900</v>
      </c>
      <c r="B7646" s="2" t="s">
        <v>11287</v>
      </c>
      <c r="C7646" s="2" t="s">
        <v>13</v>
      </c>
      <c r="D7646" s="2" t="s">
        <v>11288</v>
      </c>
      <c r="E7646" s="2" t="s">
        <v>11289</v>
      </c>
      <c r="F7646" s="2" t="s">
        <v>87</v>
      </c>
      <c r="G7646" s="2" t="s">
        <v>1405</v>
      </c>
      <c r="H7646" s="2"/>
      <c r="I7646" s="2"/>
      <c r="J7646" s="2"/>
      <c r="K7646" s="2"/>
      <c r="L7646" s="2"/>
      <c r="M7646" s="2"/>
      <c r="N7646" s="2"/>
      <c r="O7646" s="2"/>
      <c r="P7646" s="2"/>
      <c r="Q7646" s="2"/>
      <c r="R7646" s="2"/>
      <c r="S7646" s="2"/>
      <c r="T7646" s="2"/>
      <c r="U7646" s="2"/>
      <c r="V7646" s="2"/>
      <c r="W7646" s="2"/>
      <c r="X7646" s="2"/>
      <c r="Y7646" s="2"/>
    </row>
    <row r="7647" spans="1:25" x14ac:dyDescent="0.2">
      <c r="A7647">
        <v>4901</v>
      </c>
      <c r="B7647" t="s">
        <v>11287</v>
      </c>
      <c r="C7647" t="s">
        <v>18</v>
      </c>
      <c r="D7647" t="s">
        <v>10602</v>
      </c>
      <c r="E7647" t="s">
        <v>10603</v>
      </c>
      <c r="F7647" t="s">
        <v>87</v>
      </c>
      <c r="G7647" t="s">
        <v>1406</v>
      </c>
      <c r="J7647" t="b">
        <v>1</v>
      </c>
      <c r="K7647" t="b">
        <v>1</v>
      </c>
      <c r="L7647" t="b">
        <v>1</v>
      </c>
      <c r="M7647" t="str">
        <f>HYPERLINK("https://arizona.app.box.com/file/386218759517")</f>
        <v>https://arizona.app.box.com/file/386218759517</v>
      </c>
      <c r="N7647" t="str">
        <f>HYPERLINK("https://arizona.app.box.com/file/386231324579")</f>
        <v>https://arizona.app.box.com/file/386231324579</v>
      </c>
    </row>
    <row r="7648" spans="1:25" x14ac:dyDescent="0.2">
      <c r="A7648">
        <v>4902</v>
      </c>
      <c r="B7648" t="s">
        <v>11287</v>
      </c>
      <c r="C7648" t="s">
        <v>18</v>
      </c>
      <c r="D7648" t="s">
        <v>11290</v>
      </c>
      <c r="E7648" t="s">
        <v>11291</v>
      </c>
      <c r="F7648" t="s">
        <v>87</v>
      </c>
      <c r="G7648" t="s">
        <v>1406</v>
      </c>
      <c r="J7648" t="b">
        <v>0</v>
      </c>
      <c r="K7648" t="b">
        <v>0</v>
      </c>
      <c r="L7648" t="b">
        <v>0</v>
      </c>
      <c r="M7648" t="str">
        <f>HYPERLINK("https://arizona.app.box.com/file/386247216327")</f>
        <v>https://arizona.app.box.com/file/386247216327</v>
      </c>
    </row>
    <row r="7649" spans="1:25" x14ac:dyDescent="0.2">
      <c r="A7649">
        <v>4903</v>
      </c>
      <c r="B7649" t="s">
        <v>11287</v>
      </c>
      <c r="C7649" t="s">
        <v>18</v>
      </c>
      <c r="D7649" t="s">
        <v>1415</v>
      </c>
      <c r="E7649" t="s">
        <v>1416</v>
      </c>
      <c r="F7649" t="s">
        <v>316</v>
      </c>
      <c r="G7649" t="s">
        <v>1406</v>
      </c>
      <c r="J7649" t="b">
        <v>0</v>
      </c>
      <c r="K7649" t="b">
        <v>0</v>
      </c>
      <c r="L7649" t="b">
        <v>0</v>
      </c>
      <c r="M7649" t="str">
        <f>HYPERLINK("https://arizona.app.box.com/file/386219264299")</f>
        <v>https://arizona.app.box.com/file/386219264299</v>
      </c>
      <c r="N7649" t="str">
        <f>HYPERLINK("https://arizona.app.box.com/file/386249452534")</f>
        <v>https://arizona.app.box.com/file/386249452534</v>
      </c>
    </row>
    <row r="7650" spans="1:25" x14ac:dyDescent="0.2">
      <c r="A7650">
        <v>4904</v>
      </c>
      <c r="B7650" t="s">
        <v>11287</v>
      </c>
      <c r="C7650" t="s">
        <v>18</v>
      </c>
      <c r="D7650" t="s">
        <v>10547</v>
      </c>
      <c r="E7650" t="s">
        <v>10548</v>
      </c>
      <c r="F7650" t="s">
        <v>87</v>
      </c>
      <c r="G7650" t="s">
        <v>1406</v>
      </c>
      <c r="J7650" t="b">
        <v>0</v>
      </c>
      <c r="K7650" t="b">
        <v>0</v>
      </c>
      <c r="L7650" t="b">
        <v>0</v>
      </c>
      <c r="M7650" t="str">
        <f>HYPERLINK("https://arizona.app.box.com/file/386238143728")</f>
        <v>https://arizona.app.box.com/file/386238143728</v>
      </c>
    </row>
    <row r="7651" spans="1:25" x14ac:dyDescent="0.2">
      <c r="A7651">
        <v>4905</v>
      </c>
      <c r="B7651" t="s">
        <v>11287</v>
      </c>
      <c r="C7651" t="s">
        <v>18</v>
      </c>
      <c r="D7651" t="s">
        <v>11292</v>
      </c>
      <c r="E7651" t="s">
        <v>11293</v>
      </c>
      <c r="F7651" t="s">
        <v>87</v>
      </c>
      <c r="G7651" t="s">
        <v>1406</v>
      </c>
      <c r="J7651" t="b">
        <v>0</v>
      </c>
      <c r="K7651" t="b">
        <v>0</v>
      </c>
      <c r="L7651" t="b">
        <v>0</v>
      </c>
      <c r="M7651" t="str">
        <f>HYPERLINK("https://arizona.app.box.com/file/386239858737")</f>
        <v>https://arizona.app.box.com/file/386239858737</v>
      </c>
      <c r="N7651" t="str">
        <f>HYPERLINK("https://arizona.app.box.com/file/386242238201")</f>
        <v>https://arizona.app.box.com/file/386242238201</v>
      </c>
    </row>
    <row r="7653" spans="1:25" x14ac:dyDescent="0.2">
      <c r="A7653" s="2">
        <v>4914</v>
      </c>
      <c r="B7653" s="2" t="s">
        <v>11294</v>
      </c>
      <c r="C7653" s="2" t="s">
        <v>13</v>
      </c>
      <c r="D7653" s="2" t="s">
        <v>194</v>
      </c>
      <c r="E7653" s="2" t="s">
        <v>11295</v>
      </c>
      <c r="F7653" s="2" t="s">
        <v>196</v>
      </c>
      <c r="G7653" s="2" t="s">
        <v>17</v>
      </c>
      <c r="H7653" s="2"/>
      <c r="I7653" s="2"/>
      <c r="J7653" s="2"/>
      <c r="K7653" s="2"/>
      <c r="L7653" s="2"/>
      <c r="M7653" s="2"/>
      <c r="N7653" s="2"/>
      <c r="O7653" s="2"/>
      <c r="P7653" s="2"/>
      <c r="Q7653" s="2"/>
      <c r="R7653" s="2"/>
      <c r="S7653" s="2"/>
      <c r="T7653" s="2"/>
      <c r="U7653" s="2"/>
      <c r="V7653" s="2"/>
      <c r="W7653" s="2"/>
      <c r="X7653" s="2"/>
      <c r="Y7653" s="2"/>
    </row>
    <row r="7654" spans="1:25" x14ac:dyDescent="0.2">
      <c r="A7654">
        <v>4915</v>
      </c>
      <c r="B7654" t="s">
        <v>11294</v>
      </c>
      <c r="C7654" t="s">
        <v>18</v>
      </c>
      <c r="D7654" t="s">
        <v>194</v>
      </c>
      <c r="E7654" t="s">
        <v>195</v>
      </c>
      <c r="F7654" t="s">
        <v>196</v>
      </c>
      <c r="G7654" t="s">
        <v>17</v>
      </c>
      <c r="J7654" t="b">
        <v>1</v>
      </c>
      <c r="K7654" t="b">
        <v>1</v>
      </c>
      <c r="L7654" t="b">
        <v>1</v>
      </c>
      <c r="M7654" t="str">
        <f>HYPERLINK("https://arizona.app.box.com/file/389259890773")</f>
        <v>https://arizona.app.box.com/file/389259890773</v>
      </c>
    </row>
    <row r="7655" spans="1:25" x14ac:dyDescent="0.2">
      <c r="A7655">
        <v>4916</v>
      </c>
      <c r="B7655" t="s">
        <v>11294</v>
      </c>
      <c r="C7655" t="s">
        <v>18</v>
      </c>
      <c r="D7655" t="s">
        <v>8069</v>
      </c>
      <c r="E7655" t="s">
        <v>8070</v>
      </c>
      <c r="F7655" t="s">
        <v>31</v>
      </c>
      <c r="G7655" t="s">
        <v>62</v>
      </c>
      <c r="J7655" t="b">
        <v>0</v>
      </c>
      <c r="K7655" t="b">
        <v>0</v>
      </c>
      <c r="L7655" t="b">
        <v>0</v>
      </c>
      <c r="M7655" t="str">
        <f>HYPERLINK("https://arizona.app.box.com/file/389262519739")</f>
        <v>https://arizona.app.box.com/file/389262519739</v>
      </c>
    </row>
    <row r="7656" spans="1:25" x14ac:dyDescent="0.2">
      <c r="A7656">
        <v>4917</v>
      </c>
      <c r="B7656" t="s">
        <v>11294</v>
      </c>
      <c r="C7656" t="s">
        <v>18</v>
      </c>
      <c r="D7656" t="s">
        <v>11296</v>
      </c>
      <c r="E7656" t="s">
        <v>11297</v>
      </c>
      <c r="F7656" t="s">
        <v>196</v>
      </c>
      <c r="G7656" t="s">
        <v>17</v>
      </c>
      <c r="J7656" t="b">
        <v>1</v>
      </c>
      <c r="K7656" t="b">
        <v>0</v>
      </c>
      <c r="L7656" t="b">
        <v>1</v>
      </c>
      <c r="M7656" t="str">
        <f>HYPERLINK("https://arizona.app.box.com/file/389164287661")</f>
        <v>https://arizona.app.box.com/file/389164287661</v>
      </c>
    </row>
    <row r="7657" spans="1:25" x14ac:dyDescent="0.2">
      <c r="A7657">
        <v>4918</v>
      </c>
      <c r="B7657" t="s">
        <v>11294</v>
      </c>
      <c r="C7657" t="s">
        <v>18</v>
      </c>
      <c r="D7657" t="s">
        <v>11298</v>
      </c>
      <c r="E7657" t="s">
        <v>11299</v>
      </c>
      <c r="F7657" t="s">
        <v>196</v>
      </c>
      <c r="G7657" t="s">
        <v>17</v>
      </c>
      <c r="J7657" t="b">
        <v>1</v>
      </c>
      <c r="K7657" t="b">
        <v>0</v>
      </c>
      <c r="L7657" t="b">
        <v>1</v>
      </c>
      <c r="M7657" t="str">
        <f>HYPERLINK("https://arizona.app.box.com/file/389161555912")</f>
        <v>https://arizona.app.box.com/file/389161555912</v>
      </c>
    </row>
    <row r="7658" spans="1:25" x14ac:dyDescent="0.2">
      <c r="A7658">
        <v>4919</v>
      </c>
      <c r="B7658" t="s">
        <v>11294</v>
      </c>
      <c r="C7658" t="s">
        <v>18</v>
      </c>
      <c r="D7658" t="s">
        <v>5232</v>
      </c>
      <c r="E7658" t="s">
        <v>3860</v>
      </c>
      <c r="F7658" t="s">
        <v>16</v>
      </c>
      <c r="G7658" t="s">
        <v>17</v>
      </c>
      <c r="J7658" t="b">
        <v>0</v>
      </c>
      <c r="K7658" t="b">
        <v>0</v>
      </c>
      <c r="L7658" t="b">
        <v>0</v>
      </c>
      <c r="M7658" t="str">
        <f>HYPERLINK("https://arizona.app.box.com/file/389264138015")</f>
        <v>https://arizona.app.box.com/file/389264138015</v>
      </c>
      <c r="N7658" t="str">
        <f>HYPERLINK("https://arizona.app.box.com/file/389152063640")</f>
        <v>https://arizona.app.box.com/file/389152063640</v>
      </c>
    </row>
    <row r="7660" spans="1:25" x14ac:dyDescent="0.2">
      <c r="A7660" s="2">
        <v>4921</v>
      </c>
      <c r="B7660" s="2" t="s">
        <v>11300</v>
      </c>
      <c r="C7660" s="2" t="s">
        <v>13</v>
      </c>
      <c r="D7660" s="2" t="s">
        <v>11301</v>
      </c>
      <c r="E7660" s="2" t="s">
        <v>11302</v>
      </c>
      <c r="F7660" s="2" t="s">
        <v>574</v>
      </c>
      <c r="G7660" s="2" t="s">
        <v>3830</v>
      </c>
      <c r="H7660" s="2"/>
      <c r="I7660" s="2"/>
      <c r="J7660" s="2"/>
      <c r="K7660" s="2"/>
      <c r="L7660" s="2"/>
      <c r="M7660" s="2"/>
      <c r="N7660" s="2"/>
      <c r="O7660" s="2"/>
      <c r="P7660" s="2"/>
      <c r="Q7660" s="2"/>
      <c r="R7660" s="2"/>
      <c r="S7660" s="2"/>
      <c r="T7660" s="2"/>
      <c r="U7660" s="2"/>
      <c r="V7660" s="2"/>
      <c r="W7660" s="2"/>
      <c r="X7660" s="2"/>
      <c r="Y7660" s="2"/>
    </row>
    <row r="7661" spans="1:25" x14ac:dyDescent="0.2">
      <c r="A7661">
        <v>4922</v>
      </c>
      <c r="B7661" t="s">
        <v>11300</v>
      </c>
      <c r="C7661" t="s">
        <v>18</v>
      </c>
      <c r="D7661" t="s">
        <v>11303</v>
      </c>
      <c r="E7661" t="s">
        <v>8845</v>
      </c>
      <c r="F7661" t="s">
        <v>574</v>
      </c>
      <c r="G7661" t="s">
        <v>107</v>
      </c>
      <c r="J7661" t="b">
        <v>1</v>
      </c>
      <c r="K7661" t="b">
        <v>1</v>
      </c>
      <c r="L7661" t="b">
        <v>1</v>
      </c>
      <c r="M7661" t="str">
        <f>HYPERLINK("https://arizona.app.box.com/file/389172740170")</f>
        <v>https://arizona.app.box.com/file/389172740170</v>
      </c>
      <c r="N7661" t="str">
        <f>HYPERLINK("https://arizona.app.box.com/file/386212629488")</f>
        <v>https://arizona.app.box.com/file/386212629488</v>
      </c>
    </row>
    <row r="7662" spans="1:25" x14ac:dyDescent="0.2">
      <c r="A7662">
        <v>4923</v>
      </c>
      <c r="B7662" t="s">
        <v>11300</v>
      </c>
      <c r="C7662" t="s">
        <v>18</v>
      </c>
      <c r="D7662" t="s">
        <v>11304</v>
      </c>
      <c r="E7662" t="s">
        <v>11305</v>
      </c>
      <c r="F7662" t="s">
        <v>574</v>
      </c>
      <c r="G7662" t="s">
        <v>107</v>
      </c>
      <c r="J7662" t="b">
        <v>0</v>
      </c>
      <c r="K7662" t="b">
        <v>0</v>
      </c>
      <c r="L7662" t="b">
        <v>0</v>
      </c>
    </row>
    <row r="7663" spans="1:25" x14ac:dyDescent="0.2">
      <c r="A7663">
        <v>4924</v>
      </c>
      <c r="B7663" t="s">
        <v>11300</v>
      </c>
      <c r="C7663" t="s">
        <v>18</v>
      </c>
      <c r="D7663" t="s">
        <v>11306</v>
      </c>
      <c r="E7663" t="s">
        <v>6868</v>
      </c>
      <c r="F7663" t="s">
        <v>23</v>
      </c>
      <c r="G7663" t="s">
        <v>107</v>
      </c>
      <c r="J7663" t="b">
        <v>0</v>
      </c>
      <c r="K7663" t="b">
        <v>0</v>
      </c>
      <c r="L7663" t="b">
        <v>0</v>
      </c>
    </row>
    <row r="7664" spans="1:25" x14ac:dyDescent="0.2">
      <c r="A7664">
        <v>4925</v>
      </c>
      <c r="B7664" t="s">
        <v>11300</v>
      </c>
      <c r="C7664" t="s">
        <v>18</v>
      </c>
      <c r="D7664" t="s">
        <v>11307</v>
      </c>
      <c r="E7664" t="s">
        <v>11308</v>
      </c>
      <c r="F7664" t="s">
        <v>574</v>
      </c>
      <c r="G7664" t="s">
        <v>107</v>
      </c>
      <c r="J7664" t="b">
        <v>0</v>
      </c>
      <c r="K7664" t="b">
        <v>0</v>
      </c>
      <c r="L7664" t="b">
        <v>0</v>
      </c>
      <c r="M7664" t="str">
        <f>HYPERLINK("https://arizona.app.box.com/file/386231268768")</f>
        <v>https://arizona.app.box.com/file/386231268768</v>
      </c>
    </row>
    <row r="7665" spans="1:25" x14ac:dyDescent="0.2">
      <c r="A7665">
        <v>4926</v>
      </c>
      <c r="B7665" t="s">
        <v>11300</v>
      </c>
      <c r="C7665" t="s">
        <v>18</v>
      </c>
      <c r="D7665" t="s">
        <v>4174</v>
      </c>
      <c r="E7665" t="s">
        <v>4175</v>
      </c>
      <c r="F7665" t="s">
        <v>574</v>
      </c>
      <c r="G7665" t="s">
        <v>107</v>
      </c>
      <c r="J7665" t="b">
        <v>0</v>
      </c>
      <c r="K7665" t="b">
        <v>0</v>
      </c>
      <c r="L7665" t="b">
        <v>0</v>
      </c>
    </row>
    <row r="7667" spans="1:25" x14ac:dyDescent="0.2">
      <c r="A7667" s="2">
        <v>4935</v>
      </c>
      <c r="B7667" s="2" t="s">
        <v>11309</v>
      </c>
      <c r="C7667" s="2" t="s">
        <v>13</v>
      </c>
      <c r="D7667" s="2" t="s">
        <v>11310</v>
      </c>
      <c r="E7667" s="2" t="s">
        <v>11311</v>
      </c>
      <c r="F7667" s="2" t="s">
        <v>174</v>
      </c>
      <c r="G7667" s="2" t="s">
        <v>17</v>
      </c>
      <c r="H7667" s="2"/>
      <c r="I7667" s="2"/>
      <c r="J7667" s="2"/>
      <c r="K7667" s="2"/>
      <c r="L7667" s="2"/>
      <c r="M7667" s="2"/>
      <c r="N7667" s="2"/>
      <c r="O7667" s="2"/>
      <c r="P7667" s="2"/>
      <c r="Q7667" s="2"/>
      <c r="R7667" s="2"/>
      <c r="S7667" s="2"/>
      <c r="T7667" s="2"/>
      <c r="U7667" s="2"/>
      <c r="V7667" s="2"/>
      <c r="W7667" s="2"/>
      <c r="X7667" s="2"/>
      <c r="Y7667" s="2"/>
    </row>
    <row r="7668" spans="1:25" x14ac:dyDescent="0.2">
      <c r="A7668">
        <v>4936</v>
      </c>
      <c r="B7668" t="s">
        <v>11309</v>
      </c>
      <c r="C7668" t="s">
        <v>18</v>
      </c>
      <c r="D7668" t="s">
        <v>11310</v>
      </c>
      <c r="E7668" t="s">
        <v>11312</v>
      </c>
      <c r="F7668" t="s">
        <v>174</v>
      </c>
      <c r="G7668" t="s">
        <v>17</v>
      </c>
      <c r="J7668" t="b">
        <v>1</v>
      </c>
      <c r="K7668" t="b">
        <v>1</v>
      </c>
      <c r="L7668" t="b">
        <v>1</v>
      </c>
      <c r="M7668" t="str">
        <f>HYPERLINK("https://arizona.app.box.com/file/389137153219")</f>
        <v>https://arizona.app.box.com/file/389137153219</v>
      </c>
    </row>
    <row r="7669" spans="1:25" x14ac:dyDescent="0.2">
      <c r="A7669">
        <v>4937</v>
      </c>
      <c r="B7669" t="s">
        <v>11309</v>
      </c>
      <c r="C7669" t="s">
        <v>18</v>
      </c>
      <c r="D7669" t="s">
        <v>11313</v>
      </c>
      <c r="E7669" t="s">
        <v>11314</v>
      </c>
      <c r="F7669" t="s">
        <v>174</v>
      </c>
      <c r="G7669" t="s">
        <v>17</v>
      </c>
      <c r="J7669" t="b">
        <v>1</v>
      </c>
      <c r="K7669" t="b">
        <v>1</v>
      </c>
      <c r="L7669" t="b">
        <v>1</v>
      </c>
      <c r="M7669" t="str">
        <f>HYPERLINK("https://arizona.app.box.com/file/389159761584")</f>
        <v>https://arizona.app.box.com/file/389159761584</v>
      </c>
    </row>
    <row r="7670" spans="1:25" x14ac:dyDescent="0.2">
      <c r="A7670">
        <v>4938</v>
      </c>
      <c r="B7670" t="s">
        <v>11309</v>
      </c>
      <c r="C7670" t="s">
        <v>18</v>
      </c>
      <c r="D7670" t="s">
        <v>988</v>
      </c>
      <c r="E7670" t="s">
        <v>989</v>
      </c>
      <c r="F7670" t="s">
        <v>174</v>
      </c>
      <c r="G7670" t="s">
        <v>17</v>
      </c>
      <c r="J7670" t="b">
        <v>0</v>
      </c>
      <c r="K7670" t="b">
        <v>0</v>
      </c>
      <c r="L7670" t="b">
        <v>0</v>
      </c>
    </row>
    <row r="7671" spans="1:25" x14ac:dyDescent="0.2">
      <c r="A7671">
        <v>4939</v>
      </c>
      <c r="B7671" t="s">
        <v>11309</v>
      </c>
      <c r="C7671" t="s">
        <v>18</v>
      </c>
      <c r="D7671" t="s">
        <v>10143</v>
      </c>
      <c r="E7671" t="s">
        <v>1442</v>
      </c>
      <c r="F7671" t="s">
        <v>174</v>
      </c>
      <c r="G7671" t="s">
        <v>17</v>
      </c>
      <c r="J7671" t="b">
        <v>0</v>
      </c>
      <c r="K7671" t="b">
        <v>0</v>
      </c>
      <c r="L7671" t="b">
        <v>0</v>
      </c>
      <c r="M7671" t="str">
        <f>HYPERLINK("https://arizona.app.box.com/file/389257426445")</f>
        <v>https://arizona.app.box.com/file/389257426445</v>
      </c>
      <c r="N7671" t="str">
        <f>HYPERLINK("https://arizona.app.box.com/file/389137005997")</f>
        <v>https://arizona.app.box.com/file/389137005997</v>
      </c>
    </row>
    <row r="7672" spans="1:25" x14ac:dyDescent="0.2">
      <c r="A7672">
        <v>4940</v>
      </c>
      <c r="B7672" t="s">
        <v>11309</v>
      </c>
      <c r="C7672" t="s">
        <v>18</v>
      </c>
      <c r="D7672" t="s">
        <v>11315</v>
      </c>
      <c r="E7672" t="s">
        <v>7801</v>
      </c>
      <c r="F7672" t="s">
        <v>168</v>
      </c>
      <c r="G7672" t="s">
        <v>24</v>
      </c>
      <c r="J7672" t="b">
        <v>0</v>
      </c>
      <c r="K7672" t="b">
        <v>0</v>
      </c>
      <c r="L7672" t="b">
        <v>0</v>
      </c>
      <c r="M7672" t="str">
        <f>HYPERLINK("https://arizona.app.box.com/file/389261471645")</f>
        <v>https://arizona.app.box.com/file/389261471645</v>
      </c>
      <c r="N7672" t="str">
        <f>HYPERLINK("https://arizona.app.box.com/file/389161446944")</f>
        <v>https://arizona.app.box.com/file/389161446944</v>
      </c>
    </row>
    <row r="7674" spans="1:25" x14ac:dyDescent="0.2">
      <c r="A7674" s="2">
        <v>497</v>
      </c>
      <c r="B7674" s="2" t="s">
        <v>11316</v>
      </c>
      <c r="C7674" s="2" t="s">
        <v>13</v>
      </c>
      <c r="D7674" s="2" t="s">
        <v>11317</v>
      </c>
      <c r="E7674" s="2" t="s">
        <v>11318</v>
      </c>
      <c r="F7674" s="2" t="s">
        <v>1077</v>
      </c>
      <c r="G7674" s="2" t="s">
        <v>134</v>
      </c>
      <c r="H7674" s="2"/>
      <c r="I7674" s="2"/>
      <c r="J7674" s="2"/>
      <c r="K7674" s="2"/>
      <c r="L7674" s="2"/>
      <c r="M7674" s="2"/>
      <c r="N7674" s="2"/>
      <c r="O7674" s="2"/>
      <c r="P7674" s="2"/>
      <c r="Q7674" s="2"/>
      <c r="R7674" s="2"/>
      <c r="S7674" s="2"/>
      <c r="T7674" s="2"/>
      <c r="U7674" s="2"/>
      <c r="V7674" s="2"/>
      <c r="W7674" s="2"/>
      <c r="X7674" s="2"/>
      <c r="Y7674" s="2"/>
    </row>
    <row r="7675" spans="1:25" x14ac:dyDescent="0.2">
      <c r="A7675">
        <v>498</v>
      </c>
      <c r="B7675" t="s">
        <v>11316</v>
      </c>
      <c r="C7675" t="s">
        <v>18</v>
      </c>
      <c r="D7675" t="s">
        <v>11317</v>
      </c>
      <c r="E7675" t="s">
        <v>11318</v>
      </c>
      <c r="F7675" t="s">
        <v>1077</v>
      </c>
      <c r="G7675" t="s">
        <v>134</v>
      </c>
      <c r="J7675" t="b">
        <v>1</v>
      </c>
      <c r="K7675" t="b">
        <v>1</v>
      </c>
      <c r="L7675" t="b">
        <v>1</v>
      </c>
      <c r="M7675" t="str">
        <f>HYPERLINK("https://arizona.app.box.com/file/389264432302")</f>
        <v>https://arizona.app.box.com/file/389264432302</v>
      </c>
      <c r="N7675" t="str">
        <f>HYPERLINK("https://arizona.app.box.com/file/389166967999")</f>
        <v>https://arizona.app.box.com/file/389166967999</v>
      </c>
      <c r="O7675" t="str">
        <f>HYPERLINK("https://arizona.app.box.com/file/389255998842")</f>
        <v>https://arizona.app.box.com/file/389255998842</v>
      </c>
      <c r="P7675" t="str">
        <f>HYPERLINK("https://arizona.app.box.com/file/389152073495")</f>
        <v>https://arizona.app.box.com/file/389152073495</v>
      </c>
    </row>
    <row r="7676" spans="1:25" x14ac:dyDescent="0.2">
      <c r="A7676">
        <v>499</v>
      </c>
      <c r="B7676" t="s">
        <v>11316</v>
      </c>
      <c r="C7676" t="s">
        <v>18</v>
      </c>
      <c r="D7676" t="s">
        <v>2133</v>
      </c>
      <c r="E7676" t="s">
        <v>701</v>
      </c>
      <c r="F7676" t="s">
        <v>1010</v>
      </c>
      <c r="G7676" t="s">
        <v>345</v>
      </c>
      <c r="J7676" t="b">
        <v>0</v>
      </c>
      <c r="K7676" t="b">
        <v>0</v>
      </c>
      <c r="L7676" t="b">
        <v>0</v>
      </c>
      <c r="M7676" t="str">
        <f>HYPERLINK("https://arizona.app.box.com/file/389263370155")</f>
        <v>https://arizona.app.box.com/file/389263370155</v>
      </c>
      <c r="N7676" t="str">
        <f>HYPERLINK("https://arizona.app.box.com/file/389161143061")</f>
        <v>https://arizona.app.box.com/file/389161143061</v>
      </c>
    </row>
    <row r="7677" spans="1:25" x14ac:dyDescent="0.2">
      <c r="A7677">
        <v>500</v>
      </c>
      <c r="B7677" t="s">
        <v>11316</v>
      </c>
      <c r="C7677" t="s">
        <v>18</v>
      </c>
      <c r="D7677" t="s">
        <v>2503</v>
      </c>
      <c r="E7677" t="s">
        <v>2504</v>
      </c>
      <c r="F7677" t="s">
        <v>78</v>
      </c>
      <c r="G7677" t="s">
        <v>88</v>
      </c>
      <c r="J7677" t="b">
        <v>0</v>
      </c>
      <c r="K7677" t="b">
        <v>0</v>
      </c>
      <c r="L7677" t="b">
        <v>0</v>
      </c>
      <c r="M7677" t="str">
        <f>HYPERLINK("https://arizona.app.box.com/file/389171402800")</f>
        <v>https://arizona.app.box.com/file/389171402800</v>
      </c>
      <c r="N7677" t="str">
        <f>HYPERLINK("https://arizona.app.box.com/file/386212690657")</f>
        <v>https://arizona.app.box.com/file/386212690657</v>
      </c>
    </row>
    <row r="7678" spans="1:25" x14ac:dyDescent="0.2">
      <c r="A7678">
        <v>501</v>
      </c>
      <c r="B7678" t="s">
        <v>11316</v>
      </c>
      <c r="C7678" t="s">
        <v>18</v>
      </c>
      <c r="D7678" t="s">
        <v>4533</v>
      </c>
      <c r="E7678" t="s">
        <v>4534</v>
      </c>
      <c r="F7678" t="s">
        <v>159</v>
      </c>
      <c r="G7678" t="s">
        <v>88</v>
      </c>
      <c r="J7678" t="b">
        <v>0</v>
      </c>
      <c r="K7678" t="b">
        <v>0</v>
      </c>
      <c r="L7678" t="b">
        <v>0</v>
      </c>
      <c r="M7678" t="str">
        <f>HYPERLINK("https://arizona.app.box.com/file/389174589178")</f>
        <v>https://arizona.app.box.com/file/389174589178</v>
      </c>
      <c r="N7678" t="str">
        <f>HYPERLINK("https://arizona.app.box.com/file/386241292728")</f>
        <v>https://arizona.app.box.com/file/386241292728</v>
      </c>
    </row>
    <row r="7679" spans="1:25" x14ac:dyDescent="0.2">
      <c r="A7679">
        <v>502</v>
      </c>
      <c r="B7679" t="s">
        <v>11316</v>
      </c>
      <c r="C7679" t="s">
        <v>18</v>
      </c>
      <c r="D7679" t="s">
        <v>11319</v>
      </c>
      <c r="E7679" t="s">
        <v>11320</v>
      </c>
      <c r="F7679" t="s">
        <v>78</v>
      </c>
      <c r="G7679" t="s">
        <v>130</v>
      </c>
      <c r="J7679" t="b">
        <v>0</v>
      </c>
      <c r="K7679" t="b">
        <v>0</v>
      </c>
      <c r="L7679" t="b">
        <v>0</v>
      </c>
      <c r="M7679" t="str">
        <f>HYPERLINK("https://arizona.app.box.com/file/386243553362")</f>
        <v>https://arizona.app.box.com/file/386243553362</v>
      </c>
      <c r="N7679" t="str">
        <f>HYPERLINK("https://arizona.app.box.com/file/386230334734")</f>
        <v>https://arizona.app.box.com/file/386230334734</v>
      </c>
    </row>
    <row r="7681" spans="1:25" x14ac:dyDescent="0.2">
      <c r="A7681" s="2">
        <v>5026</v>
      </c>
      <c r="B7681" s="2" t="s">
        <v>11321</v>
      </c>
      <c r="C7681" s="2" t="s">
        <v>13</v>
      </c>
      <c r="D7681" s="2" t="s">
        <v>11322</v>
      </c>
      <c r="E7681" s="2" t="s">
        <v>11323</v>
      </c>
      <c r="F7681" s="2" t="s">
        <v>369</v>
      </c>
      <c r="G7681" s="2" t="s">
        <v>24</v>
      </c>
      <c r="H7681" s="2"/>
      <c r="I7681" s="2"/>
      <c r="J7681" s="2"/>
      <c r="K7681" s="2"/>
      <c r="L7681" s="2"/>
      <c r="M7681" s="2"/>
      <c r="N7681" s="2"/>
      <c r="O7681" s="2"/>
      <c r="P7681" s="2"/>
      <c r="Q7681" s="2"/>
      <c r="R7681" s="2"/>
      <c r="S7681" s="2"/>
      <c r="T7681" s="2"/>
      <c r="U7681" s="2"/>
      <c r="V7681" s="2"/>
      <c r="W7681" s="2"/>
      <c r="X7681" s="2"/>
      <c r="Y7681" s="2"/>
    </row>
    <row r="7682" spans="1:25" x14ac:dyDescent="0.2">
      <c r="A7682">
        <v>5027</v>
      </c>
      <c r="B7682" t="s">
        <v>11321</v>
      </c>
      <c r="C7682" t="s">
        <v>18</v>
      </c>
      <c r="D7682" t="s">
        <v>1831</v>
      </c>
      <c r="E7682" t="s">
        <v>381</v>
      </c>
      <c r="F7682" t="s">
        <v>369</v>
      </c>
      <c r="G7682" t="s">
        <v>24</v>
      </c>
      <c r="J7682" t="b">
        <v>1</v>
      </c>
      <c r="K7682" t="b">
        <v>1</v>
      </c>
      <c r="L7682" t="b">
        <v>1</v>
      </c>
      <c r="M7682" t="str">
        <f>HYPERLINK("https://arizona.app.box.com/file/389173265304")</f>
        <v>https://arizona.app.box.com/file/389173265304</v>
      </c>
    </row>
    <row r="7683" spans="1:25" x14ac:dyDescent="0.2">
      <c r="A7683">
        <v>5028</v>
      </c>
      <c r="B7683" t="s">
        <v>11321</v>
      </c>
      <c r="C7683" t="s">
        <v>18</v>
      </c>
      <c r="D7683" t="s">
        <v>1824</v>
      </c>
      <c r="E7683" t="s">
        <v>381</v>
      </c>
      <c r="F7683" t="s">
        <v>159</v>
      </c>
      <c r="G7683" t="s">
        <v>24</v>
      </c>
      <c r="J7683" t="b">
        <v>0</v>
      </c>
      <c r="K7683" t="b">
        <v>0</v>
      </c>
      <c r="L7683" t="b">
        <v>0</v>
      </c>
      <c r="M7683" t="str">
        <f>HYPERLINK("https://arizona.app.box.com/file/389168655793")</f>
        <v>https://arizona.app.box.com/file/389168655793</v>
      </c>
    </row>
    <row r="7684" spans="1:25" x14ac:dyDescent="0.2">
      <c r="A7684">
        <v>5029</v>
      </c>
      <c r="B7684" t="s">
        <v>11321</v>
      </c>
      <c r="C7684" t="s">
        <v>18</v>
      </c>
      <c r="D7684" t="s">
        <v>1826</v>
      </c>
      <c r="E7684" t="s">
        <v>381</v>
      </c>
      <c r="F7684" t="s">
        <v>174</v>
      </c>
      <c r="G7684" t="s">
        <v>24</v>
      </c>
      <c r="J7684" t="b">
        <v>0</v>
      </c>
      <c r="K7684" t="b">
        <v>0</v>
      </c>
      <c r="L7684" t="b">
        <v>0</v>
      </c>
      <c r="M7684" t="str">
        <f>HYPERLINK("https://arizona.app.box.com/file/389153263907")</f>
        <v>https://arizona.app.box.com/file/389153263907</v>
      </c>
      <c r="N7684" t="str">
        <f>HYPERLINK("https://arizona.app.box.com/file/386211877715")</f>
        <v>https://arizona.app.box.com/file/386211877715</v>
      </c>
    </row>
    <row r="7685" spans="1:25" x14ac:dyDescent="0.2">
      <c r="A7685">
        <v>5030</v>
      </c>
      <c r="B7685" t="s">
        <v>11321</v>
      </c>
      <c r="C7685" t="s">
        <v>18</v>
      </c>
      <c r="D7685" t="s">
        <v>1822</v>
      </c>
      <c r="E7685" t="s">
        <v>381</v>
      </c>
      <c r="F7685" t="s">
        <v>16</v>
      </c>
      <c r="G7685" t="s">
        <v>24</v>
      </c>
      <c r="J7685" t="b">
        <v>0</v>
      </c>
      <c r="K7685" t="b">
        <v>0</v>
      </c>
      <c r="L7685" t="b">
        <v>0</v>
      </c>
    </row>
    <row r="7686" spans="1:25" x14ac:dyDescent="0.2">
      <c r="A7686">
        <v>5031</v>
      </c>
      <c r="B7686" t="s">
        <v>11321</v>
      </c>
      <c r="C7686" t="s">
        <v>18</v>
      </c>
      <c r="D7686" t="s">
        <v>8377</v>
      </c>
      <c r="E7686" t="s">
        <v>381</v>
      </c>
      <c r="F7686" t="s">
        <v>159</v>
      </c>
      <c r="G7686" t="s">
        <v>24</v>
      </c>
      <c r="J7686" t="b">
        <v>0</v>
      </c>
      <c r="K7686" t="b">
        <v>0</v>
      </c>
      <c r="L7686" t="b">
        <v>0</v>
      </c>
      <c r="M7686" t="str">
        <f>HYPERLINK("https://arizona.app.box.com/file/389172268888")</f>
        <v>https://arizona.app.box.com/file/389172268888</v>
      </c>
    </row>
    <row r="7688" spans="1:25" x14ac:dyDescent="0.2">
      <c r="A7688" s="2">
        <v>5040</v>
      </c>
      <c r="B7688" s="2" t="s">
        <v>11324</v>
      </c>
      <c r="C7688" s="2" t="s">
        <v>13</v>
      </c>
      <c r="D7688" s="2" t="s">
        <v>11325</v>
      </c>
      <c r="E7688" s="2" t="s">
        <v>11326</v>
      </c>
      <c r="F7688" s="2" t="s">
        <v>159</v>
      </c>
      <c r="G7688" s="2" t="s">
        <v>280</v>
      </c>
      <c r="H7688" s="2"/>
      <c r="I7688" s="2"/>
      <c r="J7688" s="2"/>
      <c r="K7688" s="2"/>
      <c r="L7688" s="2"/>
      <c r="M7688" s="2"/>
      <c r="N7688" s="2"/>
      <c r="O7688" s="2"/>
      <c r="P7688" s="2"/>
      <c r="Q7688" s="2"/>
      <c r="R7688" s="2"/>
      <c r="S7688" s="2"/>
      <c r="T7688" s="2"/>
      <c r="U7688" s="2"/>
      <c r="V7688" s="2"/>
      <c r="W7688" s="2"/>
      <c r="X7688" s="2"/>
      <c r="Y7688" s="2"/>
    </row>
    <row r="7689" spans="1:25" x14ac:dyDescent="0.2">
      <c r="A7689">
        <v>5041</v>
      </c>
      <c r="B7689" t="s">
        <v>11324</v>
      </c>
      <c r="C7689" t="s">
        <v>18</v>
      </c>
      <c r="D7689" t="s">
        <v>5724</v>
      </c>
      <c r="E7689" t="s">
        <v>5725</v>
      </c>
      <c r="F7689" t="s">
        <v>5726</v>
      </c>
      <c r="G7689" t="s">
        <v>280</v>
      </c>
      <c r="J7689" t="b">
        <v>1</v>
      </c>
      <c r="K7689" t="b">
        <v>1</v>
      </c>
      <c r="L7689" t="b">
        <v>1</v>
      </c>
      <c r="M7689" t="str">
        <f>HYPERLINK("https://arizona.app.box.com/file/389259513909")</f>
        <v>https://arizona.app.box.com/file/389259513909</v>
      </c>
      <c r="N7689" t="str">
        <f>HYPERLINK("https://arizona.app.box.com/file/389160840200")</f>
        <v>https://arizona.app.box.com/file/389160840200</v>
      </c>
      <c r="O7689" t="str">
        <f>HYPERLINK("https://arizona.app.box.com/file/389268849475")</f>
        <v>https://arizona.app.box.com/file/389268849475</v>
      </c>
      <c r="P7689" t="str">
        <f>HYPERLINK("https://arizona.app.box.com/file/389172148402")</f>
        <v>https://arizona.app.box.com/file/389172148402</v>
      </c>
      <c r="Q7689" t="str">
        <f>HYPERLINK("https://arizona.app.box.com/file/389164699818")</f>
        <v>https://arizona.app.box.com/file/389164699818</v>
      </c>
    </row>
    <row r="7690" spans="1:25" x14ac:dyDescent="0.2">
      <c r="A7690">
        <v>5042</v>
      </c>
      <c r="B7690" t="s">
        <v>11324</v>
      </c>
      <c r="C7690" t="s">
        <v>18</v>
      </c>
      <c r="D7690" t="s">
        <v>5732</v>
      </c>
      <c r="E7690" t="s">
        <v>5733</v>
      </c>
      <c r="F7690" t="s">
        <v>1837</v>
      </c>
      <c r="G7690" t="s">
        <v>280</v>
      </c>
      <c r="J7690" t="b">
        <v>0</v>
      </c>
      <c r="K7690" t="b">
        <v>0</v>
      </c>
      <c r="L7690" t="b">
        <v>0</v>
      </c>
      <c r="M7690" t="str">
        <f>HYPERLINK("https://arizona.app.box.com/file/389176701749")</f>
        <v>https://arizona.app.box.com/file/389176701749</v>
      </c>
      <c r="N7690" t="str">
        <f>HYPERLINK("https://arizona.app.box.com/file/386233111918")</f>
        <v>https://arizona.app.box.com/file/386233111918</v>
      </c>
      <c r="O7690" t="str">
        <f>HYPERLINK("https://arizona.app.box.com/file/389173990119")</f>
        <v>https://arizona.app.box.com/file/389173990119</v>
      </c>
      <c r="P7690" t="str">
        <f>HYPERLINK("https://arizona.app.box.com/file/389264304374")</f>
        <v>https://arizona.app.box.com/file/389264304374</v>
      </c>
    </row>
    <row r="7691" spans="1:25" x14ac:dyDescent="0.2">
      <c r="A7691">
        <v>5043</v>
      </c>
      <c r="B7691" t="s">
        <v>11324</v>
      </c>
      <c r="C7691" t="s">
        <v>18</v>
      </c>
      <c r="D7691" t="s">
        <v>5716</v>
      </c>
      <c r="E7691" t="s">
        <v>5717</v>
      </c>
      <c r="F7691" t="s">
        <v>1938</v>
      </c>
      <c r="G7691" t="s">
        <v>280</v>
      </c>
      <c r="J7691" t="b">
        <v>0</v>
      </c>
      <c r="K7691" t="b">
        <v>0</v>
      </c>
      <c r="L7691" t="b">
        <v>0</v>
      </c>
      <c r="M7691" t="str">
        <f>HYPERLINK("https://arizona.app.box.com/file/389257218042")</f>
        <v>https://arizona.app.box.com/file/389257218042</v>
      </c>
      <c r="N7691" t="str">
        <f>HYPERLINK("https://arizona.app.box.com/file/389154878474")</f>
        <v>https://arizona.app.box.com/file/389154878474</v>
      </c>
    </row>
    <row r="7692" spans="1:25" x14ac:dyDescent="0.2">
      <c r="A7692">
        <v>5044</v>
      </c>
      <c r="B7692" t="s">
        <v>11324</v>
      </c>
      <c r="C7692" t="s">
        <v>18</v>
      </c>
      <c r="D7692" t="s">
        <v>9933</v>
      </c>
      <c r="E7692" t="s">
        <v>9935</v>
      </c>
      <c r="F7692" t="s">
        <v>205</v>
      </c>
      <c r="G7692" t="s">
        <v>345</v>
      </c>
      <c r="J7692" t="b">
        <v>0</v>
      </c>
      <c r="K7692" t="b">
        <v>0</v>
      </c>
      <c r="L7692" t="b">
        <v>0</v>
      </c>
      <c r="M7692" t="str">
        <f>HYPERLINK("https://arizona.app.box.com/file/389265276536")</f>
        <v>https://arizona.app.box.com/file/389265276536</v>
      </c>
      <c r="N7692" t="str">
        <f>HYPERLINK("https://arizona.app.box.com/file/389166370656")</f>
        <v>https://arizona.app.box.com/file/389166370656</v>
      </c>
      <c r="O7692" t="str">
        <f>HYPERLINK("https://arizona.app.box.com/file/389261474484")</f>
        <v>https://arizona.app.box.com/file/389261474484</v>
      </c>
      <c r="P7692" t="str">
        <f>HYPERLINK("https://arizona.app.box.com/file/389152390499")</f>
        <v>https://arizona.app.box.com/file/389152390499</v>
      </c>
    </row>
    <row r="7693" spans="1:25" x14ac:dyDescent="0.2">
      <c r="A7693">
        <v>5045</v>
      </c>
      <c r="B7693" t="s">
        <v>11324</v>
      </c>
      <c r="C7693" t="s">
        <v>18</v>
      </c>
      <c r="D7693" t="s">
        <v>5720</v>
      </c>
      <c r="E7693" t="s">
        <v>5721</v>
      </c>
      <c r="F7693" t="s">
        <v>1938</v>
      </c>
      <c r="G7693" t="s">
        <v>280</v>
      </c>
      <c r="J7693" t="b">
        <v>0</v>
      </c>
      <c r="K7693" t="b">
        <v>0</v>
      </c>
      <c r="L7693" t="b">
        <v>0</v>
      </c>
      <c r="M7693" t="str">
        <f>HYPERLINK("https://arizona.app.box.com/file/389169817360")</f>
        <v>https://arizona.app.box.com/file/389169817360</v>
      </c>
      <c r="N7693" t="str">
        <f>HYPERLINK("https://arizona.app.box.com/file/386239104072")</f>
        <v>https://arizona.app.box.com/file/386239104072</v>
      </c>
    </row>
    <row r="7695" spans="1:25" x14ac:dyDescent="0.2">
      <c r="A7695" s="2">
        <v>5103</v>
      </c>
      <c r="B7695" s="2" t="s">
        <v>11327</v>
      </c>
      <c r="C7695" s="2" t="s">
        <v>13</v>
      </c>
      <c r="D7695" s="2" t="s">
        <v>6831</v>
      </c>
      <c r="E7695" s="2" t="s">
        <v>11328</v>
      </c>
      <c r="F7695" s="2" t="s">
        <v>122</v>
      </c>
      <c r="G7695" s="2" t="s">
        <v>17</v>
      </c>
      <c r="H7695" s="2"/>
      <c r="I7695" s="2"/>
      <c r="J7695" s="2"/>
      <c r="K7695" s="2"/>
      <c r="L7695" s="2"/>
      <c r="M7695" s="2"/>
      <c r="N7695" s="2"/>
      <c r="O7695" s="2"/>
      <c r="P7695" s="2"/>
      <c r="Q7695" s="2"/>
      <c r="R7695" s="2"/>
      <c r="S7695" s="2"/>
      <c r="T7695" s="2"/>
      <c r="U7695" s="2"/>
      <c r="V7695" s="2"/>
      <c r="W7695" s="2"/>
      <c r="X7695" s="2"/>
      <c r="Y7695" s="2"/>
    </row>
    <row r="7696" spans="1:25" x14ac:dyDescent="0.2">
      <c r="A7696">
        <v>5104</v>
      </c>
      <c r="B7696" t="s">
        <v>11327</v>
      </c>
      <c r="C7696" t="s">
        <v>18</v>
      </c>
      <c r="D7696" t="s">
        <v>6831</v>
      </c>
      <c r="E7696" t="s">
        <v>6832</v>
      </c>
      <c r="F7696" t="s">
        <v>122</v>
      </c>
      <c r="G7696" t="s">
        <v>17</v>
      </c>
      <c r="J7696" t="b">
        <v>1</v>
      </c>
      <c r="K7696" t="b">
        <v>1</v>
      </c>
      <c r="L7696" t="b">
        <v>1</v>
      </c>
      <c r="M7696" t="str">
        <f>HYPERLINK("https://arizona.app.box.com/file/389150597875")</f>
        <v>https://arizona.app.box.com/file/389150597875</v>
      </c>
    </row>
    <row r="7697" spans="1:25" x14ac:dyDescent="0.2">
      <c r="A7697">
        <v>5105</v>
      </c>
      <c r="B7697" t="s">
        <v>11327</v>
      </c>
      <c r="C7697" t="s">
        <v>18</v>
      </c>
      <c r="D7697" t="s">
        <v>11329</v>
      </c>
      <c r="E7697" t="s">
        <v>5818</v>
      </c>
      <c r="F7697" t="s">
        <v>122</v>
      </c>
      <c r="G7697" t="s">
        <v>17</v>
      </c>
      <c r="J7697" t="b">
        <v>0</v>
      </c>
      <c r="K7697" t="b">
        <v>0</v>
      </c>
      <c r="L7697" t="b">
        <v>0</v>
      </c>
      <c r="M7697" t="str">
        <f>HYPERLINK("https://arizona.app.box.com/file/389163190950")</f>
        <v>https://arizona.app.box.com/file/389163190950</v>
      </c>
    </row>
    <row r="7698" spans="1:25" x14ac:dyDescent="0.2">
      <c r="A7698">
        <v>5106</v>
      </c>
      <c r="B7698" t="s">
        <v>11327</v>
      </c>
      <c r="C7698" t="s">
        <v>18</v>
      </c>
      <c r="D7698" t="s">
        <v>11330</v>
      </c>
      <c r="E7698" t="s">
        <v>11331</v>
      </c>
      <c r="F7698" t="s">
        <v>122</v>
      </c>
      <c r="G7698" t="s">
        <v>17</v>
      </c>
      <c r="J7698" t="b">
        <v>0</v>
      </c>
      <c r="K7698" t="b">
        <v>0</v>
      </c>
      <c r="L7698" t="b">
        <v>0</v>
      </c>
    </row>
    <row r="7699" spans="1:25" x14ac:dyDescent="0.2">
      <c r="A7699">
        <v>5107</v>
      </c>
      <c r="B7699" t="s">
        <v>11327</v>
      </c>
      <c r="C7699" t="s">
        <v>18</v>
      </c>
      <c r="D7699" t="s">
        <v>11332</v>
      </c>
      <c r="E7699" t="s">
        <v>11333</v>
      </c>
      <c r="F7699" t="s">
        <v>122</v>
      </c>
      <c r="G7699" t="s">
        <v>17</v>
      </c>
      <c r="J7699" t="b">
        <v>0</v>
      </c>
      <c r="K7699" t="b">
        <v>0</v>
      </c>
      <c r="L7699" t="b">
        <v>0</v>
      </c>
      <c r="M7699" t="str">
        <f>HYPERLINK("https://arizona.app.box.com/file/389161817072")</f>
        <v>https://arizona.app.box.com/file/389161817072</v>
      </c>
      <c r="N7699" t="str">
        <f>HYPERLINK("https://arizona.app.box.com/file/389162056517")</f>
        <v>https://arizona.app.box.com/file/389162056517</v>
      </c>
    </row>
    <row r="7700" spans="1:25" x14ac:dyDescent="0.2">
      <c r="A7700">
        <v>5108</v>
      </c>
      <c r="B7700" t="s">
        <v>11327</v>
      </c>
      <c r="C7700" t="s">
        <v>18</v>
      </c>
      <c r="D7700" t="s">
        <v>9139</v>
      </c>
      <c r="E7700" t="s">
        <v>9140</v>
      </c>
      <c r="F7700" t="s">
        <v>122</v>
      </c>
      <c r="G7700" t="s">
        <v>17</v>
      </c>
      <c r="J7700" t="b">
        <v>0</v>
      </c>
      <c r="K7700" t="b">
        <v>0</v>
      </c>
      <c r="L7700" t="b">
        <v>0</v>
      </c>
    </row>
    <row r="7702" spans="1:25" x14ac:dyDescent="0.2">
      <c r="A7702" s="2">
        <v>511</v>
      </c>
      <c r="B7702" s="2" t="s">
        <v>11334</v>
      </c>
      <c r="C7702" s="2" t="s">
        <v>13</v>
      </c>
      <c r="D7702" s="2" t="s">
        <v>9810</v>
      </c>
      <c r="E7702" s="2" t="s">
        <v>11335</v>
      </c>
      <c r="F7702" s="2" t="s">
        <v>122</v>
      </c>
      <c r="G7702" s="2" t="s">
        <v>62</v>
      </c>
      <c r="H7702" s="2"/>
      <c r="I7702" s="2"/>
      <c r="J7702" s="2"/>
      <c r="K7702" s="2"/>
      <c r="L7702" s="2"/>
      <c r="M7702" s="2"/>
      <c r="N7702" s="2"/>
      <c r="O7702" s="2"/>
      <c r="P7702" s="2"/>
      <c r="Q7702" s="2"/>
      <c r="R7702" s="2"/>
      <c r="S7702" s="2"/>
      <c r="T7702" s="2"/>
      <c r="U7702" s="2"/>
      <c r="V7702" s="2"/>
      <c r="W7702" s="2"/>
      <c r="X7702" s="2"/>
      <c r="Y7702" s="2"/>
    </row>
    <row r="7703" spans="1:25" x14ac:dyDescent="0.2">
      <c r="A7703">
        <v>512</v>
      </c>
      <c r="B7703" t="s">
        <v>11334</v>
      </c>
      <c r="C7703" t="s">
        <v>18</v>
      </c>
      <c r="D7703" t="s">
        <v>9810</v>
      </c>
      <c r="E7703" t="s">
        <v>9811</v>
      </c>
      <c r="F7703" t="s">
        <v>122</v>
      </c>
      <c r="G7703" t="s">
        <v>62</v>
      </c>
      <c r="J7703" t="b">
        <v>1</v>
      </c>
      <c r="K7703" t="b">
        <v>1</v>
      </c>
      <c r="L7703" t="b">
        <v>1</v>
      </c>
      <c r="M7703" t="str">
        <f>HYPERLINK("https://arizona.app.box.com/file/386229420769")</f>
        <v>https://arizona.app.box.com/file/386229420769</v>
      </c>
    </row>
    <row r="7704" spans="1:25" x14ac:dyDescent="0.2">
      <c r="A7704">
        <v>513</v>
      </c>
      <c r="B7704" t="s">
        <v>11334</v>
      </c>
      <c r="C7704" t="s">
        <v>18</v>
      </c>
      <c r="D7704" t="s">
        <v>9812</v>
      </c>
      <c r="E7704" t="s">
        <v>6798</v>
      </c>
      <c r="F7704" t="s">
        <v>122</v>
      </c>
      <c r="G7704" t="s">
        <v>62</v>
      </c>
      <c r="J7704" t="b">
        <v>1</v>
      </c>
      <c r="K7704" t="b">
        <v>1</v>
      </c>
      <c r="L7704" t="b">
        <v>1</v>
      </c>
      <c r="M7704" t="str">
        <f>HYPERLINK("https://arizona.app.box.com/file/386229518513")</f>
        <v>https://arizona.app.box.com/file/386229518513</v>
      </c>
    </row>
    <row r="7705" spans="1:25" x14ac:dyDescent="0.2">
      <c r="A7705">
        <v>514</v>
      </c>
      <c r="B7705" t="s">
        <v>11334</v>
      </c>
      <c r="C7705" t="s">
        <v>18</v>
      </c>
      <c r="D7705" t="s">
        <v>9922</v>
      </c>
      <c r="E7705" t="s">
        <v>9923</v>
      </c>
      <c r="F7705" t="s">
        <v>122</v>
      </c>
      <c r="G7705" t="s">
        <v>62</v>
      </c>
      <c r="J7705" t="b">
        <v>0</v>
      </c>
      <c r="K7705" t="b">
        <v>0</v>
      </c>
      <c r="L7705" t="b">
        <v>0</v>
      </c>
      <c r="M7705" t="str">
        <f>HYPERLINK("https://arizona.app.box.com/file/386229237655")</f>
        <v>https://arizona.app.box.com/file/386229237655</v>
      </c>
      <c r="N7705" t="str">
        <f>HYPERLINK("https://arizona.app.box.com/file/386213891712")</f>
        <v>https://arizona.app.box.com/file/386213891712</v>
      </c>
    </row>
    <row r="7706" spans="1:25" x14ac:dyDescent="0.2">
      <c r="A7706">
        <v>515</v>
      </c>
      <c r="B7706" t="s">
        <v>11334</v>
      </c>
      <c r="C7706" t="s">
        <v>18</v>
      </c>
      <c r="D7706" t="s">
        <v>11336</v>
      </c>
      <c r="E7706" t="s">
        <v>11337</v>
      </c>
      <c r="F7706" t="s">
        <v>122</v>
      </c>
      <c r="G7706" t="s">
        <v>62</v>
      </c>
      <c r="J7706" t="b">
        <v>0</v>
      </c>
      <c r="K7706" t="b">
        <v>0</v>
      </c>
      <c r="L7706" t="b">
        <v>0</v>
      </c>
    </row>
    <row r="7707" spans="1:25" x14ac:dyDescent="0.2">
      <c r="A7707">
        <v>516</v>
      </c>
      <c r="B7707" t="s">
        <v>11334</v>
      </c>
      <c r="C7707" t="s">
        <v>18</v>
      </c>
      <c r="D7707" t="s">
        <v>3247</v>
      </c>
      <c r="E7707" t="s">
        <v>3248</v>
      </c>
      <c r="F7707" t="s">
        <v>122</v>
      </c>
      <c r="G7707" t="s">
        <v>62</v>
      </c>
      <c r="J7707" t="b">
        <v>0</v>
      </c>
      <c r="K7707" t="b">
        <v>0</v>
      </c>
      <c r="L7707" t="b">
        <v>0</v>
      </c>
      <c r="M7707" t="str">
        <f>HYPERLINK("https://arizona.app.box.com/file/386215830480")</f>
        <v>https://arizona.app.box.com/file/386215830480</v>
      </c>
      <c r="N7707" t="str">
        <f>HYPERLINK("https://arizona.app.box.com/file/386243187565")</f>
        <v>https://arizona.app.box.com/file/386243187565</v>
      </c>
    </row>
    <row r="7709" spans="1:25" x14ac:dyDescent="0.2">
      <c r="A7709" s="2">
        <v>5166</v>
      </c>
      <c r="B7709" s="2" t="s">
        <v>11338</v>
      </c>
      <c r="C7709" s="2" t="s">
        <v>13</v>
      </c>
      <c r="D7709" s="2" t="s">
        <v>11339</v>
      </c>
      <c r="E7709" s="2" t="s">
        <v>11340</v>
      </c>
      <c r="F7709" s="2" t="s">
        <v>159</v>
      </c>
      <c r="G7709" s="2" t="s">
        <v>201</v>
      </c>
      <c r="H7709" s="2"/>
      <c r="I7709" s="2"/>
      <c r="J7709" s="2"/>
      <c r="K7709" s="2"/>
      <c r="L7709" s="2"/>
      <c r="M7709" s="2"/>
      <c r="N7709" s="2"/>
      <c r="O7709" s="2"/>
      <c r="P7709" s="2"/>
      <c r="Q7709" s="2"/>
      <c r="R7709" s="2"/>
      <c r="S7709" s="2"/>
      <c r="T7709" s="2"/>
      <c r="U7709" s="2"/>
      <c r="V7709" s="2"/>
      <c r="W7709" s="2"/>
      <c r="X7709" s="2"/>
      <c r="Y7709" s="2"/>
    </row>
    <row r="7710" spans="1:25" x14ac:dyDescent="0.2">
      <c r="A7710">
        <v>5167</v>
      </c>
      <c r="B7710" t="s">
        <v>11338</v>
      </c>
      <c r="C7710" t="s">
        <v>18</v>
      </c>
      <c r="D7710" t="s">
        <v>2857</v>
      </c>
      <c r="E7710" t="s">
        <v>2858</v>
      </c>
      <c r="F7710" t="s">
        <v>159</v>
      </c>
      <c r="G7710" t="s">
        <v>201</v>
      </c>
      <c r="J7710" t="b">
        <v>1</v>
      </c>
      <c r="K7710" t="b">
        <v>1</v>
      </c>
      <c r="L7710" t="b">
        <v>1</v>
      </c>
      <c r="M7710" t="str">
        <f>HYPERLINK("https://arizona.app.box.com/file/389174865937")</f>
        <v>https://arizona.app.box.com/file/389174865937</v>
      </c>
      <c r="N7710" t="str">
        <f>HYPERLINK("https://arizona.app.box.com/file/386225891568")</f>
        <v>https://arizona.app.box.com/file/386225891568</v>
      </c>
    </row>
    <row r="7711" spans="1:25" x14ac:dyDescent="0.2">
      <c r="A7711">
        <v>5168</v>
      </c>
      <c r="B7711" t="s">
        <v>11338</v>
      </c>
      <c r="C7711" t="s">
        <v>18</v>
      </c>
      <c r="D7711" t="s">
        <v>210</v>
      </c>
      <c r="E7711" t="s">
        <v>211</v>
      </c>
      <c r="F7711" t="s">
        <v>159</v>
      </c>
      <c r="G7711" t="s">
        <v>201</v>
      </c>
      <c r="J7711" t="b">
        <v>0</v>
      </c>
      <c r="K7711" t="b">
        <v>0</v>
      </c>
      <c r="L7711" t="b">
        <v>0</v>
      </c>
      <c r="M7711" t="str">
        <f>HYPERLINK("https://arizona.app.box.com/file/389266347022")</f>
        <v>https://arizona.app.box.com/file/389266347022</v>
      </c>
      <c r="N7711" t="str">
        <f>HYPERLINK("https://arizona.app.box.com/file/389152134689")</f>
        <v>https://arizona.app.box.com/file/389152134689</v>
      </c>
    </row>
    <row r="7712" spans="1:25" x14ac:dyDescent="0.2">
      <c r="A7712">
        <v>5169</v>
      </c>
      <c r="B7712" t="s">
        <v>11338</v>
      </c>
      <c r="C7712" t="s">
        <v>18</v>
      </c>
      <c r="D7712" t="s">
        <v>7022</v>
      </c>
      <c r="E7712" t="s">
        <v>7023</v>
      </c>
      <c r="F7712" t="s">
        <v>82</v>
      </c>
      <c r="G7712" t="s">
        <v>1114</v>
      </c>
      <c r="J7712" t="b">
        <v>0</v>
      </c>
      <c r="K7712" t="b">
        <v>0</v>
      </c>
      <c r="L7712" t="b">
        <v>0</v>
      </c>
      <c r="M7712" t="str">
        <f>HYPERLINK("https://arizona.app.box.com/file/386222349670")</f>
        <v>https://arizona.app.box.com/file/386222349670</v>
      </c>
      <c r="N7712" t="str">
        <f>HYPERLINK("https://arizona.app.box.com/file/386251097411")</f>
        <v>https://arizona.app.box.com/file/386251097411</v>
      </c>
    </row>
    <row r="7713" spans="1:25" x14ac:dyDescent="0.2">
      <c r="A7713">
        <v>5170</v>
      </c>
      <c r="B7713" t="s">
        <v>11338</v>
      </c>
      <c r="C7713" t="s">
        <v>18</v>
      </c>
      <c r="D7713" t="s">
        <v>4369</v>
      </c>
      <c r="E7713" t="s">
        <v>4370</v>
      </c>
      <c r="F7713" t="s">
        <v>82</v>
      </c>
      <c r="G7713" t="s">
        <v>201</v>
      </c>
      <c r="J7713" t="b">
        <v>0</v>
      </c>
      <c r="K7713" t="b">
        <v>0</v>
      </c>
      <c r="L7713" t="b">
        <v>0</v>
      </c>
      <c r="M7713" t="str">
        <f>HYPERLINK("https://arizona.app.box.com/file/389167450589")</f>
        <v>https://arizona.app.box.com/file/389167450589</v>
      </c>
    </row>
    <row r="7714" spans="1:25" x14ac:dyDescent="0.2">
      <c r="A7714">
        <v>5171</v>
      </c>
      <c r="B7714" t="s">
        <v>11338</v>
      </c>
      <c r="C7714" t="s">
        <v>18</v>
      </c>
      <c r="D7714" t="s">
        <v>4387</v>
      </c>
      <c r="E7714" t="s">
        <v>4388</v>
      </c>
      <c r="F7714" t="s">
        <v>159</v>
      </c>
      <c r="G7714" t="s">
        <v>201</v>
      </c>
      <c r="J7714" t="b">
        <v>0</v>
      </c>
      <c r="K7714" t="b">
        <v>0</v>
      </c>
      <c r="L7714" t="b">
        <v>0</v>
      </c>
      <c r="M7714" t="str">
        <f>HYPERLINK("https://arizona.app.box.com/file/389184805704")</f>
        <v>https://arizona.app.box.com/file/389184805704</v>
      </c>
      <c r="N7714" t="str">
        <f>HYPERLINK("https://arizona.app.box.com/file/386227827786")</f>
        <v>https://arizona.app.box.com/file/386227827786</v>
      </c>
    </row>
    <row r="7716" spans="1:25" x14ac:dyDescent="0.2">
      <c r="A7716" s="2">
        <v>518</v>
      </c>
      <c r="B7716" s="2" t="s">
        <v>11341</v>
      </c>
      <c r="C7716" s="2" t="s">
        <v>13</v>
      </c>
      <c r="D7716" s="2" t="s">
        <v>108</v>
      </c>
      <c r="E7716" s="2" t="s">
        <v>11342</v>
      </c>
      <c r="F7716" s="2" t="s">
        <v>78</v>
      </c>
      <c r="G7716" s="2" t="s">
        <v>17</v>
      </c>
      <c r="H7716" s="2"/>
      <c r="I7716" s="2"/>
      <c r="J7716" s="2"/>
      <c r="K7716" s="2"/>
      <c r="L7716" s="2"/>
      <c r="M7716" s="2"/>
      <c r="N7716" s="2"/>
      <c r="O7716" s="2"/>
      <c r="P7716" s="2"/>
      <c r="Q7716" s="2"/>
      <c r="R7716" s="2"/>
      <c r="S7716" s="2"/>
      <c r="T7716" s="2"/>
      <c r="U7716" s="2"/>
      <c r="V7716" s="2"/>
      <c r="W7716" s="2"/>
      <c r="X7716" s="2"/>
      <c r="Y7716" s="2"/>
    </row>
    <row r="7717" spans="1:25" x14ac:dyDescent="0.2">
      <c r="A7717">
        <v>519</v>
      </c>
      <c r="B7717" t="s">
        <v>11341</v>
      </c>
      <c r="C7717" t="s">
        <v>18</v>
      </c>
      <c r="D7717" t="s">
        <v>108</v>
      </c>
      <c r="E7717" t="s">
        <v>109</v>
      </c>
      <c r="F7717" t="s">
        <v>78</v>
      </c>
      <c r="G7717" t="s">
        <v>17</v>
      </c>
      <c r="J7717" t="b">
        <v>1</v>
      </c>
      <c r="K7717" t="b">
        <v>1</v>
      </c>
      <c r="L7717" t="b">
        <v>1</v>
      </c>
      <c r="M7717" t="str">
        <f>HYPERLINK("https://arizona.app.box.com/file/389151521009")</f>
        <v>https://arizona.app.box.com/file/389151521009</v>
      </c>
    </row>
    <row r="7718" spans="1:25" x14ac:dyDescent="0.2">
      <c r="A7718">
        <v>520</v>
      </c>
      <c r="B7718" t="s">
        <v>11341</v>
      </c>
      <c r="C7718" t="s">
        <v>18</v>
      </c>
      <c r="D7718" t="s">
        <v>9003</v>
      </c>
      <c r="E7718" t="s">
        <v>8384</v>
      </c>
      <c r="F7718" t="s">
        <v>78</v>
      </c>
      <c r="G7718" t="s">
        <v>17</v>
      </c>
      <c r="J7718" t="b">
        <v>0</v>
      </c>
      <c r="K7718" t="b">
        <v>0</v>
      </c>
      <c r="L7718" t="b">
        <v>0</v>
      </c>
      <c r="M7718" t="str">
        <f>HYPERLINK("https://arizona.app.box.com/file/386239800820")</f>
        <v>https://arizona.app.box.com/file/386239800820</v>
      </c>
    </row>
    <row r="7719" spans="1:25" x14ac:dyDescent="0.2">
      <c r="A7719">
        <v>521</v>
      </c>
      <c r="B7719" t="s">
        <v>11341</v>
      </c>
      <c r="C7719" t="s">
        <v>18</v>
      </c>
      <c r="D7719" t="s">
        <v>7765</v>
      </c>
      <c r="E7719" t="s">
        <v>5336</v>
      </c>
      <c r="F7719" t="s">
        <v>78</v>
      </c>
      <c r="G7719" t="s">
        <v>17</v>
      </c>
      <c r="J7719" t="b">
        <v>1</v>
      </c>
      <c r="K7719" t="b">
        <v>1</v>
      </c>
      <c r="L7719" t="b">
        <v>1</v>
      </c>
      <c r="M7719" t="str">
        <f>HYPERLINK("https://arizona.app.box.com/file/389162271750")</f>
        <v>https://arizona.app.box.com/file/389162271750</v>
      </c>
    </row>
    <row r="7720" spans="1:25" x14ac:dyDescent="0.2">
      <c r="A7720">
        <v>522</v>
      </c>
      <c r="B7720" t="s">
        <v>11341</v>
      </c>
      <c r="C7720" t="s">
        <v>18</v>
      </c>
      <c r="D7720" t="s">
        <v>10107</v>
      </c>
      <c r="E7720" t="s">
        <v>10109</v>
      </c>
      <c r="F7720" t="s">
        <v>78</v>
      </c>
      <c r="G7720" t="s">
        <v>17</v>
      </c>
      <c r="J7720" t="b">
        <v>0</v>
      </c>
      <c r="K7720" t="b">
        <v>0</v>
      </c>
      <c r="L7720" t="b">
        <v>0</v>
      </c>
      <c r="M7720" t="str">
        <f>HYPERLINK("https://arizona.app.box.com/file/389132882305")</f>
        <v>https://arizona.app.box.com/file/389132882305</v>
      </c>
      <c r="N7720" t="str">
        <f>HYPERLINK("https://arizona.app.box.com/file/389164341404")</f>
        <v>https://arizona.app.box.com/file/389164341404</v>
      </c>
    </row>
    <row r="7721" spans="1:25" x14ac:dyDescent="0.2">
      <c r="A7721">
        <v>523</v>
      </c>
      <c r="B7721" t="s">
        <v>11341</v>
      </c>
      <c r="C7721" t="s">
        <v>18</v>
      </c>
      <c r="D7721" t="s">
        <v>9001</v>
      </c>
      <c r="E7721" t="s">
        <v>9002</v>
      </c>
      <c r="F7721" t="s">
        <v>5215</v>
      </c>
      <c r="G7721" t="s">
        <v>17</v>
      </c>
      <c r="J7721" t="b">
        <v>0</v>
      </c>
      <c r="K7721" t="b">
        <v>0</v>
      </c>
      <c r="L7721" t="b">
        <v>0</v>
      </c>
      <c r="M7721" t="str">
        <f>HYPERLINK("https://arizona.app.box.com/file/386272227814")</f>
        <v>https://arizona.app.box.com/file/386272227814</v>
      </c>
      <c r="N7721" t="str">
        <f>HYPERLINK("https://arizona.app.box.com/file/389166454520")</f>
        <v>https://arizona.app.box.com/file/389166454520</v>
      </c>
    </row>
    <row r="7723" spans="1:25" x14ac:dyDescent="0.2">
      <c r="A7723" s="2">
        <v>5194</v>
      </c>
      <c r="B7723" s="2" t="s">
        <v>11343</v>
      </c>
      <c r="C7723" s="2" t="s">
        <v>13</v>
      </c>
      <c r="D7723" s="2" t="s">
        <v>7520</v>
      </c>
      <c r="E7723" s="2" t="s">
        <v>11344</v>
      </c>
      <c r="F7723" s="2" t="s">
        <v>23</v>
      </c>
      <c r="G7723" s="2" t="s">
        <v>17</v>
      </c>
      <c r="H7723" s="2"/>
      <c r="I7723" s="2"/>
      <c r="J7723" s="2"/>
      <c r="K7723" s="2"/>
      <c r="L7723" s="2"/>
      <c r="M7723" s="2"/>
      <c r="N7723" s="2"/>
      <c r="O7723" s="2"/>
      <c r="P7723" s="2"/>
      <c r="Q7723" s="2"/>
      <c r="R7723" s="2"/>
      <c r="S7723" s="2"/>
      <c r="T7723" s="2"/>
      <c r="U7723" s="2"/>
      <c r="V7723" s="2"/>
      <c r="W7723" s="2"/>
      <c r="X7723" s="2"/>
      <c r="Y7723" s="2"/>
    </row>
    <row r="7724" spans="1:25" x14ac:dyDescent="0.2">
      <c r="A7724">
        <v>5195</v>
      </c>
      <c r="B7724" t="s">
        <v>11343</v>
      </c>
      <c r="C7724" t="s">
        <v>18</v>
      </c>
      <c r="D7724" t="s">
        <v>7520</v>
      </c>
      <c r="E7724" t="s">
        <v>7521</v>
      </c>
      <c r="F7724" t="s">
        <v>23</v>
      </c>
      <c r="G7724" t="s">
        <v>17</v>
      </c>
      <c r="J7724" t="b">
        <v>1</v>
      </c>
      <c r="K7724" t="b">
        <v>1</v>
      </c>
      <c r="L7724" t="b">
        <v>1</v>
      </c>
      <c r="M7724" t="str">
        <f>HYPERLINK("https://arizona.app.box.com/file/389266375899")</f>
        <v>https://arizona.app.box.com/file/389266375899</v>
      </c>
      <c r="N7724" t="str">
        <f>HYPERLINK("https://arizona.app.box.com/file/389166693134")</f>
        <v>https://arizona.app.box.com/file/389166693134</v>
      </c>
      <c r="O7724" t="str">
        <f>HYPERLINK("https://arizona.app.box.com/file/389170622550")</f>
        <v>https://arizona.app.box.com/file/389170622550</v>
      </c>
      <c r="P7724" t="str">
        <f>HYPERLINK("https://arizona.app.box.com/file/386226829609")</f>
        <v>https://arizona.app.box.com/file/386226829609</v>
      </c>
    </row>
    <row r="7725" spans="1:25" x14ac:dyDescent="0.2">
      <c r="A7725">
        <v>5196</v>
      </c>
      <c r="B7725" t="s">
        <v>11343</v>
      </c>
      <c r="C7725" t="s">
        <v>18</v>
      </c>
      <c r="D7725" t="s">
        <v>11345</v>
      </c>
      <c r="E7725" t="s">
        <v>9720</v>
      </c>
      <c r="F7725" t="s">
        <v>23</v>
      </c>
      <c r="G7725" t="s">
        <v>17</v>
      </c>
      <c r="J7725" t="b">
        <v>1</v>
      </c>
      <c r="K7725" t="b">
        <v>1</v>
      </c>
      <c r="L7725" t="b">
        <v>1</v>
      </c>
      <c r="M7725" t="str">
        <f>HYPERLINK("https://arizona.app.box.com/file/389164403356")</f>
        <v>https://arizona.app.box.com/file/389164403356</v>
      </c>
    </row>
    <row r="7726" spans="1:25" x14ac:dyDescent="0.2">
      <c r="A7726">
        <v>5197</v>
      </c>
      <c r="B7726" t="s">
        <v>11343</v>
      </c>
      <c r="C7726" t="s">
        <v>18</v>
      </c>
      <c r="D7726" t="s">
        <v>11346</v>
      </c>
      <c r="E7726" t="s">
        <v>11347</v>
      </c>
      <c r="F7726" t="s">
        <v>78</v>
      </c>
      <c r="G7726" t="s">
        <v>17</v>
      </c>
      <c r="J7726" t="b">
        <v>0</v>
      </c>
      <c r="K7726" t="b">
        <v>0</v>
      </c>
      <c r="L7726" t="b">
        <v>0</v>
      </c>
      <c r="M7726" t="str">
        <f>HYPERLINK("https://arizona.app.box.com/file/389137207646")</f>
        <v>https://arizona.app.box.com/file/389137207646</v>
      </c>
      <c r="N7726" t="str">
        <f>HYPERLINK("https://arizona.app.box.com/file/389162639273")</f>
        <v>https://arizona.app.box.com/file/389162639273</v>
      </c>
    </row>
    <row r="7727" spans="1:25" x14ac:dyDescent="0.2">
      <c r="A7727">
        <v>5198</v>
      </c>
      <c r="B7727" t="s">
        <v>11343</v>
      </c>
      <c r="C7727" t="s">
        <v>18</v>
      </c>
      <c r="D7727" t="s">
        <v>5170</v>
      </c>
      <c r="E7727" t="s">
        <v>1214</v>
      </c>
      <c r="F7727" t="s">
        <v>248</v>
      </c>
      <c r="G7727" t="s">
        <v>17</v>
      </c>
      <c r="J7727" t="b">
        <v>0</v>
      </c>
      <c r="K7727" t="b">
        <v>0</v>
      </c>
      <c r="L7727" t="b">
        <v>0</v>
      </c>
      <c r="M7727" t="str">
        <f>HYPERLINK("https://arizona.app.box.com/file/389154170444")</f>
        <v>https://arizona.app.box.com/file/389154170444</v>
      </c>
    </row>
    <row r="7728" spans="1:25" x14ac:dyDescent="0.2">
      <c r="A7728">
        <v>5199</v>
      </c>
      <c r="B7728" t="s">
        <v>11343</v>
      </c>
      <c r="C7728" t="s">
        <v>18</v>
      </c>
      <c r="D7728" t="s">
        <v>7694</v>
      </c>
      <c r="E7728" t="s">
        <v>7695</v>
      </c>
      <c r="F7728" t="s">
        <v>248</v>
      </c>
      <c r="G7728" t="s">
        <v>17</v>
      </c>
      <c r="J7728" t="b">
        <v>0</v>
      </c>
      <c r="K7728" t="b">
        <v>0</v>
      </c>
      <c r="L7728" t="b">
        <v>0</v>
      </c>
      <c r="M7728" t="str">
        <f>HYPERLINK("https://arizona.app.box.com/file/389172732350")</f>
        <v>https://arizona.app.box.com/file/389172732350</v>
      </c>
      <c r="N7728" t="str">
        <f>HYPERLINK("https://arizona.app.box.com/file/386239218164")</f>
        <v>https://arizona.app.box.com/file/386239218164</v>
      </c>
    </row>
    <row r="7730" spans="1:25" x14ac:dyDescent="0.2">
      <c r="A7730" s="2">
        <v>5215</v>
      </c>
      <c r="B7730" s="2" t="s">
        <v>11348</v>
      </c>
      <c r="C7730" s="2" t="s">
        <v>13</v>
      </c>
      <c r="D7730" s="2" t="s">
        <v>1252</v>
      </c>
      <c r="E7730" s="2" t="s">
        <v>1253</v>
      </c>
      <c r="F7730" s="2" t="s">
        <v>78</v>
      </c>
      <c r="G7730" s="2" t="s">
        <v>24</v>
      </c>
      <c r="H7730" s="2"/>
      <c r="I7730" s="2"/>
      <c r="J7730" s="2"/>
      <c r="K7730" s="2"/>
      <c r="L7730" s="2"/>
      <c r="M7730" s="2"/>
      <c r="N7730" s="2"/>
      <c r="O7730" s="2"/>
      <c r="P7730" s="2"/>
      <c r="Q7730" s="2"/>
      <c r="R7730" s="2"/>
      <c r="S7730" s="2"/>
      <c r="T7730" s="2"/>
      <c r="U7730" s="2"/>
      <c r="V7730" s="2"/>
      <c r="W7730" s="2"/>
      <c r="X7730" s="2"/>
      <c r="Y7730" s="2"/>
    </row>
    <row r="7731" spans="1:25" x14ac:dyDescent="0.2">
      <c r="A7731">
        <v>5216</v>
      </c>
      <c r="B7731" t="s">
        <v>11348</v>
      </c>
      <c r="C7731" t="s">
        <v>18</v>
      </c>
      <c r="D7731" t="s">
        <v>1252</v>
      </c>
      <c r="E7731" t="s">
        <v>1253</v>
      </c>
      <c r="F7731" t="s">
        <v>78</v>
      </c>
      <c r="G7731" t="s">
        <v>24</v>
      </c>
      <c r="J7731" t="b">
        <v>1</v>
      </c>
      <c r="K7731" t="b">
        <v>1</v>
      </c>
      <c r="L7731" t="b">
        <v>1</v>
      </c>
      <c r="M7731" t="str">
        <f>HYPERLINK("https://arizona.app.box.com/file/386246480342")</f>
        <v>https://arizona.app.box.com/file/386246480342</v>
      </c>
      <c r="N7731" t="str">
        <f>HYPERLINK("https://arizona.app.box.com/file/386217107389")</f>
        <v>https://arizona.app.box.com/file/386217107389</v>
      </c>
    </row>
    <row r="7732" spans="1:25" x14ac:dyDescent="0.2">
      <c r="A7732">
        <v>5217</v>
      </c>
      <c r="B7732" t="s">
        <v>11348</v>
      </c>
      <c r="C7732" t="s">
        <v>18</v>
      </c>
      <c r="D7732" t="s">
        <v>1248</v>
      </c>
      <c r="E7732" t="s">
        <v>1249</v>
      </c>
      <c r="F7732" t="s">
        <v>78</v>
      </c>
      <c r="G7732" t="s">
        <v>24</v>
      </c>
      <c r="J7732" t="b">
        <v>0</v>
      </c>
      <c r="K7732" t="b">
        <v>0</v>
      </c>
      <c r="L7732" t="b">
        <v>0</v>
      </c>
      <c r="M7732" t="str">
        <f>HYPERLINK("https://arizona.app.box.com/file/386239784114")</f>
        <v>https://arizona.app.box.com/file/386239784114</v>
      </c>
      <c r="N7732" t="str">
        <f>HYPERLINK("https://arizona.app.box.com/file/386234140318")</f>
        <v>https://arizona.app.box.com/file/386234140318</v>
      </c>
    </row>
    <row r="7733" spans="1:25" x14ac:dyDescent="0.2">
      <c r="A7733">
        <v>5218</v>
      </c>
      <c r="B7733" t="s">
        <v>11348</v>
      </c>
      <c r="C7733" t="s">
        <v>18</v>
      </c>
      <c r="D7733" t="s">
        <v>1244</v>
      </c>
      <c r="E7733" t="s">
        <v>1245</v>
      </c>
      <c r="F7733" t="s">
        <v>78</v>
      </c>
      <c r="G7733" t="s">
        <v>24</v>
      </c>
      <c r="J7733" t="b">
        <v>0</v>
      </c>
      <c r="K7733" t="b">
        <v>0</v>
      </c>
      <c r="L7733" t="b">
        <v>0</v>
      </c>
      <c r="M7733" t="str">
        <f>HYPERLINK("https://arizona.app.box.com/file/386245898845")</f>
        <v>https://arizona.app.box.com/file/386245898845</v>
      </c>
      <c r="N7733" t="str">
        <f>HYPERLINK("https://arizona.app.box.com/file/386242545060")</f>
        <v>https://arizona.app.box.com/file/386242545060</v>
      </c>
    </row>
    <row r="7734" spans="1:25" x14ac:dyDescent="0.2">
      <c r="A7734">
        <v>5219</v>
      </c>
      <c r="B7734" t="s">
        <v>11348</v>
      </c>
      <c r="C7734" t="s">
        <v>18</v>
      </c>
      <c r="D7734" t="s">
        <v>5957</v>
      </c>
      <c r="E7734" t="s">
        <v>5958</v>
      </c>
      <c r="F7734" t="s">
        <v>78</v>
      </c>
      <c r="G7734" t="s">
        <v>24</v>
      </c>
      <c r="J7734" t="b">
        <v>0</v>
      </c>
      <c r="K7734" t="b">
        <v>0</v>
      </c>
      <c r="L7734" t="b">
        <v>0</v>
      </c>
      <c r="M7734" t="str">
        <f>HYPERLINK("https://arizona.app.box.com/file/386217393326")</f>
        <v>https://arizona.app.box.com/file/386217393326</v>
      </c>
    </row>
    <row r="7735" spans="1:25" x14ac:dyDescent="0.2">
      <c r="A7735">
        <v>5220</v>
      </c>
      <c r="B7735" t="s">
        <v>11348</v>
      </c>
      <c r="C7735" t="s">
        <v>18</v>
      </c>
      <c r="D7735" t="s">
        <v>112</v>
      </c>
      <c r="E7735" t="s">
        <v>113</v>
      </c>
      <c r="F7735" t="s">
        <v>78</v>
      </c>
      <c r="G7735" t="s">
        <v>24</v>
      </c>
      <c r="J7735" t="b">
        <v>0</v>
      </c>
      <c r="K7735" t="b">
        <v>0</v>
      </c>
      <c r="L7735" t="b">
        <v>0</v>
      </c>
      <c r="M7735" t="str">
        <f>HYPERLINK("https://arizona.app.box.com/file/386237734836")</f>
        <v>https://arizona.app.box.com/file/386237734836</v>
      </c>
      <c r="N7735" t="str">
        <f>HYPERLINK("https://arizona.app.box.com/file/386240410716")</f>
        <v>https://arizona.app.box.com/file/386240410716</v>
      </c>
    </row>
    <row r="7737" spans="1:25" x14ac:dyDescent="0.2">
      <c r="A7737" s="2">
        <v>5243</v>
      </c>
      <c r="B7737" s="2" t="s">
        <v>11349</v>
      </c>
      <c r="C7737" s="2" t="s">
        <v>13</v>
      </c>
      <c r="D7737" s="2" t="s">
        <v>8881</v>
      </c>
      <c r="E7737" s="2" t="s">
        <v>11350</v>
      </c>
      <c r="F7737" s="2" t="s">
        <v>78</v>
      </c>
      <c r="G7737" s="2" t="s">
        <v>88</v>
      </c>
      <c r="H7737" s="2"/>
      <c r="I7737" s="2"/>
      <c r="J7737" s="2"/>
      <c r="K7737" s="2"/>
      <c r="L7737" s="2"/>
      <c r="M7737" s="2"/>
      <c r="N7737" s="2"/>
      <c r="O7737" s="2"/>
      <c r="P7737" s="2"/>
      <c r="Q7737" s="2"/>
      <c r="R7737" s="2"/>
      <c r="S7737" s="2"/>
      <c r="T7737" s="2"/>
      <c r="U7737" s="2"/>
      <c r="V7737" s="2"/>
      <c r="W7737" s="2"/>
      <c r="X7737" s="2"/>
      <c r="Y7737" s="2"/>
    </row>
    <row r="7738" spans="1:25" x14ac:dyDescent="0.2">
      <c r="A7738">
        <v>5244</v>
      </c>
      <c r="B7738" t="s">
        <v>11349</v>
      </c>
      <c r="C7738" t="s">
        <v>18</v>
      </c>
      <c r="D7738" t="s">
        <v>8881</v>
      </c>
      <c r="E7738" t="s">
        <v>8882</v>
      </c>
      <c r="F7738" t="s">
        <v>78</v>
      </c>
      <c r="G7738" t="s">
        <v>88</v>
      </c>
      <c r="J7738" t="b">
        <v>1</v>
      </c>
      <c r="K7738" t="b">
        <v>1</v>
      </c>
      <c r="L7738" t="b">
        <v>1</v>
      </c>
      <c r="M7738" t="str">
        <f>HYPERLINK("https://arizona.app.box.com/file/389171476593")</f>
        <v>https://arizona.app.box.com/file/389171476593</v>
      </c>
      <c r="N7738" t="str">
        <f>HYPERLINK("https://arizona.app.box.com/file/386244538045")</f>
        <v>https://arizona.app.box.com/file/386244538045</v>
      </c>
    </row>
    <row r="7739" spans="1:25" x14ac:dyDescent="0.2">
      <c r="A7739">
        <v>5245</v>
      </c>
      <c r="B7739" t="s">
        <v>11349</v>
      </c>
      <c r="C7739" t="s">
        <v>18</v>
      </c>
      <c r="D7739" t="s">
        <v>10903</v>
      </c>
      <c r="E7739" t="s">
        <v>2709</v>
      </c>
      <c r="F7739" t="s">
        <v>78</v>
      </c>
      <c r="G7739" t="s">
        <v>88</v>
      </c>
      <c r="J7739" t="b">
        <v>1</v>
      </c>
      <c r="K7739" t="b">
        <v>1</v>
      </c>
      <c r="L7739" t="b">
        <v>1</v>
      </c>
      <c r="M7739" t="str">
        <f>HYPERLINK("https://arizona.app.box.com/file/389167681243")</f>
        <v>https://arizona.app.box.com/file/389167681243</v>
      </c>
      <c r="N7739" t="str">
        <f>HYPERLINK("https://arizona.app.box.com/file/386212593488")</f>
        <v>https://arizona.app.box.com/file/386212593488</v>
      </c>
    </row>
    <row r="7740" spans="1:25" x14ac:dyDescent="0.2">
      <c r="A7740">
        <v>5246</v>
      </c>
      <c r="B7740" t="s">
        <v>11349</v>
      </c>
      <c r="C7740" t="s">
        <v>18</v>
      </c>
      <c r="D7740" t="s">
        <v>7876</v>
      </c>
      <c r="E7740" t="s">
        <v>6196</v>
      </c>
      <c r="F7740" t="s">
        <v>78</v>
      </c>
      <c r="G7740" t="s">
        <v>24</v>
      </c>
      <c r="J7740" t="b">
        <v>0</v>
      </c>
      <c r="K7740" t="b">
        <v>0</v>
      </c>
      <c r="L7740" t="b">
        <v>0</v>
      </c>
      <c r="M7740" t="str">
        <f>HYPERLINK("https://arizona.app.box.com/file/389268137018")</f>
        <v>https://arizona.app.box.com/file/389268137018</v>
      </c>
      <c r="N7740" t="str">
        <f>HYPERLINK("https://arizona.app.box.com/file/389164439164")</f>
        <v>https://arizona.app.box.com/file/389164439164</v>
      </c>
    </row>
    <row r="7741" spans="1:25" x14ac:dyDescent="0.2">
      <c r="A7741">
        <v>5247</v>
      </c>
      <c r="B7741" t="s">
        <v>11349</v>
      </c>
      <c r="C7741" t="s">
        <v>18</v>
      </c>
      <c r="D7741" t="s">
        <v>8879</v>
      </c>
      <c r="E7741" t="s">
        <v>4483</v>
      </c>
      <c r="F7741" t="s">
        <v>151</v>
      </c>
      <c r="G7741" t="s">
        <v>917</v>
      </c>
      <c r="J7741" t="b">
        <v>0</v>
      </c>
      <c r="K7741" t="b">
        <v>0</v>
      </c>
      <c r="L7741" t="b">
        <v>0</v>
      </c>
      <c r="M7741" t="str">
        <f>HYPERLINK("https://arizona.app.box.com/file/389167197201")</f>
        <v>https://arizona.app.box.com/file/389167197201</v>
      </c>
      <c r="N7741" t="str">
        <f>HYPERLINK("https://arizona.app.box.com/file/386216523584")</f>
        <v>https://arizona.app.box.com/file/386216523584</v>
      </c>
    </row>
    <row r="7742" spans="1:25" x14ac:dyDescent="0.2">
      <c r="A7742">
        <v>5248</v>
      </c>
      <c r="B7742" t="s">
        <v>11349</v>
      </c>
      <c r="C7742" t="s">
        <v>18</v>
      </c>
      <c r="D7742" t="s">
        <v>5792</v>
      </c>
      <c r="E7742" t="s">
        <v>5793</v>
      </c>
      <c r="F7742" t="s">
        <v>78</v>
      </c>
      <c r="G7742" t="s">
        <v>24</v>
      </c>
      <c r="J7742" t="b">
        <v>0</v>
      </c>
      <c r="K7742" t="b">
        <v>0</v>
      </c>
      <c r="L7742" t="b">
        <v>0</v>
      </c>
      <c r="M7742" t="str">
        <f>HYPERLINK("https://arizona.app.box.com/file/389166526895")</f>
        <v>https://arizona.app.box.com/file/389166526895</v>
      </c>
      <c r="N7742" t="str">
        <f>HYPERLINK("https://arizona.app.box.com/file/386225755331")</f>
        <v>https://arizona.app.box.com/file/386225755331</v>
      </c>
    </row>
    <row r="7744" spans="1:25" x14ac:dyDescent="0.2">
      <c r="A7744" s="2">
        <v>5257</v>
      </c>
      <c r="B7744" s="2" t="s">
        <v>11351</v>
      </c>
      <c r="C7744" s="2" t="s">
        <v>13</v>
      </c>
      <c r="D7744" s="2" t="s">
        <v>11352</v>
      </c>
      <c r="E7744" s="2" t="s">
        <v>11353</v>
      </c>
      <c r="F7744" s="2" t="s">
        <v>574</v>
      </c>
      <c r="G7744" s="2" t="s">
        <v>62</v>
      </c>
      <c r="H7744" s="2"/>
      <c r="I7744" s="2"/>
      <c r="J7744" s="2"/>
      <c r="K7744" s="2"/>
      <c r="L7744" s="2"/>
      <c r="M7744" s="2"/>
      <c r="N7744" s="2"/>
      <c r="O7744" s="2"/>
      <c r="P7744" s="2"/>
      <c r="Q7744" s="2"/>
      <c r="R7744" s="2"/>
      <c r="S7744" s="2"/>
      <c r="T7744" s="2"/>
      <c r="U7744" s="2"/>
      <c r="V7744" s="2"/>
      <c r="W7744" s="2"/>
      <c r="X7744" s="2"/>
      <c r="Y7744" s="2"/>
    </row>
    <row r="7745" spans="1:25" x14ac:dyDescent="0.2">
      <c r="A7745">
        <v>5258</v>
      </c>
      <c r="B7745" t="s">
        <v>11351</v>
      </c>
      <c r="C7745" t="s">
        <v>18</v>
      </c>
      <c r="D7745" t="s">
        <v>11354</v>
      </c>
      <c r="E7745" t="s">
        <v>2285</v>
      </c>
      <c r="F7745" t="s">
        <v>574</v>
      </c>
      <c r="G7745" t="s">
        <v>62</v>
      </c>
      <c r="J7745" t="b">
        <v>1</v>
      </c>
      <c r="K7745" t="b">
        <v>1</v>
      </c>
      <c r="L7745" t="b">
        <v>1</v>
      </c>
      <c r="M7745" t="str">
        <f>HYPERLINK("https://arizona.app.box.com/file/389166118006")</f>
        <v>https://arizona.app.box.com/file/389166118006</v>
      </c>
      <c r="N7745" t="str">
        <f>HYPERLINK("https://arizona.app.box.com/file/386238739289")</f>
        <v>https://arizona.app.box.com/file/386238739289</v>
      </c>
    </row>
    <row r="7746" spans="1:25" x14ac:dyDescent="0.2">
      <c r="A7746">
        <v>5259</v>
      </c>
      <c r="B7746" t="s">
        <v>11351</v>
      </c>
      <c r="C7746" t="s">
        <v>18</v>
      </c>
      <c r="D7746" t="s">
        <v>11355</v>
      </c>
      <c r="E7746" t="s">
        <v>926</v>
      </c>
      <c r="F7746" t="s">
        <v>574</v>
      </c>
      <c r="G7746" t="s">
        <v>62</v>
      </c>
      <c r="J7746" t="b">
        <v>1</v>
      </c>
      <c r="K7746" t="b">
        <v>1</v>
      </c>
      <c r="L7746" t="b">
        <v>1</v>
      </c>
      <c r="M7746" t="str">
        <f>HYPERLINK("https://arizona.app.box.com/file/386213801786")</f>
        <v>https://arizona.app.box.com/file/386213801786</v>
      </c>
    </row>
    <row r="7747" spans="1:25" x14ac:dyDescent="0.2">
      <c r="A7747">
        <v>5260</v>
      </c>
      <c r="B7747" t="s">
        <v>11351</v>
      </c>
      <c r="C7747" t="s">
        <v>18</v>
      </c>
      <c r="D7747" t="s">
        <v>5822</v>
      </c>
      <c r="E7747" t="s">
        <v>5823</v>
      </c>
      <c r="F7747" t="s">
        <v>670</v>
      </c>
      <c r="G7747" t="s">
        <v>24</v>
      </c>
      <c r="J7747" t="b">
        <v>0</v>
      </c>
      <c r="K7747" t="b">
        <v>0</v>
      </c>
      <c r="L7747" t="b">
        <v>0</v>
      </c>
      <c r="M7747" t="str">
        <f>HYPERLINK("https://arizona.app.box.com/file/389268100242")</f>
        <v>https://arizona.app.box.com/file/389268100242</v>
      </c>
      <c r="N7747" t="str">
        <f>HYPERLINK("https://arizona.app.box.com/file/389153863520")</f>
        <v>https://arizona.app.box.com/file/389153863520</v>
      </c>
    </row>
    <row r="7748" spans="1:25" x14ac:dyDescent="0.2">
      <c r="A7748">
        <v>5261</v>
      </c>
      <c r="B7748" t="s">
        <v>11351</v>
      </c>
      <c r="C7748" t="s">
        <v>18</v>
      </c>
      <c r="D7748" t="s">
        <v>4151</v>
      </c>
      <c r="E7748" t="s">
        <v>2082</v>
      </c>
      <c r="F7748" t="s">
        <v>205</v>
      </c>
      <c r="G7748" t="s">
        <v>62</v>
      </c>
      <c r="J7748" t="b">
        <v>0</v>
      </c>
      <c r="K7748" t="b">
        <v>0</v>
      </c>
      <c r="L7748" t="b">
        <v>0</v>
      </c>
      <c r="M7748" t="str">
        <f>HYPERLINK("https://arizona.app.box.com/file/389263527851")</f>
        <v>https://arizona.app.box.com/file/389263527851</v>
      </c>
      <c r="N7748" t="str">
        <f>HYPERLINK("https://arizona.app.box.com/file/389153629380")</f>
        <v>https://arizona.app.box.com/file/389153629380</v>
      </c>
      <c r="O7748" t="str">
        <f>HYPERLINK("https://arizona.app.box.com/file/389255700330")</f>
        <v>https://arizona.app.box.com/file/389255700330</v>
      </c>
    </row>
    <row r="7749" spans="1:25" x14ac:dyDescent="0.2">
      <c r="A7749">
        <v>5262</v>
      </c>
      <c r="B7749" t="s">
        <v>11351</v>
      </c>
      <c r="C7749" t="s">
        <v>18</v>
      </c>
      <c r="D7749" t="s">
        <v>11356</v>
      </c>
      <c r="E7749" t="s">
        <v>8380</v>
      </c>
      <c r="F7749" t="s">
        <v>205</v>
      </c>
      <c r="G7749" t="s">
        <v>11357</v>
      </c>
      <c r="J7749" t="b">
        <v>0</v>
      </c>
      <c r="K7749" t="b">
        <v>0</v>
      </c>
      <c r="L7749" t="b">
        <v>0</v>
      </c>
      <c r="M7749" t="str">
        <f>HYPERLINK("https://arizona.app.box.com/file/389165427035")</f>
        <v>https://arizona.app.box.com/file/389165427035</v>
      </c>
      <c r="N7749" t="str">
        <f>HYPERLINK("https://arizona.app.box.com/file/386226183047")</f>
        <v>https://arizona.app.box.com/file/386226183047</v>
      </c>
    </row>
    <row r="7751" spans="1:25" x14ac:dyDescent="0.2">
      <c r="A7751" s="2">
        <v>5264</v>
      </c>
      <c r="B7751" s="2" t="s">
        <v>11358</v>
      </c>
      <c r="C7751" s="2" t="s">
        <v>13</v>
      </c>
      <c r="D7751" s="2" t="s">
        <v>7746</v>
      </c>
      <c r="E7751" s="2" t="s">
        <v>11359</v>
      </c>
      <c r="F7751" s="2" t="s">
        <v>159</v>
      </c>
      <c r="G7751" s="2" t="s">
        <v>345</v>
      </c>
      <c r="H7751" s="2"/>
      <c r="I7751" s="2"/>
      <c r="J7751" s="2"/>
      <c r="K7751" s="2"/>
      <c r="L7751" s="2"/>
      <c r="M7751" s="2"/>
      <c r="N7751" s="2"/>
      <c r="O7751" s="2"/>
      <c r="P7751" s="2"/>
      <c r="Q7751" s="2"/>
      <c r="R7751" s="2"/>
      <c r="S7751" s="2"/>
      <c r="T7751" s="2"/>
      <c r="U7751" s="2"/>
      <c r="V7751" s="2"/>
      <c r="W7751" s="2"/>
      <c r="X7751" s="2"/>
      <c r="Y7751" s="2"/>
    </row>
    <row r="7752" spans="1:25" x14ac:dyDescent="0.2">
      <c r="A7752">
        <v>5265</v>
      </c>
      <c r="B7752" t="s">
        <v>11358</v>
      </c>
      <c r="C7752" t="s">
        <v>18</v>
      </c>
      <c r="D7752" t="s">
        <v>7746</v>
      </c>
      <c r="E7752" t="s">
        <v>7747</v>
      </c>
      <c r="F7752" t="s">
        <v>159</v>
      </c>
      <c r="G7752" t="s">
        <v>345</v>
      </c>
      <c r="J7752" t="b">
        <v>1</v>
      </c>
      <c r="K7752" t="b">
        <v>1</v>
      </c>
      <c r="L7752" t="b">
        <v>1</v>
      </c>
      <c r="M7752" t="str">
        <f>HYPERLINK("https://arizona.app.box.com/file/389175880446")</f>
        <v>https://arizona.app.box.com/file/389175880446</v>
      </c>
      <c r="N7752" t="str">
        <f>HYPERLINK("https://arizona.app.box.com/file/386226164355")</f>
        <v>https://arizona.app.box.com/file/386226164355</v>
      </c>
      <c r="O7752" t="str">
        <f>HYPERLINK("https://arizona.app.box.com/file/389172302460")</f>
        <v>https://arizona.app.box.com/file/389172302460</v>
      </c>
      <c r="P7752" t="str">
        <f>HYPERLINK("https://arizona.app.box.com/file/386241211007")</f>
        <v>https://arizona.app.box.com/file/386241211007</v>
      </c>
    </row>
    <row r="7753" spans="1:25" x14ac:dyDescent="0.2">
      <c r="A7753">
        <v>5266</v>
      </c>
      <c r="B7753" t="s">
        <v>11358</v>
      </c>
      <c r="C7753" t="s">
        <v>18</v>
      </c>
      <c r="D7753" t="s">
        <v>2766</v>
      </c>
      <c r="E7753" t="s">
        <v>2767</v>
      </c>
      <c r="F7753" t="s">
        <v>151</v>
      </c>
      <c r="G7753" t="s">
        <v>24</v>
      </c>
      <c r="J7753" t="b">
        <v>0</v>
      </c>
      <c r="K7753" t="b">
        <v>0</v>
      </c>
      <c r="L7753" t="b">
        <v>0</v>
      </c>
      <c r="M7753" t="str">
        <f>HYPERLINK("https://arizona.app.box.com/file/389268219925")</f>
        <v>https://arizona.app.box.com/file/389268219925</v>
      </c>
      <c r="N7753" t="str">
        <f>HYPERLINK("https://arizona.app.box.com/file/389153062942")</f>
        <v>https://arizona.app.box.com/file/389153062942</v>
      </c>
      <c r="O7753" t="str">
        <f>HYPERLINK("https://arizona.app.box.com/file/389263746357")</f>
        <v>https://arizona.app.box.com/file/389263746357</v>
      </c>
    </row>
    <row r="7754" spans="1:25" x14ac:dyDescent="0.2">
      <c r="A7754">
        <v>5267</v>
      </c>
      <c r="B7754" t="s">
        <v>11358</v>
      </c>
      <c r="C7754" t="s">
        <v>18</v>
      </c>
      <c r="D7754" t="s">
        <v>7741</v>
      </c>
      <c r="E7754" t="s">
        <v>5569</v>
      </c>
      <c r="F7754" t="s">
        <v>670</v>
      </c>
      <c r="G7754" t="s">
        <v>345</v>
      </c>
      <c r="J7754" t="b">
        <v>0</v>
      </c>
      <c r="K7754" t="b">
        <v>0</v>
      </c>
      <c r="L7754" t="b">
        <v>0</v>
      </c>
      <c r="M7754" t="str">
        <f>HYPERLINK("https://arizona.app.box.com/file/389260108571")</f>
        <v>https://arizona.app.box.com/file/389260108571</v>
      </c>
      <c r="N7754" t="str">
        <f>HYPERLINK("https://arizona.app.box.com/file/389137974088")</f>
        <v>https://arizona.app.box.com/file/389137974088</v>
      </c>
      <c r="O7754" t="str">
        <f>HYPERLINK("https://arizona.app.box.com/file/389266883090")</f>
        <v>https://arizona.app.box.com/file/389266883090</v>
      </c>
      <c r="P7754" t="str">
        <f>HYPERLINK("https://arizona.app.box.com/file/389162659801")</f>
        <v>https://arizona.app.box.com/file/389162659801</v>
      </c>
    </row>
    <row r="7755" spans="1:25" x14ac:dyDescent="0.2">
      <c r="A7755">
        <v>5268</v>
      </c>
      <c r="B7755" t="s">
        <v>11358</v>
      </c>
      <c r="C7755" t="s">
        <v>18</v>
      </c>
      <c r="D7755" t="s">
        <v>2708</v>
      </c>
      <c r="E7755" t="s">
        <v>2709</v>
      </c>
      <c r="F7755" t="s">
        <v>159</v>
      </c>
      <c r="G7755" t="s">
        <v>345</v>
      </c>
      <c r="J7755" t="b">
        <v>0</v>
      </c>
      <c r="K7755" t="b">
        <v>0</v>
      </c>
      <c r="L7755" t="b">
        <v>0</v>
      </c>
      <c r="M7755" t="str">
        <f>HYPERLINK("https://arizona.app.box.com/file/389172389035")</f>
        <v>https://arizona.app.box.com/file/389172389035</v>
      </c>
      <c r="N7755" t="str">
        <f>HYPERLINK("https://arizona.app.box.com/file/386240779528")</f>
        <v>https://arizona.app.box.com/file/386240779528</v>
      </c>
    </row>
    <row r="7756" spans="1:25" x14ac:dyDescent="0.2">
      <c r="A7756">
        <v>5269</v>
      </c>
      <c r="B7756" t="s">
        <v>11358</v>
      </c>
      <c r="C7756" t="s">
        <v>18</v>
      </c>
      <c r="D7756" t="s">
        <v>7752</v>
      </c>
      <c r="E7756" t="s">
        <v>7753</v>
      </c>
      <c r="F7756" t="s">
        <v>159</v>
      </c>
      <c r="G7756" t="s">
        <v>345</v>
      </c>
      <c r="J7756" t="b">
        <v>0</v>
      </c>
      <c r="K7756" t="b">
        <v>0</v>
      </c>
      <c r="L7756" t="b">
        <v>0</v>
      </c>
      <c r="M7756" t="str">
        <f>HYPERLINK("https://arizona.app.box.com/file/389171715203")</f>
        <v>https://arizona.app.box.com/file/389171715203</v>
      </c>
      <c r="N7756" t="str">
        <f>HYPERLINK("https://arizona.app.box.com/file/386225910179")</f>
        <v>https://arizona.app.box.com/file/386225910179</v>
      </c>
      <c r="O7756" t="str">
        <f>HYPERLINK("https://arizona.app.box.com/file/389174021831")</f>
        <v>https://arizona.app.box.com/file/389174021831</v>
      </c>
      <c r="P7756" t="str">
        <f>HYPERLINK("https://arizona.app.box.com/file/386212129564")</f>
        <v>https://arizona.app.box.com/file/386212129564</v>
      </c>
    </row>
    <row r="7758" spans="1:25" x14ac:dyDescent="0.2">
      <c r="A7758" s="2">
        <v>5285</v>
      </c>
      <c r="B7758" s="2" t="s">
        <v>11360</v>
      </c>
      <c r="C7758" s="2" t="s">
        <v>13</v>
      </c>
      <c r="D7758" s="2" t="s">
        <v>11361</v>
      </c>
      <c r="E7758" s="2" t="s">
        <v>11362</v>
      </c>
      <c r="F7758" s="2" t="s">
        <v>8527</v>
      </c>
      <c r="G7758" s="2" t="s">
        <v>2925</v>
      </c>
      <c r="H7758" s="2"/>
      <c r="I7758" s="2"/>
      <c r="J7758" s="2"/>
      <c r="K7758" s="2"/>
      <c r="L7758" s="2"/>
      <c r="M7758" s="2"/>
      <c r="N7758" s="2"/>
      <c r="O7758" s="2"/>
      <c r="P7758" s="2"/>
      <c r="Q7758" s="2"/>
      <c r="R7758" s="2"/>
      <c r="S7758" s="2"/>
      <c r="T7758" s="2"/>
      <c r="U7758" s="2"/>
      <c r="V7758" s="2"/>
      <c r="W7758" s="2"/>
      <c r="X7758" s="2"/>
      <c r="Y7758" s="2"/>
    </row>
    <row r="7759" spans="1:25" x14ac:dyDescent="0.2">
      <c r="A7759">
        <v>5286</v>
      </c>
      <c r="B7759" t="s">
        <v>11360</v>
      </c>
      <c r="C7759" t="s">
        <v>18</v>
      </c>
      <c r="D7759" t="s">
        <v>9224</v>
      </c>
      <c r="E7759" t="s">
        <v>4180</v>
      </c>
      <c r="F7759" t="s">
        <v>9225</v>
      </c>
      <c r="G7759" t="s">
        <v>2925</v>
      </c>
      <c r="J7759" t="b">
        <v>1</v>
      </c>
      <c r="K7759" t="b">
        <v>1</v>
      </c>
      <c r="L7759" t="b">
        <v>1</v>
      </c>
      <c r="M7759" t="str">
        <f>HYPERLINK("https://arizona.app.box.com/file/389168706051")</f>
        <v>https://arizona.app.box.com/file/389168706051</v>
      </c>
      <c r="N7759" t="str">
        <f>HYPERLINK("https://arizona.app.box.com/file/386239261602")</f>
        <v>https://arizona.app.box.com/file/386239261602</v>
      </c>
    </row>
    <row r="7760" spans="1:25" x14ac:dyDescent="0.2">
      <c r="A7760">
        <v>5287</v>
      </c>
      <c r="B7760" t="s">
        <v>11360</v>
      </c>
      <c r="C7760" t="s">
        <v>18</v>
      </c>
      <c r="D7760" t="s">
        <v>2935</v>
      </c>
      <c r="E7760" t="s">
        <v>2936</v>
      </c>
      <c r="F7760" t="s">
        <v>82</v>
      </c>
      <c r="G7760" t="s">
        <v>2925</v>
      </c>
      <c r="J7760" t="b">
        <v>0</v>
      </c>
      <c r="K7760" t="b">
        <v>0</v>
      </c>
      <c r="L7760" t="b">
        <v>0</v>
      </c>
      <c r="M7760" t="str">
        <f>HYPERLINK("https://arizona.app.box.com/file/386256854340")</f>
        <v>https://arizona.app.box.com/file/386256854340</v>
      </c>
      <c r="N7760" t="str">
        <f>HYPERLINK("https://arizona.app.box.com/file/386241113911")</f>
        <v>https://arizona.app.box.com/file/386241113911</v>
      </c>
    </row>
    <row r="7761" spans="1:25" x14ac:dyDescent="0.2">
      <c r="A7761">
        <v>5288</v>
      </c>
      <c r="B7761" t="s">
        <v>11360</v>
      </c>
      <c r="C7761" t="s">
        <v>18</v>
      </c>
      <c r="D7761" t="s">
        <v>2929</v>
      </c>
      <c r="E7761" t="s">
        <v>982</v>
      </c>
      <c r="F7761" t="s">
        <v>82</v>
      </c>
      <c r="G7761" t="s">
        <v>2925</v>
      </c>
      <c r="J7761" t="b">
        <v>0</v>
      </c>
      <c r="K7761" t="b">
        <v>0</v>
      </c>
      <c r="L7761" t="b">
        <v>0</v>
      </c>
      <c r="M7761" t="str">
        <f>HYPERLINK("https://arizona.app.box.com/file/386243204243")</f>
        <v>https://arizona.app.box.com/file/386243204243</v>
      </c>
    </row>
    <row r="7762" spans="1:25" x14ac:dyDescent="0.2">
      <c r="A7762">
        <v>5289</v>
      </c>
      <c r="B7762" t="s">
        <v>11360</v>
      </c>
      <c r="C7762" t="s">
        <v>18</v>
      </c>
      <c r="D7762" t="s">
        <v>9491</v>
      </c>
      <c r="E7762" t="s">
        <v>9492</v>
      </c>
      <c r="F7762" t="s">
        <v>82</v>
      </c>
      <c r="G7762" t="s">
        <v>502</v>
      </c>
      <c r="J7762" t="b">
        <v>0</v>
      </c>
      <c r="K7762" t="b">
        <v>0</v>
      </c>
      <c r="L7762" t="b">
        <v>0</v>
      </c>
    </row>
    <row r="7763" spans="1:25" x14ac:dyDescent="0.2">
      <c r="A7763">
        <v>5290</v>
      </c>
      <c r="B7763" t="s">
        <v>11360</v>
      </c>
      <c r="C7763" t="s">
        <v>18</v>
      </c>
      <c r="D7763" t="s">
        <v>11363</v>
      </c>
      <c r="E7763" t="s">
        <v>5558</v>
      </c>
      <c r="F7763" t="s">
        <v>82</v>
      </c>
      <c r="G7763" t="s">
        <v>82</v>
      </c>
      <c r="J7763" t="b">
        <v>0</v>
      </c>
      <c r="K7763" t="b">
        <v>0</v>
      </c>
      <c r="L7763" t="b">
        <v>0</v>
      </c>
    </row>
    <row r="7765" spans="1:25" x14ac:dyDescent="0.2">
      <c r="A7765" s="2">
        <v>5299</v>
      </c>
      <c r="B7765" s="2" t="s">
        <v>11364</v>
      </c>
      <c r="C7765" s="2" t="s">
        <v>13</v>
      </c>
      <c r="D7765" s="2" t="s">
        <v>11365</v>
      </c>
      <c r="E7765" s="2" t="s">
        <v>11366</v>
      </c>
      <c r="F7765" s="2" t="s">
        <v>264</v>
      </c>
      <c r="G7765" s="2" t="s">
        <v>17</v>
      </c>
      <c r="H7765" s="2"/>
      <c r="I7765" s="2"/>
      <c r="J7765" s="2"/>
      <c r="K7765" s="2"/>
      <c r="L7765" s="2"/>
      <c r="M7765" s="2"/>
      <c r="N7765" s="2"/>
      <c r="O7765" s="2"/>
      <c r="P7765" s="2"/>
      <c r="Q7765" s="2"/>
      <c r="R7765" s="2"/>
      <c r="S7765" s="2"/>
      <c r="T7765" s="2"/>
      <c r="U7765" s="2"/>
      <c r="V7765" s="2"/>
      <c r="W7765" s="2"/>
      <c r="X7765" s="2"/>
      <c r="Y7765" s="2"/>
    </row>
    <row r="7766" spans="1:25" x14ac:dyDescent="0.2">
      <c r="A7766">
        <v>5300</v>
      </c>
      <c r="B7766" t="s">
        <v>11364</v>
      </c>
      <c r="C7766" t="s">
        <v>18</v>
      </c>
      <c r="D7766" t="s">
        <v>11365</v>
      </c>
      <c r="E7766" t="s">
        <v>11367</v>
      </c>
      <c r="F7766" t="s">
        <v>264</v>
      </c>
      <c r="G7766" t="s">
        <v>17</v>
      </c>
      <c r="J7766" t="b">
        <v>1</v>
      </c>
      <c r="K7766" t="b">
        <v>1</v>
      </c>
      <c r="L7766" t="b">
        <v>1</v>
      </c>
      <c r="M7766" t="str">
        <f>HYPERLINK("https://arizona.app.box.com/file/389133759770")</f>
        <v>https://arizona.app.box.com/file/389133759770</v>
      </c>
      <c r="N7766" t="str">
        <f>HYPERLINK("https://arizona.app.box.com/file/389150472151")</f>
        <v>https://arizona.app.box.com/file/389150472151</v>
      </c>
    </row>
    <row r="7767" spans="1:25" x14ac:dyDescent="0.2">
      <c r="A7767">
        <v>5301</v>
      </c>
      <c r="B7767" t="s">
        <v>11364</v>
      </c>
      <c r="C7767" t="s">
        <v>18</v>
      </c>
      <c r="D7767" t="s">
        <v>9823</v>
      </c>
      <c r="E7767" t="s">
        <v>4509</v>
      </c>
      <c r="F7767" t="s">
        <v>264</v>
      </c>
      <c r="G7767" t="s">
        <v>17</v>
      </c>
      <c r="J7767" t="b">
        <v>0</v>
      </c>
      <c r="K7767" t="b">
        <v>0</v>
      </c>
      <c r="L7767" t="b">
        <v>0</v>
      </c>
      <c r="M7767" t="str">
        <f>HYPERLINK("https://arizona.app.box.com/file/389165371756")</f>
        <v>https://arizona.app.box.com/file/389165371756</v>
      </c>
    </row>
    <row r="7768" spans="1:25" x14ac:dyDescent="0.2">
      <c r="A7768">
        <v>5302</v>
      </c>
      <c r="B7768" t="s">
        <v>11364</v>
      </c>
      <c r="C7768" t="s">
        <v>18</v>
      </c>
      <c r="D7768" t="s">
        <v>11368</v>
      </c>
      <c r="E7768" t="s">
        <v>11369</v>
      </c>
      <c r="F7768" t="s">
        <v>264</v>
      </c>
      <c r="G7768" t="s">
        <v>17</v>
      </c>
      <c r="J7768" t="b">
        <v>0</v>
      </c>
      <c r="K7768" t="b">
        <v>0</v>
      </c>
      <c r="L7768" t="b">
        <v>0</v>
      </c>
      <c r="M7768" t="str">
        <f>HYPERLINK("https://arizona.app.box.com/file/389164195332")</f>
        <v>https://arizona.app.box.com/file/389164195332</v>
      </c>
    </row>
    <row r="7769" spans="1:25" x14ac:dyDescent="0.2">
      <c r="A7769">
        <v>5303</v>
      </c>
      <c r="B7769" t="s">
        <v>11364</v>
      </c>
      <c r="C7769" t="s">
        <v>18</v>
      </c>
      <c r="D7769" t="s">
        <v>11370</v>
      </c>
      <c r="E7769" t="s">
        <v>11371</v>
      </c>
      <c r="F7769" t="s">
        <v>264</v>
      </c>
      <c r="G7769" t="s">
        <v>17</v>
      </c>
      <c r="J7769" t="b">
        <v>0</v>
      </c>
      <c r="K7769" t="b">
        <v>0</v>
      </c>
      <c r="L7769" t="b">
        <v>0</v>
      </c>
      <c r="M7769" t="str">
        <f>HYPERLINK("https://arizona.app.box.com/file/389151871661")</f>
        <v>https://arizona.app.box.com/file/389151871661</v>
      </c>
      <c r="N7769" t="str">
        <f>HYPERLINK("https://arizona.app.box.com/file/386244689666")</f>
        <v>https://arizona.app.box.com/file/386244689666</v>
      </c>
    </row>
    <row r="7770" spans="1:25" x14ac:dyDescent="0.2">
      <c r="A7770">
        <v>5304</v>
      </c>
      <c r="B7770" t="s">
        <v>11364</v>
      </c>
      <c r="C7770" t="s">
        <v>18</v>
      </c>
      <c r="D7770" t="s">
        <v>9819</v>
      </c>
      <c r="E7770" t="s">
        <v>9820</v>
      </c>
      <c r="F7770" t="s">
        <v>264</v>
      </c>
      <c r="G7770" t="s">
        <v>17</v>
      </c>
      <c r="J7770" t="b">
        <v>0</v>
      </c>
      <c r="K7770" t="b">
        <v>0</v>
      </c>
      <c r="L7770" t="b">
        <v>0</v>
      </c>
      <c r="M7770" t="str">
        <f>HYPERLINK("https://arizona.app.box.com/file/389151413855")</f>
        <v>https://arizona.app.box.com/file/389151413855</v>
      </c>
      <c r="N7770" t="str">
        <f>HYPERLINK("https://arizona.app.box.com/file/389160400850")</f>
        <v>https://arizona.app.box.com/file/389160400850</v>
      </c>
    </row>
    <row r="7772" spans="1:25" x14ac:dyDescent="0.2">
      <c r="A7772" s="2">
        <v>5306</v>
      </c>
      <c r="B7772" s="2" t="s">
        <v>11372</v>
      </c>
      <c r="C7772" s="2" t="s">
        <v>13</v>
      </c>
      <c r="D7772" s="2" t="s">
        <v>11373</v>
      </c>
      <c r="E7772" s="2" t="s">
        <v>11374</v>
      </c>
      <c r="F7772" s="2" t="s">
        <v>616</v>
      </c>
      <c r="G7772" s="2" t="s">
        <v>502</v>
      </c>
      <c r="H7772" s="2"/>
      <c r="I7772" s="2"/>
      <c r="J7772" s="2"/>
      <c r="K7772" s="2"/>
      <c r="L7772" s="2"/>
      <c r="M7772" s="2"/>
      <c r="N7772" s="2"/>
      <c r="O7772" s="2"/>
      <c r="P7772" s="2"/>
      <c r="Q7772" s="2"/>
      <c r="R7772" s="2"/>
      <c r="S7772" s="2"/>
      <c r="T7772" s="2"/>
      <c r="U7772" s="2"/>
      <c r="V7772" s="2"/>
      <c r="W7772" s="2"/>
      <c r="X7772" s="2"/>
      <c r="Y7772" s="2"/>
    </row>
    <row r="7773" spans="1:25" x14ac:dyDescent="0.2">
      <c r="A7773">
        <v>5307</v>
      </c>
      <c r="B7773" t="s">
        <v>11372</v>
      </c>
      <c r="C7773" t="s">
        <v>18</v>
      </c>
      <c r="D7773" t="s">
        <v>11375</v>
      </c>
      <c r="E7773" t="s">
        <v>11374</v>
      </c>
      <c r="F7773" t="s">
        <v>616</v>
      </c>
      <c r="G7773" t="s">
        <v>502</v>
      </c>
      <c r="J7773" t="b">
        <v>1</v>
      </c>
      <c r="K7773" t="b">
        <v>1</v>
      </c>
      <c r="L7773" t="b">
        <v>1</v>
      </c>
      <c r="M7773" t="str">
        <f>HYPERLINK("https://arizona.app.box.com/file/386240646558")</f>
        <v>https://arizona.app.box.com/file/386240646558</v>
      </c>
      <c r="N7773" t="str">
        <f>HYPERLINK("https://arizona.app.box.com/file/386227808495")</f>
        <v>https://arizona.app.box.com/file/386227808495</v>
      </c>
    </row>
    <row r="7774" spans="1:25" x14ac:dyDescent="0.2">
      <c r="A7774">
        <v>5308</v>
      </c>
      <c r="B7774" t="s">
        <v>11372</v>
      </c>
      <c r="C7774" t="s">
        <v>18</v>
      </c>
      <c r="D7774" t="s">
        <v>11226</v>
      </c>
      <c r="E7774" t="s">
        <v>11137</v>
      </c>
      <c r="F7774" t="s">
        <v>616</v>
      </c>
      <c r="G7774" t="s">
        <v>502</v>
      </c>
      <c r="J7774" t="b">
        <v>0</v>
      </c>
      <c r="K7774" t="b">
        <v>0</v>
      </c>
      <c r="L7774" t="b">
        <v>0</v>
      </c>
      <c r="M7774" t="str">
        <f>HYPERLINK("https://arizona.app.box.com/file/386239199798")</f>
        <v>https://arizona.app.box.com/file/386239199798</v>
      </c>
    </row>
    <row r="7775" spans="1:25" x14ac:dyDescent="0.2">
      <c r="A7775">
        <v>5309</v>
      </c>
      <c r="B7775" t="s">
        <v>11372</v>
      </c>
      <c r="C7775" t="s">
        <v>18</v>
      </c>
      <c r="D7775" t="s">
        <v>11376</v>
      </c>
      <c r="E7775" t="s">
        <v>2955</v>
      </c>
      <c r="F7775" t="s">
        <v>616</v>
      </c>
      <c r="G7775" t="s">
        <v>502</v>
      </c>
      <c r="J7775" t="b">
        <v>0</v>
      </c>
      <c r="K7775" t="b">
        <v>0</v>
      </c>
      <c r="L7775" t="b">
        <v>0</v>
      </c>
      <c r="M7775" t="str">
        <f>HYPERLINK("https://arizona.app.box.com/file/386243968477")</f>
        <v>https://arizona.app.box.com/file/386243968477</v>
      </c>
    </row>
    <row r="7776" spans="1:25" x14ac:dyDescent="0.2">
      <c r="A7776">
        <v>5310</v>
      </c>
      <c r="B7776" t="s">
        <v>11372</v>
      </c>
      <c r="C7776" t="s">
        <v>18</v>
      </c>
      <c r="D7776" t="s">
        <v>11377</v>
      </c>
      <c r="E7776" t="s">
        <v>11378</v>
      </c>
      <c r="F7776" t="s">
        <v>23</v>
      </c>
      <c r="G7776" t="s">
        <v>502</v>
      </c>
      <c r="J7776" t="b">
        <v>0</v>
      </c>
      <c r="K7776" t="b">
        <v>0</v>
      </c>
      <c r="L7776" t="b">
        <v>0</v>
      </c>
    </row>
    <row r="7777" spans="1:25" x14ac:dyDescent="0.2">
      <c r="A7777">
        <v>5311</v>
      </c>
      <c r="B7777" t="s">
        <v>11372</v>
      </c>
      <c r="C7777" t="s">
        <v>18</v>
      </c>
      <c r="D7777" t="s">
        <v>10726</v>
      </c>
      <c r="E7777" t="s">
        <v>10727</v>
      </c>
      <c r="F7777" t="s">
        <v>82</v>
      </c>
      <c r="G7777" t="s">
        <v>828</v>
      </c>
      <c r="J7777" t="b">
        <v>0</v>
      </c>
      <c r="K7777" t="b">
        <v>0</v>
      </c>
      <c r="L7777" t="b">
        <v>0</v>
      </c>
    </row>
    <row r="7779" spans="1:25" x14ac:dyDescent="0.2">
      <c r="A7779" s="2">
        <v>5334</v>
      </c>
      <c r="B7779" s="2" t="s">
        <v>11379</v>
      </c>
      <c r="C7779" s="2" t="s">
        <v>13</v>
      </c>
      <c r="D7779" s="2" t="s">
        <v>11380</v>
      </c>
      <c r="E7779" s="2" t="s">
        <v>11381</v>
      </c>
      <c r="F7779" s="2" t="s">
        <v>670</v>
      </c>
      <c r="G7779" s="2" t="s">
        <v>134</v>
      </c>
      <c r="H7779" s="2"/>
      <c r="I7779" s="2"/>
      <c r="J7779" s="2"/>
      <c r="K7779" s="2"/>
      <c r="L7779" s="2"/>
      <c r="M7779" s="2"/>
      <c r="N7779" s="2"/>
      <c r="O7779" s="2"/>
      <c r="P7779" s="2"/>
      <c r="Q7779" s="2"/>
      <c r="R7779" s="2"/>
      <c r="S7779" s="2"/>
      <c r="T7779" s="2"/>
      <c r="U7779" s="2"/>
      <c r="V7779" s="2"/>
      <c r="W7779" s="2"/>
      <c r="X7779" s="2"/>
      <c r="Y7779" s="2"/>
    </row>
    <row r="7780" spans="1:25" x14ac:dyDescent="0.2">
      <c r="A7780">
        <v>5335</v>
      </c>
      <c r="B7780" t="s">
        <v>11379</v>
      </c>
      <c r="C7780" t="s">
        <v>18</v>
      </c>
      <c r="D7780" t="s">
        <v>8495</v>
      </c>
      <c r="E7780" t="s">
        <v>4097</v>
      </c>
      <c r="F7780" t="s">
        <v>670</v>
      </c>
      <c r="G7780" t="s">
        <v>134</v>
      </c>
      <c r="J7780" t="b">
        <v>1</v>
      </c>
      <c r="K7780" t="b">
        <v>1</v>
      </c>
      <c r="L7780" t="b">
        <v>1</v>
      </c>
      <c r="M7780" t="str">
        <f>HYPERLINK("https://arizona.app.box.com/file/389256927534")</f>
        <v>https://arizona.app.box.com/file/389256927534</v>
      </c>
      <c r="N7780" t="str">
        <f>HYPERLINK("https://arizona.app.box.com/file/389167070484")</f>
        <v>https://arizona.app.box.com/file/389167070484</v>
      </c>
    </row>
    <row r="7781" spans="1:25" x14ac:dyDescent="0.2">
      <c r="A7781">
        <v>5336</v>
      </c>
      <c r="B7781" t="s">
        <v>11379</v>
      </c>
      <c r="C7781" t="s">
        <v>18</v>
      </c>
      <c r="D7781" t="s">
        <v>7549</v>
      </c>
      <c r="E7781" t="s">
        <v>5927</v>
      </c>
      <c r="F7781" t="s">
        <v>159</v>
      </c>
      <c r="G7781" t="s">
        <v>134</v>
      </c>
      <c r="J7781" t="b">
        <v>0</v>
      </c>
      <c r="K7781" t="b">
        <v>0</v>
      </c>
      <c r="L7781" t="b">
        <v>0</v>
      </c>
      <c r="M7781" t="str">
        <f>HYPERLINK("https://arizona.app.box.com/file/389263391517")</f>
        <v>https://arizona.app.box.com/file/389263391517</v>
      </c>
      <c r="N7781" t="str">
        <f>HYPERLINK("https://arizona.app.box.com/file/389153004034")</f>
        <v>https://arizona.app.box.com/file/389153004034</v>
      </c>
    </row>
    <row r="7782" spans="1:25" x14ac:dyDescent="0.2">
      <c r="A7782">
        <v>5337</v>
      </c>
      <c r="B7782" t="s">
        <v>11379</v>
      </c>
      <c r="C7782" t="s">
        <v>18</v>
      </c>
      <c r="D7782" t="s">
        <v>11275</v>
      </c>
      <c r="E7782" t="s">
        <v>11276</v>
      </c>
      <c r="F7782" t="s">
        <v>159</v>
      </c>
      <c r="G7782" t="s">
        <v>134</v>
      </c>
      <c r="J7782" t="b">
        <v>0</v>
      </c>
      <c r="K7782" t="b">
        <v>0</v>
      </c>
      <c r="L7782" t="b">
        <v>0</v>
      </c>
      <c r="M7782" t="str">
        <f>HYPERLINK("https://arizona.app.box.com/file/389172456857")</f>
        <v>https://arizona.app.box.com/file/389172456857</v>
      </c>
      <c r="N7782" t="str">
        <f>HYPERLINK("https://arizona.app.box.com/file/386226892200")</f>
        <v>https://arizona.app.box.com/file/386226892200</v>
      </c>
    </row>
    <row r="7783" spans="1:25" x14ac:dyDescent="0.2">
      <c r="A7783">
        <v>5338</v>
      </c>
      <c r="B7783" t="s">
        <v>11379</v>
      </c>
      <c r="C7783" t="s">
        <v>18</v>
      </c>
      <c r="D7783" t="s">
        <v>10434</v>
      </c>
      <c r="E7783" t="s">
        <v>10435</v>
      </c>
      <c r="F7783" t="s">
        <v>78</v>
      </c>
      <c r="G7783" t="s">
        <v>134</v>
      </c>
      <c r="J7783" t="b">
        <v>0</v>
      </c>
      <c r="K7783" t="b">
        <v>0</v>
      </c>
      <c r="L7783" t="b">
        <v>0</v>
      </c>
      <c r="M7783" t="str">
        <f>HYPERLINK("https://arizona.app.box.com/file/389133846817")</f>
        <v>https://arizona.app.box.com/file/389133846817</v>
      </c>
      <c r="N7783" t="str">
        <f>HYPERLINK("https://arizona.app.box.com/file/389164797745")</f>
        <v>https://arizona.app.box.com/file/389164797745</v>
      </c>
    </row>
    <row r="7784" spans="1:25" x14ac:dyDescent="0.2">
      <c r="A7784">
        <v>5339</v>
      </c>
      <c r="B7784" t="s">
        <v>11379</v>
      </c>
      <c r="C7784" t="s">
        <v>18</v>
      </c>
      <c r="D7784" t="s">
        <v>3485</v>
      </c>
      <c r="E7784" t="s">
        <v>3486</v>
      </c>
      <c r="F7784" t="s">
        <v>82</v>
      </c>
      <c r="G7784" t="s">
        <v>265</v>
      </c>
      <c r="J7784" t="b">
        <v>0</v>
      </c>
      <c r="K7784" t="b">
        <v>0</v>
      </c>
      <c r="L7784" t="b">
        <v>0</v>
      </c>
    </row>
    <row r="7786" spans="1:25" x14ac:dyDescent="0.2">
      <c r="A7786" s="2">
        <v>5341</v>
      </c>
      <c r="B7786" s="2" t="s">
        <v>11382</v>
      </c>
      <c r="C7786" s="2" t="s">
        <v>13</v>
      </c>
      <c r="D7786" s="2" t="s">
        <v>11383</v>
      </c>
      <c r="E7786" s="2" t="s">
        <v>11384</v>
      </c>
      <c r="F7786" s="2" t="s">
        <v>670</v>
      </c>
      <c r="G7786" s="2" t="s">
        <v>17</v>
      </c>
      <c r="H7786" s="2"/>
      <c r="I7786" s="2"/>
      <c r="J7786" s="2"/>
      <c r="K7786" s="2"/>
      <c r="L7786" s="2"/>
      <c r="M7786" s="2"/>
      <c r="N7786" s="2"/>
      <c r="O7786" s="2"/>
      <c r="P7786" s="2"/>
      <c r="Q7786" s="2"/>
      <c r="R7786" s="2"/>
      <c r="S7786" s="2"/>
      <c r="T7786" s="2"/>
      <c r="U7786" s="2"/>
      <c r="V7786" s="2"/>
      <c r="W7786" s="2"/>
      <c r="X7786" s="2"/>
      <c r="Y7786" s="2"/>
    </row>
    <row r="7787" spans="1:25" x14ac:dyDescent="0.2">
      <c r="A7787">
        <v>5342</v>
      </c>
      <c r="B7787" t="s">
        <v>11382</v>
      </c>
      <c r="C7787" t="s">
        <v>18</v>
      </c>
      <c r="D7787" t="s">
        <v>11383</v>
      </c>
      <c r="E7787" t="s">
        <v>11385</v>
      </c>
      <c r="F7787" t="s">
        <v>670</v>
      </c>
      <c r="G7787" t="s">
        <v>17</v>
      </c>
      <c r="J7787" t="b">
        <v>1</v>
      </c>
      <c r="K7787" t="b">
        <v>1</v>
      </c>
      <c r="L7787" t="b">
        <v>1</v>
      </c>
    </row>
    <row r="7788" spans="1:25" x14ac:dyDescent="0.2">
      <c r="A7788">
        <v>5343</v>
      </c>
      <c r="B7788" t="s">
        <v>11382</v>
      </c>
      <c r="C7788" t="s">
        <v>18</v>
      </c>
      <c r="D7788" t="s">
        <v>11386</v>
      </c>
      <c r="E7788" t="s">
        <v>11387</v>
      </c>
      <c r="F7788" t="s">
        <v>670</v>
      </c>
      <c r="G7788" t="s">
        <v>17</v>
      </c>
      <c r="J7788" t="b">
        <v>1</v>
      </c>
      <c r="K7788" t="b">
        <v>1</v>
      </c>
      <c r="L7788" t="b">
        <v>1</v>
      </c>
      <c r="M7788" t="str">
        <f>HYPERLINK("https://arizona.app.box.com/file/389161335002")</f>
        <v>https://arizona.app.box.com/file/389161335002</v>
      </c>
    </row>
    <row r="7789" spans="1:25" x14ac:dyDescent="0.2">
      <c r="A7789">
        <v>5344</v>
      </c>
      <c r="B7789" t="s">
        <v>11382</v>
      </c>
      <c r="C7789" t="s">
        <v>18</v>
      </c>
      <c r="D7789" t="s">
        <v>11388</v>
      </c>
      <c r="E7789" t="s">
        <v>11389</v>
      </c>
      <c r="F7789" t="s">
        <v>670</v>
      </c>
      <c r="G7789" t="s">
        <v>17</v>
      </c>
      <c r="J7789" t="b">
        <v>0</v>
      </c>
      <c r="K7789" t="b">
        <v>0</v>
      </c>
      <c r="L7789" t="b">
        <v>0</v>
      </c>
    </row>
    <row r="7790" spans="1:25" x14ac:dyDescent="0.2">
      <c r="A7790">
        <v>5345</v>
      </c>
      <c r="B7790" t="s">
        <v>11382</v>
      </c>
      <c r="C7790" t="s">
        <v>18</v>
      </c>
      <c r="D7790" t="s">
        <v>11390</v>
      </c>
      <c r="E7790" t="s">
        <v>11391</v>
      </c>
      <c r="F7790" t="s">
        <v>174</v>
      </c>
      <c r="G7790" t="s">
        <v>17</v>
      </c>
      <c r="J7790" t="b">
        <v>0</v>
      </c>
      <c r="K7790" t="b">
        <v>0</v>
      </c>
      <c r="L7790" t="b">
        <v>0</v>
      </c>
      <c r="M7790" t="str">
        <f>HYPERLINK("https://arizona.app.box.com/file/389150750905")</f>
        <v>https://arizona.app.box.com/file/389150750905</v>
      </c>
    </row>
    <row r="7791" spans="1:25" x14ac:dyDescent="0.2">
      <c r="A7791">
        <v>5346</v>
      </c>
      <c r="B7791" t="s">
        <v>11382</v>
      </c>
      <c r="C7791" t="s">
        <v>18</v>
      </c>
      <c r="D7791" t="s">
        <v>8548</v>
      </c>
      <c r="E7791" t="s">
        <v>8549</v>
      </c>
      <c r="F7791" t="s">
        <v>78</v>
      </c>
      <c r="G7791" t="s">
        <v>17</v>
      </c>
      <c r="J7791" t="b">
        <v>0</v>
      </c>
      <c r="K7791" t="b">
        <v>0</v>
      </c>
      <c r="L7791" t="b">
        <v>0</v>
      </c>
      <c r="M7791" t="str">
        <f>HYPERLINK("https://arizona.app.box.com/file/389165706278")</f>
        <v>https://arizona.app.box.com/file/389165706278</v>
      </c>
    </row>
    <row r="7793" spans="1:25" x14ac:dyDescent="0.2">
      <c r="A7793" s="2">
        <v>539</v>
      </c>
      <c r="B7793" s="2" t="s">
        <v>11392</v>
      </c>
      <c r="C7793" s="2" t="s">
        <v>13</v>
      </c>
      <c r="D7793" s="2" t="s">
        <v>7119</v>
      </c>
      <c r="E7793" s="2" t="s">
        <v>11393</v>
      </c>
      <c r="F7793" s="2" t="s">
        <v>456</v>
      </c>
      <c r="G7793" s="2" t="s">
        <v>88</v>
      </c>
      <c r="H7793" s="2"/>
      <c r="I7793" s="2"/>
      <c r="J7793" s="2"/>
      <c r="K7793" s="2"/>
      <c r="L7793" s="2"/>
      <c r="M7793" s="2"/>
      <c r="N7793" s="2"/>
      <c r="O7793" s="2"/>
      <c r="P7793" s="2"/>
      <c r="Q7793" s="2"/>
      <c r="R7793" s="2"/>
      <c r="S7793" s="2"/>
      <c r="T7793" s="2"/>
      <c r="U7793" s="2"/>
      <c r="V7793" s="2"/>
      <c r="W7793" s="2"/>
      <c r="X7793" s="2"/>
      <c r="Y7793" s="2"/>
    </row>
    <row r="7794" spans="1:25" x14ac:dyDescent="0.2">
      <c r="A7794">
        <v>540</v>
      </c>
      <c r="B7794" t="s">
        <v>11392</v>
      </c>
      <c r="C7794" t="s">
        <v>18</v>
      </c>
      <c r="D7794" t="s">
        <v>7119</v>
      </c>
      <c r="E7794" t="s">
        <v>7120</v>
      </c>
      <c r="F7794" t="s">
        <v>456</v>
      </c>
      <c r="G7794" t="s">
        <v>88</v>
      </c>
      <c r="J7794" t="b">
        <v>1</v>
      </c>
      <c r="K7794" t="b">
        <v>1</v>
      </c>
      <c r="L7794" t="b">
        <v>1</v>
      </c>
      <c r="M7794" t="str">
        <f>HYPERLINK("https://arizona.app.box.com/file/389152797995")</f>
        <v>https://arizona.app.box.com/file/389152797995</v>
      </c>
    </row>
    <row r="7795" spans="1:25" x14ac:dyDescent="0.2">
      <c r="A7795">
        <v>541</v>
      </c>
      <c r="B7795" t="s">
        <v>11392</v>
      </c>
      <c r="C7795" t="s">
        <v>18</v>
      </c>
      <c r="D7795" t="s">
        <v>7112</v>
      </c>
      <c r="E7795" t="s">
        <v>339</v>
      </c>
      <c r="F7795" t="s">
        <v>456</v>
      </c>
      <c r="G7795" t="s">
        <v>88</v>
      </c>
      <c r="J7795" t="b">
        <v>0</v>
      </c>
      <c r="K7795" t="b">
        <v>0</v>
      </c>
      <c r="L7795" t="b">
        <v>0</v>
      </c>
      <c r="M7795" t="str">
        <f>HYPERLINK("https://arizona.app.box.com/file/389253891520")</f>
        <v>https://arizona.app.box.com/file/389253891520</v>
      </c>
      <c r="N7795" t="str">
        <f>HYPERLINK("https://arizona.app.box.com/file/386232399695")</f>
        <v>https://arizona.app.box.com/file/386232399695</v>
      </c>
    </row>
    <row r="7796" spans="1:25" x14ac:dyDescent="0.2">
      <c r="A7796">
        <v>542</v>
      </c>
      <c r="B7796" t="s">
        <v>11392</v>
      </c>
      <c r="C7796" t="s">
        <v>18</v>
      </c>
      <c r="D7796" t="s">
        <v>7116</v>
      </c>
      <c r="E7796" t="s">
        <v>7117</v>
      </c>
      <c r="F7796" t="s">
        <v>456</v>
      </c>
      <c r="G7796" t="s">
        <v>88</v>
      </c>
      <c r="J7796" t="b">
        <v>0</v>
      </c>
      <c r="K7796" t="b">
        <v>0</v>
      </c>
      <c r="L7796" t="b">
        <v>0</v>
      </c>
      <c r="M7796" t="str">
        <f>HYPERLINK("https://arizona.app.box.com/file/386266151242")</f>
        <v>https://arizona.app.box.com/file/386266151242</v>
      </c>
    </row>
    <row r="7797" spans="1:25" x14ac:dyDescent="0.2">
      <c r="A7797">
        <v>543</v>
      </c>
      <c r="B7797" t="s">
        <v>11392</v>
      </c>
      <c r="C7797" t="s">
        <v>18</v>
      </c>
      <c r="D7797" t="s">
        <v>11394</v>
      </c>
      <c r="E7797" t="s">
        <v>841</v>
      </c>
      <c r="F7797" t="s">
        <v>205</v>
      </c>
      <c r="G7797" t="s">
        <v>88</v>
      </c>
      <c r="J7797" t="b">
        <v>0</v>
      </c>
      <c r="K7797" t="b">
        <v>0</v>
      </c>
      <c r="L7797" t="b">
        <v>0</v>
      </c>
      <c r="M7797" t="str">
        <f>HYPERLINK("https://arizona.app.box.com/file/386261238866")</f>
        <v>https://arizona.app.box.com/file/386261238866</v>
      </c>
    </row>
    <row r="7798" spans="1:25" x14ac:dyDescent="0.2">
      <c r="A7798">
        <v>544</v>
      </c>
      <c r="B7798" t="s">
        <v>11392</v>
      </c>
      <c r="C7798" t="s">
        <v>18</v>
      </c>
      <c r="D7798" t="s">
        <v>11395</v>
      </c>
      <c r="E7798" t="s">
        <v>11396</v>
      </c>
      <c r="F7798" t="s">
        <v>1010</v>
      </c>
      <c r="G7798" t="s">
        <v>88</v>
      </c>
      <c r="J7798" t="b">
        <v>0</v>
      </c>
      <c r="K7798" t="b">
        <v>0</v>
      </c>
      <c r="L7798" t="b">
        <v>0</v>
      </c>
    </row>
    <row r="7800" spans="1:25" x14ac:dyDescent="0.2">
      <c r="A7800" s="2">
        <v>5397</v>
      </c>
      <c r="B7800" s="2" t="s">
        <v>11397</v>
      </c>
      <c r="C7800" s="2" t="s">
        <v>13</v>
      </c>
      <c r="D7800" s="2" t="s">
        <v>9267</v>
      </c>
      <c r="E7800" s="2" t="s">
        <v>11398</v>
      </c>
      <c r="F7800" s="2" t="s">
        <v>159</v>
      </c>
      <c r="G7800" s="2" t="s">
        <v>9081</v>
      </c>
      <c r="H7800" s="2"/>
      <c r="I7800" s="2"/>
      <c r="J7800" s="2"/>
      <c r="K7800" s="2"/>
      <c r="L7800" s="2"/>
      <c r="M7800" s="2"/>
      <c r="N7800" s="2"/>
      <c r="O7800" s="2"/>
      <c r="P7800" s="2"/>
      <c r="Q7800" s="2"/>
      <c r="R7800" s="2"/>
      <c r="S7800" s="2"/>
      <c r="T7800" s="2"/>
      <c r="U7800" s="2"/>
      <c r="V7800" s="2"/>
      <c r="W7800" s="2"/>
      <c r="X7800" s="2"/>
      <c r="Y7800" s="2"/>
    </row>
    <row r="7801" spans="1:25" x14ac:dyDescent="0.2">
      <c r="A7801">
        <v>5398</v>
      </c>
      <c r="B7801" t="s">
        <v>11397</v>
      </c>
      <c r="C7801" t="s">
        <v>18</v>
      </c>
      <c r="D7801" t="s">
        <v>9267</v>
      </c>
      <c r="E7801" t="s">
        <v>9268</v>
      </c>
      <c r="F7801" t="s">
        <v>159</v>
      </c>
      <c r="G7801" t="s">
        <v>828</v>
      </c>
      <c r="J7801" t="b">
        <v>1</v>
      </c>
      <c r="K7801" t="b">
        <v>1</v>
      </c>
      <c r="L7801" t="b">
        <v>1</v>
      </c>
      <c r="M7801" t="str">
        <f>HYPERLINK("https://arizona.app.box.com/file/389168671125")</f>
        <v>https://arizona.app.box.com/file/389168671125</v>
      </c>
    </row>
    <row r="7802" spans="1:25" x14ac:dyDescent="0.2">
      <c r="A7802">
        <v>5399</v>
      </c>
      <c r="B7802" t="s">
        <v>11397</v>
      </c>
      <c r="C7802" t="s">
        <v>18</v>
      </c>
      <c r="D7802" t="s">
        <v>9265</v>
      </c>
      <c r="E7802" t="s">
        <v>9266</v>
      </c>
      <c r="F7802" t="s">
        <v>144</v>
      </c>
      <c r="G7802" t="s">
        <v>828</v>
      </c>
      <c r="J7802" t="b">
        <v>1</v>
      </c>
      <c r="K7802" t="b">
        <v>1</v>
      </c>
      <c r="L7802" t="b">
        <v>1</v>
      </c>
      <c r="M7802" t="str">
        <f>HYPERLINK("https://arizona.app.box.com/file/389267708685")</f>
        <v>https://arizona.app.box.com/file/389267708685</v>
      </c>
      <c r="N7802" t="str">
        <f>HYPERLINK("https://arizona.app.box.com/file/389172482065")</f>
        <v>https://arizona.app.box.com/file/389172482065</v>
      </c>
    </row>
    <row r="7803" spans="1:25" x14ac:dyDescent="0.2">
      <c r="A7803">
        <v>5400</v>
      </c>
      <c r="B7803" t="s">
        <v>11397</v>
      </c>
      <c r="C7803" t="s">
        <v>18</v>
      </c>
      <c r="D7803" t="s">
        <v>9264</v>
      </c>
      <c r="E7803" t="s">
        <v>7248</v>
      </c>
      <c r="F7803" t="s">
        <v>4337</v>
      </c>
      <c r="G7803" t="s">
        <v>32</v>
      </c>
      <c r="J7803" t="b">
        <v>0</v>
      </c>
      <c r="K7803" t="b">
        <v>0</v>
      </c>
      <c r="L7803" t="b">
        <v>0</v>
      </c>
      <c r="M7803" t="str">
        <f>HYPERLINK("https://arizona.app.box.com/file/389171529676")</f>
        <v>https://arizona.app.box.com/file/389171529676</v>
      </c>
    </row>
    <row r="7804" spans="1:25" x14ac:dyDescent="0.2">
      <c r="A7804">
        <v>5401</v>
      </c>
      <c r="B7804" t="s">
        <v>11397</v>
      </c>
      <c r="C7804" t="s">
        <v>18</v>
      </c>
      <c r="D7804" t="s">
        <v>9269</v>
      </c>
      <c r="E7804" t="s">
        <v>9270</v>
      </c>
      <c r="F7804" t="s">
        <v>200</v>
      </c>
      <c r="G7804" t="s">
        <v>828</v>
      </c>
      <c r="J7804" t="b">
        <v>0</v>
      </c>
      <c r="K7804" t="b">
        <v>0</v>
      </c>
      <c r="L7804" t="b">
        <v>0</v>
      </c>
      <c r="M7804" t="str">
        <f>HYPERLINK("https://arizona.app.box.com/file/386246493103")</f>
        <v>https://arizona.app.box.com/file/386246493103</v>
      </c>
      <c r="N7804" t="str">
        <f>HYPERLINK("https://arizona.app.box.com/file/386253013500")</f>
        <v>https://arizona.app.box.com/file/386253013500</v>
      </c>
    </row>
    <row r="7805" spans="1:25" x14ac:dyDescent="0.2">
      <c r="A7805">
        <v>5402</v>
      </c>
      <c r="B7805" t="s">
        <v>11397</v>
      </c>
      <c r="C7805" t="s">
        <v>18</v>
      </c>
      <c r="D7805" t="s">
        <v>9271</v>
      </c>
      <c r="E7805" t="s">
        <v>9272</v>
      </c>
      <c r="F7805" t="s">
        <v>9273</v>
      </c>
      <c r="G7805" t="s">
        <v>828</v>
      </c>
      <c r="J7805" t="b">
        <v>0</v>
      </c>
      <c r="K7805" t="b">
        <v>0</v>
      </c>
      <c r="L7805" t="b">
        <v>0</v>
      </c>
      <c r="M7805" t="str">
        <f>HYPERLINK("https://arizona.app.box.com/file/386265563207")</f>
        <v>https://arizona.app.box.com/file/386265563207</v>
      </c>
      <c r="N7805" t="str">
        <f>HYPERLINK("https://arizona.app.box.com/file/386247298517")</f>
        <v>https://arizona.app.box.com/file/386247298517</v>
      </c>
    </row>
    <row r="7807" spans="1:25" x14ac:dyDescent="0.2">
      <c r="A7807" s="2">
        <v>5446</v>
      </c>
      <c r="B7807" s="2" t="s">
        <v>11399</v>
      </c>
      <c r="C7807" s="2" t="s">
        <v>13</v>
      </c>
      <c r="D7807" s="2" t="s">
        <v>8166</v>
      </c>
      <c r="E7807" s="2" t="s">
        <v>11400</v>
      </c>
      <c r="F7807" s="2" t="s">
        <v>78</v>
      </c>
      <c r="G7807" s="2" t="s">
        <v>94</v>
      </c>
      <c r="H7807" s="2"/>
      <c r="I7807" s="2"/>
      <c r="J7807" s="2"/>
      <c r="K7807" s="2"/>
      <c r="L7807" s="2"/>
      <c r="M7807" s="2"/>
      <c r="N7807" s="2"/>
      <c r="O7807" s="2"/>
      <c r="P7807" s="2"/>
      <c r="Q7807" s="2"/>
      <c r="R7807" s="2"/>
      <c r="S7807" s="2"/>
      <c r="T7807" s="2"/>
      <c r="U7807" s="2"/>
      <c r="V7807" s="2"/>
      <c r="W7807" s="2"/>
      <c r="X7807" s="2"/>
      <c r="Y7807" s="2"/>
    </row>
    <row r="7808" spans="1:25" x14ac:dyDescent="0.2">
      <c r="A7808">
        <v>5447</v>
      </c>
      <c r="B7808" t="s">
        <v>11399</v>
      </c>
      <c r="C7808" t="s">
        <v>18</v>
      </c>
      <c r="D7808" t="s">
        <v>8166</v>
      </c>
      <c r="E7808" t="s">
        <v>7511</v>
      </c>
      <c r="F7808" t="s">
        <v>78</v>
      </c>
      <c r="G7808" t="s">
        <v>94</v>
      </c>
      <c r="J7808" t="b">
        <v>1</v>
      </c>
      <c r="K7808" t="b">
        <v>1</v>
      </c>
      <c r="L7808" t="b">
        <v>1</v>
      </c>
      <c r="M7808" t="str">
        <f>HYPERLINK("https://arizona.app.box.com/file/389170833992")</f>
        <v>https://arizona.app.box.com/file/389170833992</v>
      </c>
    </row>
    <row r="7809" spans="1:25" x14ac:dyDescent="0.2">
      <c r="A7809">
        <v>5448</v>
      </c>
      <c r="B7809" t="s">
        <v>11399</v>
      </c>
      <c r="C7809" t="s">
        <v>18</v>
      </c>
      <c r="D7809" t="s">
        <v>8162</v>
      </c>
      <c r="E7809" t="s">
        <v>8163</v>
      </c>
      <c r="F7809" t="s">
        <v>78</v>
      </c>
      <c r="G7809" t="s">
        <v>94</v>
      </c>
      <c r="J7809" t="b">
        <v>1</v>
      </c>
      <c r="K7809" t="b">
        <v>1</v>
      </c>
      <c r="L7809" t="b">
        <v>1</v>
      </c>
      <c r="M7809" t="str">
        <f>HYPERLINK("https://arizona.app.box.com/file/389263987531")</f>
        <v>https://arizona.app.box.com/file/389263987531</v>
      </c>
      <c r="N7809" t="str">
        <f>HYPERLINK("https://arizona.app.box.com/file/389138437106")</f>
        <v>https://arizona.app.box.com/file/389138437106</v>
      </c>
    </row>
    <row r="7810" spans="1:25" x14ac:dyDescent="0.2">
      <c r="A7810">
        <v>5449</v>
      </c>
      <c r="B7810" t="s">
        <v>11399</v>
      </c>
      <c r="C7810" t="s">
        <v>18</v>
      </c>
      <c r="D7810" t="s">
        <v>8157</v>
      </c>
      <c r="E7810" t="s">
        <v>8158</v>
      </c>
      <c r="F7810" t="s">
        <v>78</v>
      </c>
      <c r="G7810" t="s">
        <v>94</v>
      </c>
      <c r="J7810" t="b">
        <v>0</v>
      </c>
      <c r="K7810" t="b">
        <v>0</v>
      </c>
      <c r="L7810" t="b">
        <v>0</v>
      </c>
      <c r="M7810" t="str">
        <f>HYPERLINK("https://arizona.app.box.com/file/389256141227")</f>
        <v>https://arizona.app.box.com/file/389256141227</v>
      </c>
      <c r="N7810" t="str">
        <f>HYPERLINK("https://arizona.app.box.com/file/389172520117")</f>
        <v>https://arizona.app.box.com/file/389172520117</v>
      </c>
      <c r="O7810" t="str">
        <f>HYPERLINK("https://arizona.app.box.com/file/389172145425")</f>
        <v>https://arizona.app.box.com/file/389172145425</v>
      </c>
    </row>
    <row r="7811" spans="1:25" x14ac:dyDescent="0.2">
      <c r="A7811">
        <v>5450</v>
      </c>
      <c r="B7811" t="s">
        <v>11399</v>
      </c>
      <c r="C7811" t="s">
        <v>18</v>
      </c>
      <c r="D7811" t="s">
        <v>8168</v>
      </c>
      <c r="E7811" t="s">
        <v>8169</v>
      </c>
      <c r="F7811" t="s">
        <v>144</v>
      </c>
      <c r="G7811" t="s">
        <v>94</v>
      </c>
      <c r="J7811" t="b">
        <v>0</v>
      </c>
      <c r="K7811" t="b">
        <v>0</v>
      </c>
      <c r="L7811" t="b">
        <v>0</v>
      </c>
      <c r="M7811" t="str">
        <f>HYPERLINK("https://arizona.app.box.com/file/386241284344")</f>
        <v>https://arizona.app.box.com/file/386241284344</v>
      </c>
      <c r="N7811" t="str">
        <f>HYPERLINK("https://arizona.app.box.com/file/386241624532")</f>
        <v>https://arizona.app.box.com/file/386241624532</v>
      </c>
    </row>
    <row r="7812" spans="1:25" x14ac:dyDescent="0.2">
      <c r="A7812">
        <v>5451</v>
      </c>
      <c r="B7812" t="s">
        <v>11399</v>
      </c>
      <c r="C7812" t="s">
        <v>18</v>
      </c>
      <c r="D7812" t="s">
        <v>337</v>
      </c>
      <c r="E7812" t="s">
        <v>339</v>
      </c>
      <c r="F7812" t="s">
        <v>151</v>
      </c>
      <c r="G7812" t="s">
        <v>24</v>
      </c>
      <c r="J7812" t="b">
        <v>0</v>
      </c>
      <c r="K7812" t="b">
        <v>0</v>
      </c>
      <c r="L7812" t="b">
        <v>0</v>
      </c>
      <c r="M7812" t="str">
        <f>HYPERLINK("https://arizona.app.box.com/file/389170758636")</f>
        <v>https://arizona.app.box.com/file/389170758636</v>
      </c>
      <c r="N7812" t="str">
        <f>HYPERLINK("https://arizona.app.box.com/file/386216569038")</f>
        <v>https://arizona.app.box.com/file/386216569038</v>
      </c>
    </row>
    <row r="7814" spans="1:25" x14ac:dyDescent="0.2">
      <c r="A7814" s="2">
        <v>5579</v>
      </c>
      <c r="B7814" s="2" t="s">
        <v>11401</v>
      </c>
      <c r="C7814" s="2" t="s">
        <v>13</v>
      </c>
      <c r="D7814" s="2" t="s">
        <v>11402</v>
      </c>
      <c r="E7814" s="2" t="s">
        <v>11403</v>
      </c>
      <c r="F7814" s="2" t="s">
        <v>82</v>
      </c>
      <c r="G7814" s="2" t="s">
        <v>265</v>
      </c>
      <c r="H7814" s="2"/>
      <c r="I7814" s="2"/>
      <c r="J7814" s="2"/>
      <c r="K7814" s="2"/>
      <c r="L7814" s="2"/>
      <c r="M7814" s="2"/>
      <c r="N7814" s="2"/>
      <c r="O7814" s="2"/>
      <c r="P7814" s="2"/>
      <c r="Q7814" s="2"/>
      <c r="R7814" s="2"/>
      <c r="S7814" s="2"/>
      <c r="T7814" s="2"/>
      <c r="U7814" s="2"/>
      <c r="V7814" s="2"/>
      <c r="W7814" s="2"/>
      <c r="X7814" s="2"/>
      <c r="Y7814" s="2"/>
    </row>
    <row r="7815" spans="1:25" x14ac:dyDescent="0.2">
      <c r="A7815">
        <v>5580</v>
      </c>
      <c r="B7815" t="s">
        <v>11401</v>
      </c>
      <c r="C7815" t="s">
        <v>18</v>
      </c>
      <c r="D7815" t="s">
        <v>7045</v>
      </c>
      <c r="E7815" t="s">
        <v>7046</v>
      </c>
      <c r="F7815" t="s">
        <v>23</v>
      </c>
      <c r="G7815" t="s">
        <v>265</v>
      </c>
      <c r="J7815" t="b">
        <v>1</v>
      </c>
      <c r="K7815" t="b">
        <v>1</v>
      </c>
      <c r="L7815" t="b">
        <v>1</v>
      </c>
      <c r="M7815" t="str">
        <f>HYPERLINK("https://arizona.app.box.com/file/386214351642")</f>
        <v>https://arizona.app.box.com/file/386214351642</v>
      </c>
    </row>
    <row r="7816" spans="1:25" x14ac:dyDescent="0.2">
      <c r="A7816">
        <v>5581</v>
      </c>
      <c r="B7816" t="s">
        <v>11401</v>
      </c>
      <c r="C7816" t="s">
        <v>18</v>
      </c>
      <c r="D7816" t="s">
        <v>11404</v>
      </c>
      <c r="E7816" t="s">
        <v>11405</v>
      </c>
      <c r="F7816" t="s">
        <v>23</v>
      </c>
      <c r="G7816" t="s">
        <v>265</v>
      </c>
      <c r="J7816" t="b">
        <v>1</v>
      </c>
      <c r="K7816" t="b">
        <v>1</v>
      </c>
      <c r="L7816" t="b">
        <v>1</v>
      </c>
      <c r="M7816" t="str">
        <f>HYPERLINK("https://arizona.app.box.com/file/386247662217")</f>
        <v>https://arizona.app.box.com/file/386247662217</v>
      </c>
    </row>
    <row r="7817" spans="1:25" x14ac:dyDescent="0.2">
      <c r="A7817">
        <v>5582</v>
      </c>
      <c r="B7817" t="s">
        <v>11401</v>
      </c>
      <c r="C7817" t="s">
        <v>18</v>
      </c>
      <c r="D7817" t="s">
        <v>11406</v>
      </c>
      <c r="E7817" t="s">
        <v>3695</v>
      </c>
      <c r="F7817" t="s">
        <v>23</v>
      </c>
      <c r="G7817" t="s">
        <v>265</v>
      </c>
      <c r="J7817" t="b">
        <v>1</v>
      </c>
      <c r="K7817" t="b">
        <v>1</v>
      </c>
      <c r="L7817" t="b">
        <v>1</v>
      </c>
      <c r="M7817" t="str">
        <f>HYPERLINK("https://arizona.app.box.com/file/389263673662")</f>
        <v>https://arizona.app.box.com/file/389263673662</v>
      </c>
    </row>
    <row r="7818" spans="1:25" x14ac:dyDescent="0.2">
      <c r="A7818">
        <v>5583</v>
      </c>
      <c r="B7818" t="s">
        <v>11401</v>
      </c>
      <c r="C7818" t="s">
        <v>18</v>
      </c>
      <c r="D7818" t="s">
        <v>11407</v>
      </c>
      <c r="E7818" t="s">
        <v>11408</v>
      </c>
      <c r="F7818" t="s">
        <v>23</v>
      </c>
      <c r="G7818" t="s">
        <v>88</v>
      </c>
      <c r="J7818" t="b">
        <v>0</v>
      </c>
      <c r="K7818" t="b">
        <v>0</v>
      </c>
      <c r="L7818" t="b">
        <v>0</v>
      </c>
      <c r="M7818" t="str">
        <f>HYPERLINK("https://arizona.app.box.com/file/386243579796")</f>
        <v>https://arizona.app.box.com/file/386243579796</v>
      </c>
      <c r="N7818" t="str">
        <f>HYPERLINK("https://arizona.app.box.com/file/386241113911")</f>
        <v>https://arizona.app.box.com/file/386241113911</v>
      </c>
    </row>
    <row r="7819" spans="1:25" x14ac:dyDescent="0.2">
      <c r="A7819">
        <v>5584</v>
      </c>
      <c r="B7819" t="s">
        <v>11401</v>
      </c>
      <c r="C7819" t="s">
        <v>18</v>
      </c>
      <c r="D7819" t="s">
        <v>7029</v>
      </c>
      <c r="E7819" t="s">
        <v>7030</v>
      </c>
      <c r="F7819" t="s">
        <v>174</v>
      </c>
      <c r="G7819" t="s">
        <v>265</v>
      </c>
      <c r="J7819" t="b">
        <v>0</v>
      </c>
      <c r="K7819" t="b">
        <v>0</v>
      </c>
      <c r="L7819" t="b">
        <v>0</v>
      </c>
      <c r="M7819" t="str">
        <f>HYPERLINK("https://arizona.app.box.com/file/389261528289")</f>
        <v>https://arizona.app.box.com/file/389261528289</v>
      </c>
      <c r="N7819" t="str">
        <f>HYPERLINK("https://arizona.app.box.com/file/386218559490")</f>
        <v>https://arizona.app.box.com/file/386218559490</v>
      </c>
    </row>
    <row r="7821" spans="1:25" x14ac:dyDescent="0.2">
      <c r="A7821" s="2">
        <v>560</v>
      </c>
      <c r="B7821" s="2" t="s">
        <v>11409</v>
      </c>
      <c r="C7821" s="2" t="s">
        <v>13</v>
      </c>
      <c r="D7821" s="2" t="s">
        <v>6996</v>
      </c>
      <c r="E7821" s="2" t="s">
        <v>11410</v>
      </c>
      <c r="F7821" s="2" t="s">
        <v>168</v>
      </c>
      <c r="G7821" s="2" t="s">
        <v>17</v>
      </c>
      <c r="H7821" s="2"/>
      <c r="I7821" s="2"/>
      <c r="J7821" s="2"/>
      <c r="K7821" s="2"/>
      <c r="L7821" s="2"/>
      <c r="M7821" s="2"/>
      <c r="N7821" s="2"/>
      <c r="O7821" s="2"/>
      <c r="P7821" s="2"/>
      <c r="Q7821" s="2"/>
      <c r="R7821" s="2"/>
      <c r="S7821" s="2"/>
      <c r="T7821" s="2"/>
      <c r="U7821" s="2"/>
      <c r="V7821" s="2"/>
      <c r="W7821" s="2"/>
      <c r="X7821" s="2"/>
      <c r="Y7821" s="2"/>
    </row>
    <row r="7822" spans="1:25" x14ac:dyDescent="0.2">
      <c r="A7822">
        <v>561</v>
      </c>
      <c r="B7822" t="s">
        <v>11409</v>
      </c>
      <c r="C7822" t="s">
        <v>18</v>
      </c>
      <c r="D7822" t="s">
        <v>6996</v>
      </c>
      <c r="E7822" t="s">
        <v>6997</v>
      </c>
      <c r="F7822" t="s">
        <v>168</v>
      </c>
      <c r="G7822" t="s">
        <v>17</v>
      </c>
      <c r="J7822" t="b">
        <v>1</v>
      </c>
      <c r="K7822" t="b">
        <v>1</v>
      </c>
      <c r="L7822" t="b">
        <v>1</v>
      </c>
      <c r="M7822" t="str">
        <f>HYPERLINK("https://arizona.app.box.com/file/389255473575")</f>
        <v>https://arizona.app.box.com/file/389255473575</v>
      </c>
      <c r="N7822" t="str">
        <f>HYPERLINK("https://arizona.app.box.com/file/389163818467")</f>
        <v>https://arizona.app.box.com/file/389163818467</v>
      </c>
    </row>
    <row r="7823" spans="1:25" x14ac:dyDescent="0.2">
      <c r="A7823">
        <v>562</v>
      </c>
      <c r="B7823" t="s">
        <v>11409</v>
      </c>
      <c r="C7823" t="s">
        <v>18</v>
      </c>
      <c r="D7823" t="s">
        <v>6993</v>
      </c>
      <c r="E7823" t="s">
        <v>6214</v>
      </c>
      <c r="F7823" t="s">
        <v>168</v>
      </c>
      <c r="G7823" t="s">
        <v>17</v>
      </c>
      <c r="J7823" t="b">
        <v>1</v>
      </c>
      <c r="K7823" t="b">
        <v>1</v>
      </c>
      <c r="L7823" t="b">
        <v>1</v>
      </c>
      <c r="M7823" t="str">
        <f>HYPERLINK("https://arizona.app.box.com/file/389263152043")</f>
        <v>https://arizona.app.box.com/file/389263152043</v>
      </c>
      <c r="N7823" t="str">
        <f>HYPERLINK("https://arizona.app.box.com/file/389169054305")</f>
        <v>https://arizona.app.box.com/file/389169054305</v>
      </c>
    </row>
    <row r="7824" spans="1:25" x14ac:dyDescent="0.2">
      <c r="A7824">
        <v>563</v>
      </c>
      <c r="B7824" t="s">
        <v>11409</v>
      </c>
      <c r="C7824" t="s">
        <v>18</v>
      </c>
      <c r="D7824" t="s">
        <v>6990</v>
      </c>
      <c r="E7824" t="s">
        <v>3465</v>
      </c>
      <c r="F7824" t="s">
        <v>369</v>
      </c>
      <c r="G7824" t="s">
        <v>17</v>
      </c>
      <c r="J7824" t="b">
        <v>0</v>
      </c>
      <c r="K7824" t="b">
        <v>0</v>
      </c>
      <c r="L7824" t="b">
        <v>0</v>
      </c>
      <c r="M7824" t="str">
        <f>HYPERLINK("https://arizona.app.box.com/file/389264070638")</f>
        <v>https://arizona.app.box.com/file/389264070638</v>
      </c>
    </row>
    <row r="7825" spans="1:25" x14ac:dyDescent="0.2">
      <c r="A7825">
        <v>564</v>
      </c>
      <c r="B7825" t="s">
        <v>11409</v>
      </c>
      <c r="C7825" t="s">
        <v>18</v>
      </c>
      <c r="D7825" t="s">
        <v>11411</v>
      </c>
      <c r="E7825" t="s">
        <v>11412</v>
      </c>
      <c r="F7825" t="s">
        <v>31</v>
      </c>
      <c r="G7825" t="s">
        <v>17</v>
      </c>
      <c r="J7825" t="b">
        <v>0</v>
      </c>
      <c r="K7825" t="b">
        <v>0</v>
      </c>
      <c r="L7825" t="b">
        <v>0</v>
      </c>
      <c r="M7825" t="str">
        <f>HYPERLINK("https://arizona.app.box.com/file/389160910583")</f>
        <v>https://arizona.app.box.com/file/389160910583</v>
      </c>
      <c r="N7825" t="str">
        <f>HYPERLINK("https://arizona.app.box.com/file/389133984160")</f>
        <v>https://arizona.app.box.com/file/389133984160</v>
      </c>
    </row>
    <row r="7826" spans="1:25" x14ac:dyDescent="0.2">
      <c r="A7826">
        <v>565</v>
      </c>
      <c r="B7826" t="s">
        <v>11409</v>
      </c>
      <c r="C7826" t="s">
        <v>18</v>
      </c>
      <c r="D7826" t="s">
        <v>4172</v>
      </c>
      <c r="E7826" t="s">
        <v>4173</v>
      </c>
      <c r="F7826" t="s">
        <v>248</v>
      </c>
      <c r="G7826" t="s">
        <v>24</v>
      </c>
      <c r="J7826" t="b">
        <v>0</v>
      </c>
      <c r="K7826" t="b">
        <v>0</v>
      </c>
      <c r="L7826" t="b">
        <v>0</v>
      </c>
    </row>
    <row r="7828" spans="1:25" x14ac:dyDescent="0.2">
      <c r="A7828" s="2">
        <v>5656</v>
      </c>
      <c r="B7828" s="2" t="s">
        <v>11413</v>
      </c>
      <c r="C7828" s="2" t="s">
        <v>13</v>
      </c>
      <c r="D7828" s="2" t="s">
        <v>11414</v>
      </c>
      <c r="E7828" s="2" t="s">
        <v>11415</v>
      </c>
      <c r="F7828" s="2" t="s">
        <v>159</v>
      </c>
      <c r="G7828" s="2" t="s">
        <v>88</v>
      </c>
      <c r="H7828" s="2"/>
      <c r="I7828" s="2"/>
      <c r="J7828" s="2"/>
      <c r="K7828" s="2"/>
      <c r="L7828" s="2"/>
      <c r="M7828" s="2"/>
      <c r="N7828" s="2"/>
      <c r="O7828" s="2"/>
      <c r="P7828" s="2"/>
      <c r="Q7828" s="2"/>
      <c r="R7828" s="2"/>
      <c r="S7828" s="2"/>
      <c r="T7828" s="2"/>
      <c r="U7828" s="2"/>
      <c r="V7828" s="2"/>
      <c r="W7828" s="2"/>
      <c r="X7828" s="2"/>
      <c r="Y7828" s="2"/>
    </row>
    <row r="7829" spans="1:25" x14ac:dyDescent="0.2">
      <c r="A7829">
        <v>5657</v>
      </c>
      <c r="B7829" t="s">
        <v>11413</v>
      </c>
      <c r="C7829" t="s">
        <v>18</v>
      </c>
      <c r="D7829" t="s">
        <v>11414</v>
      </c>
      <c r="E7829" t="s">
        <v>1185</v>
      </c>
      <c r="F7829" t="s">
        <v>159</v>
      </c>
      <c r="G7829" t="s">
        <v>88</v>
      </c>
      <c r="J7829" t="b">
        <v>1</v>
      </c>
      <c r="K7829" t="b">
        <v>1</v>
      </c>
      <c r="L7829" t="b">
        <v>1</v>
      </c>
      <c r="M7829" t="str">
        <f>HYPERLINK("https://arizona.app.box.com/file/389170227877")</f>
        <v>https://arizona.app.box.com/file/389170227877</v>
      </c>
      <c r="N7829" t="str">
        <f>HYPERLINK("https://arizona.app.box.com/file/386215333705")</f>
        <v>https://arizona.app.box.com/file/386215333705</v>
      </c>
    </row>
    <row r="7830" spans="1:25" x14ac:dyDescent="0.2">
      <c r="A7830">
        <v>5658</v>
      </c>
      <c r="B7830" t="s">
        <v>11413</v>
      </c>
      <c r="C7830" t="s">
        <v>18</v>
      </c>
      <c r="D7830" t="s">
        <v>11416</v>
      </c>
      <c r="E7830" t="s">
        <v>2654</v>
      </c>
      <c r="F7830" t="s">
        <v>159</v>
      </c>
      <c r="G7830" t="s">
        <v>88</v>
      </c>
      <c r="J7830" t="b">
        <v>1</v>
      </c>
      <c r="K7830" t="b">
        <v>1</v>
      </c>
      <c r="L7830" t="b">
        <v>1</v>
      </c>
      <c r="M7830" t="str">
        <f>HYPERLINK("https://arizona.app.box.com/file/389154810180")</f>
        <v>https://arizona.app.box.com/file/389154810180</v>
      </c>
      <c r="N7830" t="str">
        <f>HYPERLINK("https://arizona.app.box.com/file/386240743528")</f>
        <v>https://arizona.app.box.com/file/386240743528</v>
      </c>
    </row>
    <row r="7831" spans="1:25" x14ac:dyDescent="0.2">
      <c r="A7831">
        <v>5659</v>
      </c>
      <c r="B7831" t="s">
        <v>11413</v>
      </c>
      <c r="C7831" t="s">
        <v>18</v>
      </c>
      <c r="D7831" t="s">
        <v>11417</v>
      </c>
      <c r="E7831" t="s">
        <v>11418</v>
      </c>
      <c r="F7831" t="s">
        <v>11419</v>
      </c>
      <c r="G7831" t="s">
        <v>2278</v>
      </c>
      <c r="J7831" t="b">
        <v>0</v>
      </c>
      <c r="K7831" t="b">
        <v>0</v>
      </c>
      <c r="L7831" t="b">
        <v>0</v>
      </c>
    </row>
    <row r="7832" spans="1:25" x14ac:dyDescent="0.2">
      <c r="A7832">
        <v>5660</v>
      </c>
      <c r="B7832" t="s">
        <v>11413</v>
      </c>
      <c r="C7832" t="s">
        <v>18</v>
      </c>
      <c r="D7832" t="s">
        <v>11420</v>
      </c>
      <c r="E7832" t="s">
        <v>11421</v>
      </c>
      <c r="F7832" t="s">
        <v>159</v>
      </c>
      <c r="G7832" t="s">
        <v>2278</v>
      </c>
      <c r="J7832" t="b">
        <v>0</v>
      </c>
      <c r="K7832" t="b">
        <v>0</v>
      </c>
      <c r="L7832" t="b">
        <v>0</v>
      </c>
      <c r="M7832" t="str">
        <f>HYPERLINK("https://arizona.app.box.com/file/389173328669")</f>
        <v>https://arizona.app.box.com/file/389173328669</v>
      </c>
    </row>
    <row r="7833" spans="1:25" x14ac:dyDescent="0.2">
      <c r="A7833">
        <v>5661</v>
      </c>
      <c r="B7833" t="s">
        <v>11413</v>
      </c>
      <c r="C7833" t="s">
        <v>18</v>
      </c>
      <c r="D7833" t="s">
        <v>11422</v>
      </c>
      <c r="E7833" t="s">
        <v>11423</v>
      </c>
      <c r="F7833" t="s">
        <v>82</v>
      </c>
      <c r="G7833" t="s">
        <v>88</v>
      </c>
      <c r="J7833" t="b">
        <v>0</v>
      </c>
      <c r="K7833" t="b">
        <v>0</v>
      </c>
      <c r="L7833" t="b">
        <v>0</v>
      </c>
    </row>
    <row r="7835" spans="1:25" x14ac:dyDescent="0.2">
      <c r="A7835" s="2">
        <v>567</v>
      </c>
      <c r="B7835" s="2" t="s">
        <v>11424</v>
      </c>
      <c r="C7835" s="2" t="s">
        <v>13</v>
      </c>
      <c r="D7835" s="2" t="s">
        <v>11411</v>
      </c>
      <c r="E7835" s="2" t="s">
        <v>11412</v>
      </c>
      <c r="F7835" s="2" t="s">
        <v>31</v>
      </c>
      <c r="G7835" s="2" t="s">
        <v>17</v>
      </c>
      <c r="H7835" s="2"/>
      <c r="I7835" s="2"/>
      <c r="J7835" s="2"/>
      <c r="K7835" s="2"/>
      <c r="L7835" s="2"/>
      <c r="M7835" s="2"/>
      <c r="N7835" s="2"/>
      <c r="O7835" s="2"/>
      <c r="P7835" s="2"/>
      <c r="Q7835" s="2"/>
      <c r="R7835" s="2"/>
      <c r="S7835" s="2"/>
      <c r="T7835" s="2"/>
      <c r="U7835" s="2"/>
      <c r="V7835" s="2"/>
      <c r="W7835" s="2"/>
      <c r="X7835" s="2"/>
      <c r="Y7835" s="2"/>
    </row>
    <row r="7836" spans="1:25" x14ac:dyDescent="0.2">
      <c r="A7836">
        <v>568</v>
      </c>
      <c r="B7836" t="s">
        <v>11424</v>
      </c>
      <c r="C7836" t="s">
        <v>18</v>
      </c>
      <c r="D7836" t="s">
        <v>11411</v>
      </c>
      <c r="E7836" t="s">
        <v>11412</v>
      </c>
      <c r="F7836" t="s">
        <v>31</v>
      </c>
      <c r="G7836" t="s">
        <v>17</v>
      </c>
      <c r="J7836" t="b">
        <v>1</v>
      </c>
      <c r="K7836" t="b">
        <v>1</v>
      </c>
      <c r="L7836" t="b">
        <v>1</v>
      </c>
      <c r="M7836" t="str">
        <f>HYPERLINK("https://arizona.app.box.com/file/389160910583")</f>
        <v>https://arizona.app.box.com/file/389160910583</v>
      </c>
      <c r="N7836" t="str">
        <f>HYPERLINK("https://arizona.app.box.com/file/389133984160")</f>
        <v>https://arizona.app.box.com/file/389133984160</v>
      </c>
    </row>
    <row r="7837" spans="1:25" x14ac:dyDescent="0.2">
      <c r="A7837">
        <v>569</v>
      </c>
      <c r="B7837" t="s">
        <v>11424</v>
      </c>
      <c r="C7837" t="s">
        <v>18</v>
      </c>
      <c r="D7837" t="s">
        <v>11425</v>
      </c>
      <c r="E7837" t="s">
        <v>11426</v>
      </c>
      <c r="F7837" t="s">
        <v>31</v>
      </c>
      <c r="G7837" t="s">
        <v>17</v>
      </c>
      <c r="J7837" t="b">
        <v>0</v>
      </c>
      <c r="K7837" t="b">
        <v>0</v>
      </c>
      <c r="L7837" t="b">
        <v>0</v>
      </c>
      <c r="M7837" t="str">
        <f>HYPERLINK("https://arizona.app.box.com/file/386242958351")</f>
        <v>https://arizona.app.box.com/file/386242958351</v>
      </c>
      <c r="N7837" t="str">
        <f>HYPERLINK("https://arizona.app.box.com/file/386249200725")</f>
        <v>https://arizona.app.box.com/file/386249200725</v>
      </c>
    </row>
    <row r="7838" spans="1:25" x14ac:dyDescent="0.2">
      <c r="A7838">
        <v>570</v>
      </c>
      <c r="B7838" t="s">
        <v>11424</v>
      </c>
      <c r="C7838" t="s">
        <v>18</v>
      </c>
      <c r="D7838" t="s">
        <v>6993</v>
      </c>
      <c r="E7838" t="s">
        <v>6214</v>
      </c>
      <c r="F7838" t="s">
        <v>168</v>
      </c>
      <c r="G7838" t="s">
        <v>17</v>
      </c>
      <c r="J7838" t="b">
        <v>0</v>
      </c>
      <c r="K7838" t="b">
        <v>0</v>
      </c>
      <c r="L7838" t="b">
        <v>0</v>
      </c>
      <c r="M7838" t="str">
        <f>HYPERLINK("https://arizona.app.box.com/file/389263152043")</f>
        <v>https://arizona.app.box.com/file/389263152043</v>
      </c>
      <c r="N7838" t="str">
        <f>HYPERLINK("https://arizona.app.box.com/file/389169054305")</f>
        <v>https://arizona.app.box.com/file/389169054305</v>
      </c>
    </row>
    <row r="7839" spans="1:25" x14ac:dyDescent="0.2">
      <c r="A7839">
        <v>571</v>
      </c>
      <c r="B7839" t="s">
        <v>11424</v>
      </c>
      <c r="C7839" t="s">
        <v>18</v>
      </c>
      <c r="D7839" t="s">
        <v>6996</v>
      </c>
      <c r="E7839" t="s">
        <v>6997</v>
      </c>
      <c r="F7839" t="s">
        <v>168</v>
      </c>
      <c r="G7839" t="s">
        <v>17</v>
      </c>
      <c r="J7839" t="b">
        <v>0</v>
      </c>
      <c r="K7839" t="b">
        <v>0</v>
      </c>
      <c r="L7839" t="b">
        <v>0</v>
      </c>
      <c r="M7839" t="str">
        <f>HYPERLINK("https://arizona.app.box.com/file/389255473575")</f>
        <v>https://arizona.app.box.com/file/389255473575</v>
      </c>
      <c r="N7839" t="str">
        <f>HYPERLINK("https://arizona.app.box.com/file/389163818467")</f>
        <v>https://arizona.app.box.com/file/389163818467</v>
      </c>
    </row>
    <row r="7840" spans="1:25" x14ac:dyDescent="0.2">
      <c r="A7840">
        <v>572</v>
      </c>
      <c r="B7840" t="s">
        <v>11424</v>
      </c>
      <c r="C7840" t="s">
        <v>18</v>
      </c>
      <c r="D7840" t="s">
        <v>11427</v>
      </c>
      <c r="E7840" t="s">
        <v>11428</v>
      </c>
      <c r="F7840" t="s">
        <v>31</v>
      </c>
      <c r="G7840" t="s">
        <v>17</v>
      </c>
      <c r="J7840" t="b">
        <v>0</v>
      </c>
      <c r="K7840" t="b">
        <v>0</v>
      </c>
      <c r="L7840" t="b">
        <v>0</v>
      </c>
      <c r="M7840" t="str">
        <f>HYPERLINK("https://arizona.app.box.com/file/389162162386")</f>
        <v>https://arizona.app.box.com/file/389162162386</v>
      </c>
    </row>
    <row r="7842" spans="1:25" x14ac:dyDescent="0.2">
      <c r="A7842" s="2">
        <v>5670</v>
      </c>
      <c r="B7842" s="2" t="s">
        <v>11429</v>
      </c>
      <c r="C7842" s="2" t="s">
        <v>13</v>
      </c>
      <c r="D7842" s="2" t="s">
        <v>11430</v>
      </c>
      <c r="E7842" s="2" t="s">
        <v>11431</v>
      </c>
      <c r="F7842" s="2" t="s">
        <v>23</v>
      </c>
      <c r="G7842" s="2" t="s">
        <v>88</v>
      </c>
      <c r="H7842" s="2"/>
      <c r="I7842" s="2"/>
      <c r="J7842" s="2"/>
      <c r="K7842" s="2"/>
      <c r="L7842" s="2"/>
      <c r="M7842" s="2"/>
      <c r="N7842" s="2"/>
      <c r="O7842" s="2"/>
      <c r="P7842" s="2"/>
      <c r="Q7842" s="2"/>
      <c r="R7842" s="2"/>
      <c r="S7842" s="2"/>
      <c r="T7842" s="2"/>
      <c r="U7842" s="2"/>
      <c r="V7842" s="2"/>
      <c r="W7842" s="2"/>
      <c r="X7842" s="2"/>
      <c r="Y7842" s="2"/>
    </row>
    <row r="7843" spans="1:25" x14ac:dyDescent="0.2">
      <c r="A7843">
        <v>5671</v>
      </c>
      <c r="B7843" t="s">
        <v>11429</v>
      </c>
      <c r="C7843" t="s">
        <v>18</v>
      </c>
      <c r="D7843" t="s">
        <v>8737</v>
      </c>
      <c r="E7843" t="s">
        <v>1299</v>
      </c>
      <c r="F7843" t="s">
        <v>23</v>
      </c>
      <c r="G7843" t="s">
        <v>88</v>
      </c>
      <c r="J7843" t="b">
        <v>1</v>
      </c>
      <c r="K7843" t="b">
        <v>1</v>
      </c>
      <c r="L7843" t="b">
        <v>1</v>
      </c>
      <c r="M7843" t="str">
        <f>HYPERLINK("https://arizona.app.box.com/file/389266311870")</f>
        <v>https://arizona.app.box.com/file/389266311870</v>
      </c>
      <c r="N7843" t="str">
        <f>HYPERLINK("https://arizona.app.box.com/file/389166029205")</f>
        <v>https://arizona.app.box.com/file/389166029205</v>
      </c>
    </row>
    <row r="7844" spans="1:25" x14ac:dyDescent="0.2">
      <c r="A7844">
        <v>5672</v>
      </c>
      <c r="B7844" t="s">
        <v>11429</v>
      </c>
      <c r="C7844" t="s">
        <v>18</v>
      </c>
      <c r="D7844" t="s">
        <v>11432</v>
      </c>
      <c r="E7844" t="s">
        <v>4854</v>
      </c>
      <c r="F7844" t="s">
        <v>168</v>
      </c>
      <c r="G7844" t="s">
        <v>88</v>
      </c>
      <c r="J7844" t="b">
        <v>1</v>
      </c>
      <c r="K7844" t="b">
        <v>1</v>
      </c>
      <c r="L7844" t="b">
        <v>1</v>
      </c>
      <c r="M7844" t="str">
        <f>HYPERLINK("https://arizona.app.box.com/file/389263879899")</f>
        <v>https://arizona.app.box.com/file/389263879899</v>
      </c>
      <c r="N7844" t="str">
        <f>HYPERLINK("https://arizona.app.box.com/file/386246230950")</f>
        <v>https://arizona.app.box.com/file/386246230950</v>
      </c>
    </row>
    <row r="7845" spans="1:25" x14ac:dyDescent="0.2">
      <c r="A7845">
        <v>5673</v>
      </c>
      <c r="B7845" t="s">
        <v>11429</v>
      </c>
      <c r="C7845" t="s">
        <v>18</v>
      </c>
      <c r="D7845" t="s">
        <v>479</v>
      </c>
      <c r="E7845" t="s">
        <v>480</v>
      </c>
      <c r="F7845" t="s">
        <v>168</v>
      </c>
      <c r="G7845" t="s">
        <v>24</v>
      </c>
      <c r="J7845" t="b">
        <v>0</v>
      </c>
      <c r="K7845" t="b">
        <v>0</v>
      </c>
      <c r="L7845" t="b">
        <v>0</v>
      </c>
      <c r="M7845" t="str">
        <f>HYPERLINK("https://arizona.app.box.com/file/386242130207")</f>
        <v>https://arizona.app.box.com/file/386242130207</v>
      </c>
      <c r="N7845" t="str">
        <f>HYPERLINK("https://arizona.app.box.com/file/386242077525")</f>
        <v>https://arizona.app.box.com/file/386242077525</v>
      </c>
    </row>
    <row r="7846" spans="1:25" x14ac:dyDescent="0.2">
      <c r="A7846">
        <v>5674</v>
      </c>
      <c r="B7846" t="s">
        <v>11429</v>
      </c>
      <c r="C7846" t="s">
        <v>18</v>
      </c>
      <c r="D7846" t="s">
        <v>8607</v>
      </c>
      <c r="E7846" t="s">
        <v>3791</v>
      </c>
      <c r="F7846" t="s">
        <v>16</v>
      </c>
      <c r="G7846" t="s">
        <v>17</v>
      </c>
      <c r="J7846" t="b">
        <v>0</v>
      </c>
      <c r="K7846" t="b">
        <v>0</v>
      </c>
      <c r="L7846" t="b">
        <v>0</v>
      </c>
      <c r="M7846" t="str">
        <f>HYPERLINK("https://arizona.app.box.com/file/389164585172")</f>
        <v>https://arizona.app.box.com/file/389164585172</v>
      </c>
    </row>
    <row r="7847" spans="1:25" x14ac:dyDescent="0.2">
      <c r="A7847">
        <v>5675</v>
      </c>
      <c r="B7847" t="s">
        <v>11429</v>
      </c>
      <c r="C7847" t="s">
        <v>18</v>
      </c>
      <c r="D7847" t="s">
        <v>11433</v>
      </c>
      <c r="E7847" t="s">
        <v>11434</v>
      </c>
      <c r="F7847" t="s">
        <v>23</v>
      </c>
      <c r="G7847" t="s">
        <v>88</v>
      </c>
      <c r="J7847" t="b">
        <v>0</v>
      </c>
      <c r="K7847" t="b">
        <v>0</v>
      </c>
      <c r="L7847" t="b">
        <v>0</v>
      </c>
      <c r="M7847" t="str">
        <f>HYPERLINK("https://arizona.app.box.com/file/389257093609")</f>
        <v>https://arizona.app.box.com/file/389257093609</v>
      </c>
      <c r="N7847" t="str">
        <f>HYPERLINK("https://arizona.app.box.com/file/389138004088")</f>
        <v>https://arizona.app.box.com/file/389138004088</v>
      </c>
      <c r="O7847" t="str">
        <f>HYPERLINK("https://arizona.app.box.com/file/389172398857")</f>
        <v>https://arizona.app.box.com/file/389172398857</v>
      </c>
      <c r="P7847" t="str">
        <f>HYPERLINK("https://arizona.app.box.com/file/386212963088")</f>
        <v>https://arizona.app.box.com/file/386212963088</v>
      </c>
    </row>
    <row r="7849" spans="1:25" x14ac:dyDescent="0.2">
      <c r="A7849" s="2">
        <v>5677</v>
      </c>
      <c r="B7849" s="2" t="s">
        <v>11435</v>
      </c>
      <c r="C7849" s="2" t="s">
        <v>13</v>
      </c>
      <c r="D7849" s="2" t="s">
        <v>11436</v>
      </c>
      <c r="E7849" s="2" t="s">
        <v>11437</v>
      </c>
      <c r="F7849" s="2" t="s">
        <v>82</v>
      </c>
      <c r="G7849" s="2" t="s">
        <v>5403</v>
      </c>
      <c r="H7849" s="2"/>
      <c r="I7849" s="2"/>
      <c r="J7849" s="2"/>
      <c r="K7849" s="2"/>
      <c r="L7849" s="2"/>
      <c r="M7849" s="2"/>
      <c r="N7849" s="2"/>
      <c r="O7849" s="2"/>
      <c r="P7849" s="2"/>
      <c r="Q7849" s="2"/>
      <c r="R7849" s="2"/>
      <c r="S7849" s="2"/>
      <c r="T7849" s="2"/>
      <c r="U7849" s="2"/>
      <c r="V7849" s="2"/>
      <c r="W7849" s="2"/>
      <c r="X7849" s="2"/>
      <c r="Y7849" s="2"/>
    </row>
    <row r="7850" spans="1:25" x14ac:dyDescent="0.2">
      <c r="A7850">
        <v>5678</v>
      </c>
      <c r="B7850" t="s">
        <v>11435</v>
      </c>
      <c r="C7850" t="s">
        <v>18</v>
      </c>
      <c r="D7850" t="s">
        <v>11436</v>
      </c>
      <c r="E7850" t="s">
        <v>11437</v>
      </c>
      <c r="F7850" t="s">
        <v>82</v>
      </c>
      <c r="G7850" t="s">
        <v>5403</v>
      </c>
      <c r="J7850" t="b">
        <v>1</v>
      </c>
      <c r="K7850" t="b">
        <v>1</v>
      </c>
      <c r="L7850" t="b">
        <v>1</v>
      </c>
      <c r="M7850" t="str">
        <f>HYPERLINK("https://arizona.app.box.com/file/386248790672")</f>
        <v>https://arizona.app.box.com/file/386248790672</v>
      </c>
      <c r="N7850" t="str">
        <f>HYPERLINK("https://arizona.app.box.com/file/386241113911")</f>
        <v>https://arizona.app.box.com/file/386241113911</v>
      </c>
    </row>
    <row r="7851" spans="1:25" x14ac:dyDescent="0.2">
      <c r="A7851">
        <v>5679</v>
      </c>
      <c r="B7851" t="s">
        <v>11435</v>
      </c>
      <c r="C7851" t="s">
        <v>18</v>
      </c>
      <c r="D7851" t="s">
        <v>11438</v>
      </c>
      <c r="E7851" t="s">
        <v>9259</v>
      </c>
      <c r="F7851" t="s">
        <v>248</v>
      </c>
      <c r="G7851" t="s">
        <v>265</v>
      </c>
      <c r="J7851" t="b">
        <v>0</v>
      </c>
      <c r="K7851" t="b">
        <v>0</v>
      </c>
      <c r="L7851" t="b">
        <v>0</v>
      </c>
      <c r="M7851" t="str">
        <f>HYPERLINK("https://arizona.app.box.com/file/386244145653")</f>
        <v>https://arizona.app.box.com/file/386244145653</v>
      </c>
    </row>
    <row r="7852" spans="1:25" x14ac:dyDescent="0.2">
      <c r="A7852">
        <v>5680</v>
      </c>
      <c r="B7852" t="s">
        <v>11435</v>
      </c>
      <c r="C7852" t="s">
        <v>18</v>
      </c>
      <c r="D7852" t="s">
        <v>4932</v>
      </c>
      <c r="E7852" t="s">
        <v>4933</v>
      </c>
      <c r="F7852" t="s">
        <v>78</v>
      </c>
      <c r="G7852" t="s">
        <v>88</v>
      </c>
      <c r="J7852" t="b">
        <v>0</v>
      </c>
      <c r="K7852" t="b">
        <v>0</v>
      </c>
      <c r="L7852" t="b">
        <v>0</v>
      </c>
      <c r="M7852" t="str">
        <f>HYPERLINK("https://arizona.app.box.com/file/386235881652")</f>
        <v>https://arizona.app.box.com/file/386235881652</v>
      </c>
    </row>
    <row r="7853" spans="1:25" x14ac:dyDescent="0.2">
      <c r="A7853">
        <v>5681</v>
      </c>
      <c r="B7853" t="s">
        <v>11435</v>
      </c>
      <c r="C7853" t="s">
        <v>18</v>
      </c>
      <c r="D7853" t="s">
        <v>11439</v>
      </c>
      <c r="E7853" t="s">
        <v>11440</v>
      </c>
      <c r="F7853" t="s">
        <v>248</v>
      </c>
      <c r="G7853" t="s">
        <v>864</v>
      </c>
      <c r="J7853" t="b">
        <v>0</v>
      </c>
      <c r="K7853" t="b">
        <v>0</v>
      </c>
      <c r="L7853" t="b">
        <v>0</v>
      </c>
    </row>
    <row r="7854" spans="1:25" x14ac:dyDescent="0.2">
      <c r="A7854">
        <v>5682</v>
      </c>
      <c r="B7854" t="s">
        <v>11435</v>
      </c>
      <c r="C7854" t="s">
        <v>18</v>
      </c>
      <c r="D7854" t="s">
        <v>4960</v>
      </c>
      <c r="E7854" t="s">
        <v>4961</v>
      </c>
      <c r="F7854" t="s">
        <v>78</v>
      </c>
      <c r="G7854" t="s">
        <v>265</v>
      </c>
      <c r="J7854" t="b">
        <v>0</v>
      </c>
      <c r="K7854" t="b">
        <v>0</v>
      </c>
      <c r="L7854" t="b">
        <v>0</v>
      </c>
    </row>
    <row r="7856" spans="1:25" x14ac:dyDescent="0.2">
      <c r="A7856" s="2">
        <v>5684</v>
      </c>
      <c r="B7856" s="2" t="s">
        <v>11441</v>
      </c>
      <c r="C7856" s="2" t="s">
        <v>13</v>
      </c>
      <c r="D7856" s="2" t="s">
        <v>11442</v>
      </c>
      <c r="E7856" s="2" t="s">
        <v>11443</v>
      </c>
      <c r="F7856" s="2" t="s">
        <v>510</v>
      </c>
      <c r="G7856" s="2" t="s">
        <v>88</v>
      </c>
      <c r="H7856" s="2"/>
      <c r="I7856" s="2"/>
      <c r="J7856" s="2"/>
      <c r="K7856" s="2"/>
      <c r="L7856" s="2"/>
      <c r="M7856" s="2"/>
      <c r="N7856" s="2"/>
      <c r="O7856" s="2"/>
      <c r="P7856" s="2"/>
      <c r="Q7856" s="2"/>
      <c r="R7856" s="2"/>
      <c r="S7856" s="2"/>
      <c r="T7856" s="2"/>
      <c r="U7856" s="2"/>
      <c r="V7856" s="2"/>
      <c r="W7856" s="2"/>
      <c r="X7856" s="2"/>
      <c r="Y7856" s="2"/>
    </row>
    <row r="7857" spans="1:25" x14ac:dyDescent="0.2">
      <c r="A7857">
        <v>5685</v>
      </c>
      <c r="B7857" t="s">
        <v>11441</v>
      </c>
      <c r="C7857" t="s">
        <v>18</v>
      </c>
      <c r="D7857" t="s">
        <v>11442</v>
      </c>
      <c r="E7857" t="s">
        <v>11443</v>
      </c>
      <c r="F7857" t="s">
        <v>510</v>
      </c>
      <c r="G7857" t="s">
        <v>88</v>
      </c>
      <c r="J7857" t="b">
        <v>1</v>
      </c>
      <c r="K7857" t="b">
        <v>1</v>
      </c>
      <c r="L7857" t="b">
        <v>1</v>
      </c>
      <c r="M7857" t="str">
        <f>HYPERLINK("https://arizona.app.box.com/file/386232474609")</f>
        <v>https://arizona.app.box.com/file/386232474609</v>
      </c>
      <c r="N7857" t="str">
        <f>HYPERLINK("https://arizona.app.box.com/file/386264848398")</f>
        <v>https://arizona.app.box.com/file/386264848398</v>
      </c>
    </row>
    <row r="7858" spans="1:25" x14ac:dyDescent="0.2">
      <c r="A7858">
        <v>5686</v>
      </c>
      <c r="B7858" t="s">
        <v>11441</v>
      </c>
      <c r="C7858" t="s">
        <v>18</v>
      </c>
      <c r="D7858" t="s">
        <v>11444</v>
      </c>
      <c r="E7858" t="s">
        <v>11445</v>
      </c>
      <c r="F7858" t="s">
        <v>1837</v>
      </c>
      <c r="G7858" t="s">
        <v>130</v>
      </c>
      <c r="J7858" t="b">
        <v>0</v>
      </c>
      <c r="K7858" t="b">
        <v>0</v>
      </c>
      <c r="L7858" t="b">
        <v>0</v>
      </c>
      <c r="M7858" t="str">
        <f>HYPERLINK("https://arizona.app.box.com/file/386213539894")</f>
        <v>https://arizona.app.box.com/file/386213539894</v>
      </c>
      <c r="N7858" t="str">
        <f>HYPERLINK("https://arizona.app.box.com/file/386243108930")</f>
        <v>https://arizona.app.box.com/file/386243108930</v>
      </c>
    </row>
    <row r="7859" spans="1:25" x14ac:dyDescent="0.2">
      <c r="A7859">
        <v>5687</v>
      </c>
      <c r="B7859" t="s">
        <v>11441</v>
      </c>
      <c r="C7859" t="s">
        <v>18</v>
      </c>
      <c r="D7859" t="s">
        <v>4151</v>
      </c>
      <c r="E7859" t="s">
        <v>2082</v>
      </c>
      <c r="F7859" t="s">
        <v>205</v>
      </c>
      <c r="G7859" t="s">
        <v>62</v>
      </c>
      <c r="J7859" t="b">
        <v>0</v>
      </c>
      <c r="K7859" t="b">
        <v>0</v>
      </c>
      <c r="L7859" t="b">
        <v>0</v>
      </c>
      <c r="M7859" t="str">
        <f>HYPERLINK("https://arizona.app.box.com/file/389263527851")</f>
        <v>https://arizona.app.box.com/file/389263527851</v>
      </c>
      <c r="N7859" t="str">
        <f>HYPERLINK("https://arizona.app.box.com/file/389153629380")</f>
        <v>https://arizona.app.box.com/file/389153629380</v>
      </c>
      <c r="O7859" t="str">
        <f>HYPERLINK("https://arizona.app.box.com/file/389255700330")</f>
        <v>https://arizona.app.box.com/file/389255700330</v>
      </c>
    </row>
    <row r="7860" spans="1:25" x14ac:dyDescent="0.2">
      <c r="A7860">
        <v>5688</v>
      </c>
      <c r="B7860" t="s">
        <v>11441</v>
      </c>
      <c r="C7860" t="s">
        <v>18</v>
      </c>
      <c r="D7860" t="s">
        <v>6960</v>
      </c>
      <c r="E7860" t="s">
        <v>4242</v>
      </c>
      <c r="F7860" t="s">
        <v>159</v>
      </c>
      <c r="G7860" t="s">
        <v>88</v>
      </c>
      <c r="J7860" t="b">
        <v>0</v>
      </c>
      <c r="K7860" t="b">
        <v>0</v>
      </c>
      <c r="L7860" t="b">
        <v>0</v>
      </c>
      <c r="M7860" t="str">
        <f>HYPERLINK("https://arizona.app.box.com/file/389178727490")</f>
        <v>https://arizona.app.box.com/file/389178727490</v>
      </c>
      <c r="N7860" t="str">
        <f>HYPERLINK("https://arizona.app.box.com/file/386214957712")</f>
        <v>https://arizona.app.box.com/file/386214957712</v>
      </c>
    </row>
    <row r="7861" spans="1:25" x14ac:dyDescent="0.2">
      <c r="A7861">
        <v>5689</v>
      </c>
      <c r="B7861" t="s">
        <v>11441</v>
      </c>
      <c r="C7861" t="s">
        <v>18</v>
      </c>
      <c r="D7861" t="s">
        <v>3668</v>
      </c>
      <c r="E7861" t="s">
        <v>3669</v>
      </c>
      <c r="F7861" t="s">
        <v>31</v>
      </c>
      <c r="G7861" t="s">
        <v>17</v>
      </c>
      <c r="J7861" t="b">
        <v>0</v>
      </c>
      <c r="K7861" t="b">
        <v>0</v>
      </c>
      <c r="L7861" t="b">
        <v>0</v>
      </c>
      <c r="M7861" t="str">
        <f>HYPERLINK("https://arizona.app.box.com/file/386239904716")</f>
        <v>https://arizona.app.box.com/file/386239904716</v>
      </c>
    </row>
    <row r="7863" spans="1:25" x14ac:dyDescent="0.2">
      <c r="A7863" s="2">
        <v>5719</v>
      </c>
      <c r="B7863" s="2" t="s">
        <v>11446</v>
      </c>
      <c r="C7863" s="2" t="s">
        <v>13</v>
      </c>
      <c r="D7863" s="2" t="s">
        <v>11447</v>
      </c>
      <c r="E7863" s="2" t="s">
        <v>11448</v>
      </c>
      <c r="F7863" s="2" t="s">
        <v>159</v>
      </c>
      <c r="G7863" s="2" t="s">
        <v>6973</v>
      </c>
      <c r="H7863" s="2"/>
      <c r="I7863" s="2"/>
      <c r="J7863" s="2"/>
      <c r="K7863" s="2"/>
      <c r="L7863" s="2"/>
      <c r="M7863" s="2"/>
      <c r="N7863" s="2"/>
      <c r="O7863" s="2"/>
      <c r="P7863" s="2"/>
      <c r="Q7863" s="2"/>
      <c r="R7863" s="2"/>
      <c r="S7863" s="2"/>
      <c r="T7863" s="2"/>
      <c r="U7863" s="2"/>
      <c r="V7863" s="2"/>
      <c r="W7863" s="2"/>
      <c r="X7863" s="2"/>
      <c r="Y7863" s="2"/>
    </row>
    <row r="7864" spans="1:25" x14ac:dyDescent="0.2">
      <c r="A7864">
        <v>5720</v>
      </c>
      <c r="B7864" t="s">
        <v>11446</v>
      </c>
      <c r="C7864" t="s">
        <v>18</v>
      </c>
      <c r="D7864" t="s">
        <v>364</v>
      </c>
      <c r="E7864" t="s">
        <v>365</v>
      </c>
      <c r="F7864" t="s">
        <v>159</v>
      </c>
      <c r="G7864" t="s">
        <v>366</v>
      </c>
      <c r="J7864" t="b">
        <v>1</v>
      </c>
      <c r="K7864" t="b">
        <v>1</v>
      </c>
      <c r="L7864" t="b">
        <v>1</v>
      </c>
      <c r="M7864" t="str">
        <f>HYPERLINK("https://arizona.app.box.com/file/389172731077")</f>
        <v>https://arizona.app.box.com/file/389172731077</v>
      </c>
      <c r="N7864" t="str">
        <f>HYPERLINK("https://arizona.app.box.com/file/386215889956")</f>
        <v>https://arizona.app.box.com/file/386215889956</v>
      </c>
    </row>
    <row r="7865" spans="1:25" x14ac:dyDescent="0.2">
      <c r="A7865">
        <v>5721</v>
      </c>
      <c r="B7865" t="s">
        <v>11446</v>
      </c>
      <c r="C7865" t="s">
        <v>18</v>
      </c>
      <c r="D7865" t="s">
        <v>6950</v>
      </c>
      <c r="E7865" t="s">
        <v>6951</v>
      </c>
      <c r="F7865" t="s">
        <v>159</v>
      </c>
      <c r="G7865" t="s">
        <v>366</v>
      </c>
      <c r="J7865" t="b">
        <v>0</v>
      </c>
      <c r="K7865" t="b">
        <v>0</v>
      </c>
      <c r="L7865" t="b">
        <v>0</v>
      </c>
      <c r="M7865" t="str">
        <f>HYPERLINK("https://arizona.app.box.com/file/389163876384")</f>
        <v>https://arizona.app.box.com/file/389163876384</v>
      </c>
      <c r="N7865" t="str">
        <f>HYPERLINK("https://arizona.app.box.com/file/386225737381")</f>
        <v>https://arizona.app.box.com/file/386225737381</v>
      </c>
    </row>
    <row r="7866" spans="1:25" x14ac:dyDescent="0.2">
      <c r="A7866">
        <v>5722</v>
      </c>
      <c r="B7866" t="s">
        <v>11446</v>
      </c>
      <c r="C7866" t="s">
        <v>18</v>
      </c>
      <c r="D7866" t="s">
        <v>6976</v>
      </c>
      <c r="E7866" t="s">
        <v>6977</v>
      </c>
      <c r="F7866" t="s">
        <v>159</v>
      </c>
      <c r="G7866" t="s">
        <v>366</v>
      </c>
      <c r="J7866" t="b">
        <v>1</v>
      </c>
      <c r="K7866" t="b">
        <v>0</v>
      </c>
      <c r="L7866" t="b">
        <v>1</v>
      </c>
      <c r="M7866" t="str">
        <f>HYPERLINK("https://arizona.app.box.com/file/389173020511")</f>
        <v>https://arizona.app.box.com/file/389173020511</v>
      </c>
      <c r="N7866" t="str">
        <f>HYPERLINK("https://arizona.app.box.com/file/386241081884")</f>
        <v>https://arizona.app.box.com/file/386241081884</v>
      </c>
    </row>
    <row r="7867" spans="1:25" x14ac:dyDescent="0.2">
      <c r="A7867">
        <v>5723</v>
      </c>
      <c r="B7867" t="s">
        <v>11446</v>
      </c>
      <c r="C7867" t="s">
        <v>18</v>
      </c>
      <c r="D7867" t="s">
        <v>6980</v>
      </c>
      <c r="E7867" t="s">
        <v>6981</v>
      </c>
      <c r="F7867" t="s">
        <v>159</v>
      </c>
      <c r="G7867" t="s">
        <v>366</v>
      </c>
      <c r="J7867" t="b">
        <v>0</v>
      </c>
      <c r="K7867" t="b">
        <v>0</v>
      </c>
      <c r="L7867" t="b">
        <v>0</v>
      </c>
      <c r="M7867" t="str">
        <f>HYPERLINK("https://arizona.app.box.com/file/389176684467")</f>
        <v>https://arizona.app.box.com/file/389176684467</v>
      </c>
    </row>
    <row r="7868" spans="1:25" x14ac:dyDescent="0.2">
      <c r="A7868">
        <v>5724</v>
      </c>
      <c r="B7868" t="s">
        <v>11446</v>
      </c>
      <c r="C7868" t="s">
        <v>18</v>
      </c>
      <c r="D7868" t="s">
        <v>6939</v>
      </c>
      <c r="E7868" t="s">
        <v>6940</v>
      </c>
      <c r="F7868" t="s">
        <v>82</v>
      </c>
      <c r="G7868" t="s">
        <v>24</v>
      </c>
      <c r="J7868" t="b">
        <v>0</v>
      </c>
      <c r="K7868" t="b">
        <v>0</v>
      </c>
      <c r="L7868" t="b">
        <v>0</v>
      </c>
      <c r="M7868" t="str">
        <f>HYPERLINK("https://arizona.app.box.com/file/386242553038")</f>
        <v>https://arizona.app.box.com/file/386242553038</v>
      </c>
      <c r="N7868" t="str">
        <f>HYPERLINK("https://arizona.app.box.com/file/386242405216")</f>
        <v>https://arizona.app.box.com/file/386242405216</v>
      </c>
    </row>
    <row r="7870" spans="1:25" x14ac:dyDescent="0.2">
      <c r="A7870" s="2">
        <v>5740</v>
      </c>
      <c r="B7870" s="2" t="s">
        <v>11449</v>
      </c>
      <c r="C7870" s="2" t="s">
        <v>13</v>
      </c>
      <c r="D7870" s="2" t="s">
        <v>6946</v>
      </c>
      <c r="E7870" s="2" t="s">
        <v>11450</v>
      </c>
      <c r="F7870" s="2" t="s">
        <v>82</v>
      </c>
      <c r="G7870" s="2" t="s">
        <v>11451</v>
      </c>
      <c r="H7870" s="2"/>
      <c r="I7870" s="2"/>
      <c r="J7870" s="2"/>
      <c r="K7870" s="2"/>
      <c r="L7870" s="2"/>
      <c r="M7870" s="2"/>
      <c r="N7870" s="2"/>
      <c r="O7870" s="2"/>
      <c r="P7870" s="2"/>
      <c r="Q7870" s="2"/>
      <c r="R7870" s="2"/>
      <c r="S7870" s="2"/>
      <c r="T7870" s="2"/>
      <c r="U7870" s="2"/>
      <c r="V7870" s="2"/>
      <c r="W7870" s="2"/>
      <c r="X7870" s="2"/>
      <c r="Y7870" s="2"/>
    </row>
    <row r="7871" spans="1:25" x14ac:dyDescent="0.2">
      <c r="A7871">
        <v>5741</v>
      </c>
      <c r="B7871" t="s">
        <v>11449</v>
      </c>
      <c r="C7871" t="s">
        <v>18</v>
      </c>
      <c r="D7871" t="s">
        <v>6946</v>
      </c>
      <c r="E7871" t="s">
        <v>6947</v>
      </c>
      <c r="F7871" t="s">
        <v>6948</v>
      </c>
      <c r="G7871" t="s">
        <v>2326</v>
      </c>
      <c r="J7871" t="b">
        <v>1</v>
      </c>
      <c r="K7871" t="b">
        <v>1</v>
      </c>
      <c r="L7871" t="b">
        <v>1</v>
      </c>
      <c r="M7871" t="str">
        <f>HYPERLINK("https://arizona.app.box.com/file/386240259720")</f>
        <v>https://arizona.app.box.com/file/386240259720</v>
      </c>
      <c r="N7871" t="str">
        <f>HYPERLINK("https://arizona.app.box.com/file/386241113911")</f>
        <v>https://arizona.app.box.com/file/386241113911</v>
      </c>
    </row>
    <row r="7872" spans="1:25" x14ac:dyDescent="0.2">
      <c r="A7872">
        <v>5742</v>
      </c>
      <c r="B7872" t="s">
        <v>11449</v>
      </c>
      <c r="C7872" t="s">
        <v>18</v>
      </c>
      <c r="D7872" t="s">
        <v>11452</v>
      </c>
      <c r="E7872" t="s">
        <v>11453</v>
      </c>
      <c r="F7872" t="s">
        <v>82</v>
      </c>
      <c r="G7872" t="s">
        <v>953</v>
      </c>
      <c r="J7872" t="b">
        <v>0</v>
      </c>
      <c r="K7872" t="b">
        <v>0</v>
      </c>
      <c r="L7872" t="b">
        <v>0</v>
      </c>
    </row>
    <row r="7873" spans="1:25" x14ac:dyDescent="0.2">
      <c r="A7873">
        <v>5743</v>
      </c>
      <c r="B7873" t="s">
        <v>11449</v>
      </c>
      <c r="C7873" t="s">
        <v>18</v>
      </c>
      <c r="D7873" t="s">
        <v>11454</v>
      </c>
      <c r="E7873" t="s">
        <v>11455</v>
      </c>
      <c r="F7873" t="s">
        <v>82</v>
      </c>
      <c r="G7873" t="s">
        <v>953</v>
      </c>
      <c r="J7873" t="b">
        <v>0</v>
      </c>
      <c r="K7873" t="b">
        <v>0</v>
      </c>
      <c r="L7873" t="b">
        <v>0</v>
      </c>
    </row>
    <row r="7874" spans="1:25" x14ac:dyDescent="0.2">
      <c r="A7874">
        <v>5744</v>
      </c>
      <c r="B7874" t="s">
        <v>11449</v>
      </c>
      <c r="C7874" t="s">
        <v>18</v>
      </c>
      <c r="D7874" t="s">
        <v>11456</v>
      </c>
      <c r="E7874" t="s">
        <v>11457</v>
      </c>
      <c r="F7874" t="s">
        <v>82</v>
      </c>
      <c r="G7874" t="s">
        <v>953</v>
      </c>
      <c r="J7874" t="b">
        <v>0</v>
      </c>
      <c r="K7874" t="b">
        <v>0</v>
      </c>
      <c r="L7874" t="b">
        <v>0</v>
      </c>
    </row>
    <row r="7875" spans="1:25" x14ac:dyDescent="0.2">
      <c r="A7875">
        <v>5745</v>
      </c>
      <c r="B7875" t="s">
        <v>11449</v>
      </c>
      <c r="C7875" t="s">
        <v>18</v>
      </c>
      <c r="D7875" t="s">
        <v>8625</v>
      </c>
      <c r="E7875" t="s">
        <v>1986</v>
      </c>
      <c r="F7875" t="s">
        <v>1617</v>
      </c>
      <c r="G7875" t="s">
        <v>74</v>
      </c>
      <c r="J7875" t="b">
        <v>0</v>
      </c>
      <c r="K7875" t="b">
        <v>0</v>
      </c>
      <c r="L7875" t="b">
        <v>0</v>
      </c>
      <c r="M7875" t="str">
        <f>HYPERLINK("https://arizona.app.box.com/file/386249310445")</f>
        <v>https://arizona.app.box.com/file/386249310445</v>
      </c>
    </row>
    <row r="7877" spans="1:25" x14ac:dyDescent="0.2">
      <c r="A7877" s="2">
        <v>5803</v>
      </c>
      <c r="B7877" s="2" t="s">
        <v>11458</v>
      </c>
      <c r="C7877" s="2" t="s">
        <v>13</v>
      </c>
      <c r="D7877" s="2" t="s">
        <v>2499</v>
      </c>
      <c r="E7877" s="2" t="s">
        <v>2500</v>
      </c>
      <c r="F7877" s="2" t="s">
        <v>23</v>
      </c>
      <c r="G7877" s="2" t="s">
        <v>130</v>
      </c>
      <c r="H7877" s="2"/>
      <c r="I7877" s="2"/>
      <c r="J7877" s="2"/>
      <c r="K7877" s="2"/>
      <c r="L7877" s="2"/>
      <c r="M7877" s="2"/>
      <c r="N7877" s="2"/>
      <c r="O7877" s="2"/>
      <c r="P7877" s="2"/>
      <c r="Q7877" s="2"/>
      <c r="R7877" s="2"/>
      <c r="S7877" s="2"/>
      <c r="T7877" s="2"/>
      <c r="U7877" s="2"/>
      <c r="V7877" s="2"/>
      <c r="W7877" s="2"/>
      <c r="X7877" s="2"/>
      <c r="Y7877" s="2"/>
    </row>
    <row r="7878" spans="1:25" x14ac:dyDescent="0.2">
      <c r="A7878">
        <v>5804</v>
      </c>
      <c r="B7878" t="s">
        <v>11458</v>
      </c>
      <c r="C7878" t="s">
        <v>18</v>
      </c>
      <c r="D7878" t="s">
        <v>2499</v>
      </c>
      <c r="E7878" t="s">
        <v>2500</v>
      </c>
      <c r="F7878" t="s">
        <v>23</v>
      </c>
      <c r="G7878" t="s">
        <v>130</v>
      </c>
      <c r="J7878" t="b">
        <v>1</v>
      </c>
      <c r="K7878" t="b">
        <v>1</v>
      </c>
      <c r="L7878" t="b">
        <v>1</v>
      </c>
      <c r="M7878" t="str">
        <f>HYPERLINK("https://arizona.app.box.com/file/386254213140")</f>
        <v>https://arizona.app.box.com/file/386254213140</v>
      </c>
      <c r="N7878" t="str">
        <f>HYPERLINK("https://arizona.app.box.com/file/386214323473")</f>
        <v>https://arizona.app.box.com/file/386214323473</v>
      </c>
    </row>
    <row r="7879" spans="1:25" x14ac:dyDescent="0.2">
      <c r="A7879">
        <v>5805</v>
      </c>
      <c r="B7879" t="s">
        <v>11458</v>
      </c>
      <c r="C7879" t="s">
        <v>18</v>
      </c>
      <c r="D7879" t="s">
        <v>11459</v>
      </c>
      <c r="E7879" t="s">
        <v>11460</v>
      </c>
      <c r="F7879" t="s">
        <v>23</v>
      </c>
      <c r="G7879" t="s">
        <v>130</v>
      </c>
      <c r="J7879" t="b">
        <v>0</v>
      </c>
      <c r="K7879" t="b">
        <v>0</v>
      </c>
      <c r="L7879" t="b">
        <v>0</v>
      </c>
    </row>
    <row r="7880" spans="1:25" x14ac:dyDescent="0.2">
      <c r="A7880">
        <v>5806</v>
      </c>
      <c r="B7880" t="s">
        <v>11458</v>
      </c>
      <c r="C7880" t="s">
        <v>18</v>
      </c>
      <c r="D7880" t="s">
        <v>11461</v>
      </c>
      <c r="E7880" t="s">
        <v>11462</v>
      </c>
      <c r="F7880" t="s">
        <v>23</v>
      </c>
      <c r="G7880" t="s">
        <v>130</v>
      </c>
      <c r="J7880" t="b">
        <v>0</v>
      </c>
      <c r="K7880" t="b">
        <v>0</v>
      </c>
      <c r="L7880" t="b">
        <v>0</v>
      </c>
      <c r="M7880" t="str">
        <f>HYPERLINK("https://arizona.app.box.com/file/386240156520")</f>
        <v>https://arizona.app.box.com/file/386240156520</v>
      </c>
      <c r="N7880" t="str">
        <f>HYPERLINK("https://arizona.app.box.com/file/386240043246")</f>
        <v>https://arizona.app.box.com/file/386240043246</v>
      </c>
    </row>
    <row r="7881" spans="1:25" x14ac:dyDescent="0.2">
      <c r="A7881">
        <v>5807</v>
      </c>
      <c r="B7881" t="s">
        <v>11458</v>
      </c>
      <c r="C7881" t="s">
        <v>18</v>
      </c>
      <c r="D7881" t="s">
        <v>11463</v>
      </c>
      <c r="E7881" t="s">
        <v>11464</v>
      </c>
      <c r="F7881" t="s">
        <v>23</v>
      </c>
      <c r="G7881" t="s">
        <v>130</v>
      </c>
      <c r="J7881" t="b">
        <v>0</v>
      </c>
      <c r="K7881" t="b">
        <v>0</v>
      </c>
      <c r="L7881" t="b">
        <v>0</v>
      </c>
      <c r="M7881" t="str">
        <f>HYPERLINK("https://arizona.app.box.com/file/386242964471")</f>
        <v>https://arizona.app.box.com/file/386242964471</v>
      </c>
      <c r="N7881" t="str">
        <f>HYPERLINK("https://arizona.app.box.com/file/386216191999")</f>
        <v>https://arizona.app.box.com/file/386216191999</v>
      </c>
    </row>
    <row r="7882" spans="1:25" x14ac:dyDescent="0.2">
      <c r="A7882">
        <v>5808</v>
      </c>
      <c r="B7882" t="s">
        <v>11458</v>
      </c>
      <c r="C7882" t="s">
        <v>18</v>
      </c>
      <c r="D7882" t="s">
        <v>2872</v>
      </c>
      <c r="E7882" t="s">
        <v>2873</v>
      </c>
      <c r="F7882" t="s">
        <v>2874</v>
      </c>
      <c r="G7882" t="s">
        <v>130</v>
      </c>
      <c r="J7882" t="b">
        <v>0</v>
      </c>
      <c r="K7882" t="b">
        <v>0</v>
      </c>
      <c r="L7882" t="b">
        <v>0</v>
      </c>
      <c r="M7882" t="str">
        <f>HYPERLINK("https://arizona.app.box.com/file/386213422056")</f>
        <v>https://arizona.app.box.com/file/386213422056</v>
      </c>
      <c r="N7882" t="str">
        <f>HYPERLINK("https://arizona.app.box.com/file/386212954407")</f>
        <v>https://arizona.app.box.com/file/386212954407</v>
      </c>
    </row>
    <row r="7884" spans="1:25" x14ac:dyDescent="0.2">
      <c r="A7884" s="2">
        <v>5817</v>
      </c>
      <c r="B7884" s="2" t="s">
        <v>11465</v>
      </c>
      <c r="C7884" s="2" t="s">
        <v>13</v>
      </c>
      <c r="D7884" s="2" t="s">
        <v>11466</v>
      </c>
      <c r="E7884" s="2" t="s">
        <v>11467</v>
      </c>
      <c r="F7884" s="2" t="s">
        <v>78</v>
      </c>
      <c r="G7884" s="2" t="s">
        <v>2208</v>
      </c>
      <c r="H7884" s="2"/>
      <c r="I7884" s="2"/>
      <c r="J7884" s="2"/>
      <c r="K7884" s="2"/>
      <c r="L7884" s="2"/>
      <c r="M7884" s="2"/>
      <c r="N7884" s="2"/>
      <c r="O7884" s="2"/>
      <c r="P7884" s="2"/>
      <c r="Q7884" s="2"/>
      <c r="R7884" s="2"/>
      <c r="S7884" s="2"/>
      <c r="T7884" s="2"/>
      <c r="U7884" s="2"/>
      <c r="V7884" s="2"/>
      <c r="W7884" s="2"/>
      <c r="X7884" s="2"/>
      <c r="Y7884" s="2"/>
    </row>
    <row r="7885" spans="1:25" x14ac:dyDescent="0.2">
      <c r="A7885">
        <v>5818</v>
      </c>
      <c r="B7885" t="s">
        <v>11465</v>
      </c>
      <c r="C7885" t="s">
        <v>18</v>
      </c>
      <c r="D7885" t="s">
        <v>11466</v>
      </c>
      <c r="E7885" t="s">
        <v>11467</v>
      </c>
      <c r="F7885" t="s">
        <v>78</v>
      </c>
      <c r="G7885" t="s">
        <v>2208</v>
      </c>
      <c r="J7885" t="b">
        <v>1</v>
      </c>
      <c r="K7885" t="b">
        <v>1</v>
      </c>
      <c r="L7885" t="b">
        <v>1</v>
      </c>
      <c r="M7885" t="str">
        <f>HYPERLINK("https://arizona.app.box.com/file/389264569967")</f>
        <v>https://arizona.app.box.com/file/389264569967</v>
      </c>
      <c r="N7885" t="str">
        <f>HYPERLINK("https://arizona.app.box.com/file/389165305295")</f>
        <v>https://arizona.app.box.com/file/389165305295</v>
      </c>
      <c r="O7885" t="str">
        <f>HYPERLINK("https://arizona.app.box.com/file/389263415820")</f>
        <v>https://arizona.app.box.com/file/389263415820</v>
      </c>
      <c r="P7885" t="str">
        <f>HYPERLINK("https://arizona.app.box.com/file/389169059956")</f>
        <v>https://arizona.app.box.com/file/389169059956</v>
      </c>
    </row>
    <row r="7886" spans="1:25" x14ac:dyDescent="0.2">
      <c r="A7886">
        <v>5819</v>
      </c>
      <c r="B7886" t="s">
        <v>11465</v>
      </c>
      <c r="C7886" t="s">
        <v>18</v>
      </c>
      <c r="D7886" t="s">
        <v>11468</v>
      </c>
      <c r="E7886" t="s">
        <v>188</v>
      </c>
      <c r="F7886" t="s">
        <v>78</v>
      </c>
      <c r="G7886" t="s">
        <v>32</v>
      </c>
      <c r="J7886" t="b">
        <v>0</v>
      </c>
      <c r="K7886" t="b">
        <v>0</v>
      </c>
      <c r="L7886" t="b">
        <v>0</v>
      </c>
      <c r="M7886" t="str">
        <f>HYPERLINK("https://arizona.app.box.com/file/389176357525")</f>
        <v>https://arizona.app.box.com/file/389176357525</v>
      </c>
      <c r="N7886" t="str">
        <f>HYPERLINK("https://arizona.app.box.com/file/386237680874")</f>
        <v>https://arizona.app.box.com/file/386237680874</v>
      </c>
    </row>
    <row r="7887" spans="1:25" x14ac:dyDescent="0.2">
      <c r="A7887">
        <v>5820</v>
      </c>
      <c r="B7887" t="s">
        <v>11465</v>
      </c>
      <c r="C7887" t="s">
        <v>18</v>
      </c>
      <c r="D7887" t="s">
        <v>380</v>
      </c>
      <c r="E7887" t="s">
        <v>381</v>
      </c>
      <c r="F7887" t="s">
        <v>31</v>
      </c>
      <c r="G7887" t="s">
        <v>24</v>
      </c>
      <c r="J7887" t="b">
        <v>0</v>
      </c>
      <c r="K7887" t="b">
        <v>0</v>
      </c>
      <c r="L7887" t="b">
        <v>0</v>
      </c>
      <c r="M7887" t="str">
        <f>HYPERLINK("https://arizona.app.box.com/file/389172430439")</f>
        <v>https://arizona.app.box.com/file/389172430439</v>
      </c>
      <c r="N7887" t="str">
        <f>HYPERLINK("https://arizona.app.box.com/file/386238663428")</f>
        <v>https://arizona.app.box.com/file/386238663428</v>
      </c>
    </row>
    <row r="7888" spans="1:25" x14ac:dyDescent="0.2">
      <c r="A7888">
        <v>5821</v>
      </c>
      <c r="B7888" t="s">
        <v>11465</v>
      </c>
      <c r="C7888" t="s">
        <v>18</v>
      </c>
      <c r="D7888" t="s">
        <v>11469</v>
      </c>
      <c r="E7888" t="s">
        <v>11470</v>
      </c>
      <c r="F7888" t="s">
        <v>78</v>
      </c>
      <c r="G7888" t="s">
        <v>94</v>
      </c>
      <c r="J7888" t="b">
        <v>0</v>
      </c>
      <c r="K7888" t="b">
        <v>0</v>
      </c>
      <c r="L7888" t="b">
        <v>0</v>
      </c>
      <c r="M7888" t="str">
        <f>HYPERLINK("https://arizona.app.box.com/file/386218629374")</f>
        <v>https://arizona.app.box.com/file/386218629374</v>
      </c>
    </row>
    <row r="7889" spans="1:25" x14ac:dyDescent="0.2">
      <c r="A7889">
        <v>5822</v>
      </c>
      <c r="B7889" t="s">
        <v>11465</v>
      </c>
      <c r="C7889" t="s">
        <v>18</v>
      </c>
      <c r="D7889" t="s">
        <v>382</v>
      </c>
      <c r="E7889" t="s">
        <v>381</v>
      </c>
      <c r="F7889" t="s">
        <v>20</v>
      </c>
      <c r="G7889" t="s">
        <v>24</v>
      </c>
      <c r="J7889" t="b">
        <v>0</v>
      </c>
      <c r="K7889" t="b">
        <v>0</v>
      </c>
      <c r="L7889" t="b">
        <v>0</v>
      </c>
      <c r="M7889" t="str">
        <f>HYPERLINK("https://arizona.app.box.com/file/386237350867")</f>
        <v>https://arizona.app.box.com/file/386237350867</v>
      </c>
    </row>
    <row r="7891" spans="1:25" x14ac:dyDescent="0.2">
      <c r="A7891" s="2">
        <v>5824</v>
      </c>
      <c r="B7891" s="2" t="s">
        <v>11471</v>
      </c>
      <c r="C7891" s="2" t="s">
        <v>13</v>
      </c>
      <c r="D7891" s="2" t="s">
        <v>11472</v>
      </c>
      <c r="E7891" s="2" t="s">
        <v>11473</v>
      </c>
      <c r="F7891" s="2" t="s">
        <v>159</v>
      </c>
      <c r="G7891" s="2" t="s">
        <v>1867</v>
      </c>
      <c r="H7891" s="2"/>
      <c r="I7891" s="2"/>
      <c r="J7891" s="2"/>
      <c r="K7891" s="2"/>
      <c r="L7891" s="2"/>
      <c r="M7891" s="2"/>
      <c r="N7891" s="2"/>
      <c r="O7891" s="2"/>
      <c r="P7891" s="2"/>
      <c r="Q7891" s="2"/>
      <c r="R7891" s="2"/>
      <c r="S7891" s="2"/>
      <c r="T7891" s="2"/>
      <c r="U7891" s="2"/>
      <c r="V7891" s="2"/>
      <c r="W7891" s="2"/>
      <c r="X7891" s="2"/>
      <c r="Y7891" s="2"/>
    </row>
    <row r="7892" spans="1:25" x14ac:dyDescent="0.2">
      <c r="A7892">
        <v>5825</v>
      </c>
      <c r="B7892" t="s">
        <v>11471</v>
      </c>
      <c r="C7892" t="s">
        <v>18</v>
      </c>
      <c r="D7892" t="s">
        <v>11474</v>
      </c>
      <c r="E7892" t="s">
        <v>11475</v>
      </c>
      <c r="F7892" t="s">
        <v>168</v>
      </c>
      <c r="G7892" t="s">
        <v>1867</v>
      </c>
      <c r="J7892" t="b">
        <v>0</v>
      </c>
      <c r="K7892" t="b">
        <v>0</v>
      </c>
      <c r="L7892" t="b">
        <v>0</v>
      </c>
    </row>
    <row r="7893" spans="1:25" x14ac:dyDescent="0.2">
      <c r="A7893">
        <v>5826</v>
      </c>
      <c r="B7893" t="s">
        <v>11471</v>
      </c>
      <c r="C7893" t="s">
        <v>18</v>
      </c>
      <c r="D7893" t="s">
        <v>5748</v>
      </c>
      <c r="E7893" t="s">
        <v>5749</v>
      </c>
      <c r="F7893" t="s">
        <v>78</v>
      </c>
      <c r="G7893" t="s">
        <v>502</v>
      </c>
      <c r="J7893" t="b">
        <v>0</v>
      </c>
      <c r="K7893" t="b">
        <v>0</v>
      </c>
      <c r="L7893" t="b">
        <v>0</v>
      </c>
      <c r="M7893" t="str">
        <f>HYPERLINK("https://arizona.app.box.com/file/389164810687")</f>
        <v>https://arizona.app.box.com/file/389164810687</v>
      </c>
    </row>
    <row r="7894" spans="1:25" x14ac:dyDescent="0.2">
      <c r="A7894">
        <v>5827</v>
      </c>
      <c r="B7894" t="s">
        <v>11471</v>
      </c>
      <c r="C7894" t="s">
        <v>18</v>
      </c>
      <c r="D7894" t="s">
        <v>5742</v>
      </c>
      <c r="E7894" t="s">
        <v>5743</v>
      </c>
      <c r="F7894" t="s">
        <v>78</v>
      </c>
      <c r="G7894" t="s">
        <v>280</v>
      </c>
      <c r="J7894" t="b">
        <v>0</v>
      </c>
      <c r="K7894" t="b">
        <v>0</v>
      </c>
      <c r="L7894" t="b">
        <v>0</v>
      </c>
      <c r="M7894" t="str">
        <f>HYPERLINK("https://arizona.app.box.com/file/389162891410")</f>
        <v>https://arizona.app.box.com/file/389162891410</v>
      </c>
    </row>
    <row r="7895" spans="1:25" x14ac:dyDescent="0.2">
      <c r="A7895">
        <v>5828</v>
      </c>
      <c r="B7895" t="s">
        <v>11471</v>
      </c>
      <c r="C7895" t="s">
        <v>18</v>
      </c>
      <c r="D7895" t="s">
        <v>5745</v>
      </c>
      <c r="E7895" t="s">
        <v>5746</v>
      </c>
      <c r="F7895" t="s">
        <v>78</v>
      </c>
      <c r="G7895" t="s">
        <v>280</v>
      </c>
      <c r="J7895" t="b">
        <v>0</v>
      </c>
      <c r="K7895" t="b">
        <v>0</v>
      </c>
      <c r="L7895" t="b">
        <v>0</v>
      </c>
      <c r="M7895" t="str">
        <f>HYPERLINK("https://arizona.app.box.com/file/389171918927")</f>
        <v>https://arizona.app.box.com/file/389171918927</v>
      </c>
    </row>
    <row r="7896" spans="1:25" x14ac:dyDescent="0.2">
      <c r="A7896">
        <v>5829</v>
      </c>
      <c r="B7896" t="s">
        <v>11471</v>
      </c>
      <c r="C7896" t="s">
        <v>18</v>
      </c>
      <c r="D7896" t="s">
        <v>9015</v>
      </c>
      <c r="E7896" t="s">
        <v>2814</v>
      </c>
      <c r="F7896" t="s">
        <v>174</v>
      </c>
      <c r="G7896" t="s">
        <v>24</v>
      </c>
      <c r="J7896" t="b">
        <v>0</v>
      </c>
      <c r="K7896" t="b">
        <v>0</v>
      </c>
      <c r="L7896" t="b">
        <v>0</v>
      </c>
      <c r="M7896" t="str">
        <f>HYPERLINK("https://arizona.app.box.com/file/389164206127")</f>
        <v>https://arizona.app.box.com/file/389164206127</v>
      </c>
      <c r="N7896" t="str">
        <f>HYPERLINK("https://arizona.app.box.com/file/386243844895")</f>
        <v>https://arizona.app.box.com/file/386243844895</v>
      </c>
    </row>
    <row r="7898" spans="1:25" x14ac:dyDescent="0.2">
      <c r="A7898" s="2">
        <v>5852</v>
      </c>
      <c r="B7898" s="2" t="s">
        <v>11476</v>
      </c>
      <c r="C7898" s="2" t="s">
        <v>13</v>
      </c>
      <c r="D7898" s="2" t="s">
        <v>11477</v>
      </c>
      <c r="E7898" s="2" t="s">
        <v>11478</v>
      </c>
      <c r="F7898" s="2" t="s">
        <v>151</v>
      </c>
      <c r="G7898" s="2" t="s">
        <v>24</v>
      </c>
      <c r="H7898" s="2"/>
      <c r="I7898" s="2"/>
      <c r="J7898" s="2"/>
      <c r="K7898" s="2"/>
      <c r="L7898" s="2"/>
      <c r="M7898" s="2"/>
      <c r="N7898" s="2"/>
      <c r="O7898" s="2"/>
      <c r="P7898" s="2"/>
      <c r="Q7898" s="2"/>
      <c r="R7898" s="2"/>
      <c r="S7898" s="2"/>
      <c r="T7898" s="2"/>
      <c r="U7898" s="2"/>
      <c r="V7898" s="2"/>
      <c r="W7898" s="2"/>
      <c r="X7898" s="2"/>
      <c r="Y7898" s="2"/>
    </row>
    <row r="7899" spans="1:25" x14ac:dyDescent="0.2">
      <c r="A7899">
        <v>5853</v>
      </c>
      <c r="B7899" t="s">
        <v>11476</v>
      </c>
      <c r="C7899" t="s">
        <v>18</v>
      </c>
      <c r="D7899" t="s">
        <v>11477</v>
      </c>
      <c r="E7899" t="s">
        <v>170</v>
      </c>
      <c r="F7899" t="s">
        <v>151</v>
      </c>
      <c r="G7899" t="s">
        <v>24</v>
      </c>
      <c r="J7899" t="b">
        <v>1</v>
      </c>
      <c r="K7899" t="b">
        <v>1</v>
      </c>
      <c r="L7899" t="b">
        <v>1</v>
      </c>
      <c r="M7899" t="str">
        <f>HYPERLINK("https://arizona.app.box.com/file/389256285198")</f>
        <v>https://arizona.app.box.com/file/389256285198</v>
      </c>
      <c r="N7899" t="str">
        <f>HYPERLINK("https://arizona.app.box.com/file/389167487534")</f>
        <v>https://arizona.app.box.com/file/389167487534</v>
      </c>
    </row>
    <row r="7900" spans="1:25" x14ac:dyDescent="0.2">
      <c r="A7900">
        <v>5854</v>
      </c>
      <c r="B7900" t="s">
        <v>11476</v>
      </c>
      <c r="C7900" t="s">
        <v>18</v>
      </c>
      <c r="D7900" t="s">
        <v>11479</v>
      </c>
      <c r="E7900" t="s">
        <v>10393</v>
      </c>
      <c r="F7900" t="s">
        <v>151</v>
      </c>
      <c r="G7900" t="s">
        <v>24</v>
      </c>
      <c r="J7900" t="b">
        <v>1</v>
      </c>
      <c r="K7900" t="b">
        <v>0</v>
      </c>
      <c r="L7900" t="b">
        <v>1</v>
      </c>
      <c r="M7900" t="str">
        <f>HYPERLINK("https://arizona.app.box.com/file/386240563606")</f>
        <v>https://arizona.app.box.com/file/386240563606</v>
      </c>
    </row>
    <row r="7901" spans="1:25" x14ac:dyDescent="0.2">
      <c r="A7901">
        <v>5855</v>
      </c>
      <c r="B7901" t="s">
        <v>11476</v>
      </c>
      <c r="C7901" t="s">
        <v>18</v>
      </c>
      <c r="D7901" t="s">
        <v>2905</v>
      </c>
      <c r="E7901" t="s">
        <v>2906</v>
      </c>
      <c r="F7901" t="s">
        <v>174</v>
      </c>
      <c r="G7901" t="s">
        <v>17</v>
      </c>
      <c r="J7901" t="b">
        <v>0</v>
      </c>
      <c r="K7901" t="b">
        <v>0</v>
      </c>
      <c r="L7901" t="b">
        <v>0</v>
      </c>
      <c r="M7901" t="str">
        <f>HYPERLINK("https://arizona.app.box.com/file/389171583505")</f>
        <v>https://arizona.app.box.com/file/389171583505</v>
      </c>
      <c r="N7901" t="str">
        <f>HYPERLINK("https://arizona.app.box.com/file/386216611536")</f>
        <v>https://arizona.app.box.com/file/386216611536</v>
      </c>
    </row>
    <row r="7902" spans="1:25" x14ac:dyDescent="0.2">
      <c r="A7902">
        <v>5856</v>
      </c>
      <c r="B7902" t="s">
        <v>11476</v>
      </c>
      <c r="C7902" t="s">
        <v>18</v>
      </c>
      <c r="D7902" t="s">
        <v>10554</v>
      </c>
      <c r="E7902" t="s">
        <v>10555</v>
      </c>
      <c r="F7902" t="s">
        <v>78</v>
      </c>
      <c r="G7902" t="s">
        <v>24</v>
      </c>
      <c r="J7902" t="b">
        <v>0</v>
      </c>
      <c r="K7902" t="b">
        <v>0</v>
      </c>
      <c r="L7902" t="b">
        <v>0</v>
      </c>
    </row>
    <row r="7903" spans="1:25" x14ac:dyDescent="0.2">
      <c r="A7903">
        <v>5857</v>
      </c>
      <c r="B7903" t="s">
        <v>11476</v>
      </c>
      <c r="C7903" t="s">
        <v>18</v>
      </c>
      <c r="D7903" t="s">
        <v>2901</v>
      </c>
      <c r="E7903" t="s">
        <v>2903</v>
      </c>
      <c r="F7903" t="s">
        <v>78</v>
      </c>
      <c r="G7903" t="s">
        <v>88</v>
      </c>
      <c r="J7903" t="b">
        <v>0</v>
      </c>
      <c r="K7903" t="b">
        <v>0</v>
      </c>
      <c r="L7903" t="b">
        <v>0</v>
      </c>
      <c r="M7903" t="str">
        <f>HYPERLINK("https://arizona.app.box.com/file/389174697644")</f>
        <v>https://arizona.app.box.com/file/389174697644</v>
      </c>
    </row>
    <row r="7905" spans="1:25" x14ac:dyDescent="0.2">
      <c r="A7905" s="2">
        <v>588</v>
      </c>
      <c r="B7905" s="2" t="s">
        <v>11480</v>
      </c>
      <c r="C7905" s="2" t="s">
        <v>13</v>
      </c>
      <c r="D7905" s="2" t="s">
        <v>25</v>
      </c>
      <c r="E7905" s="2" t="s">
        <v>26</v>
      </c>
      <c r="F7905" s="2" t="s">
        <v>27</v>
      </c>
      <c r="G7905" s="2" t="s">
        <v>255</v>
      </c>
      <c r="H7905" s="2"/>
      <c r="I7905" s="2"/>
      <c r="J7905" s="2"/>
      <c r="K7905" s="2"/>
      <c r="L7905" s="2"/>
      <c r="M7905" s="2"/>
      <c r="N7905" s="2"/>
      <c r="O7905" s="2"/>
      <c r="P7905" s="2"/>
      <c r="Q7905" s="2"/>
      <c r="R7905" s="2"/>
      <c r="S7905" s="2"/>
      <c r="T7905" s="2"/>
      <c r="U7905" s="2"/>
      <c r="V7905" s="2"/>
      <c r="W7905" s="2"/>
      <c r="X7905" s="2"/>
      <c r="Y7905" s="2"/>
    </row>
    <row r="7906" spans="1:25" x14ac:dyDescent="0.2">
      <c r="A7906">
        <v>589</v>
      </c>
      <c r="B7906" t="s">
        <v>11480</v>
      </c>
      <c r="C7906" t="s">
        <v>18</v>
      </c>
      <c r="D7906" t="s">
        <v>25</v>
      </c>
      <c r="E7906" t="s">
        <v>26</v>
      </c>
      <c r="F7906" t="s">
        <v>27</v>
      </c>
      <c r="G7906" t="s">
        <v>28</v>
      </c>
      <c r="J7906" t="b">
        <v>1</v>
      </c>
      <c r="K7906" t="b">
        <v>1</v>
      </c>
      <c r="L7906" t="b">
        <v>1</v>
      </c>
      <c r="M7906" t="str">
        <f>HYPERLINK("https://arizona.app.box.com/file/386250781372")</f>
        <v>https://arizona.app.box.com/file/386250781372</v>
      </c>
      <c r="N7906" t="str">
        <f>HYPERLINK("https://arizona.app.box.com/file/386243647249")</f>
        <v>https://arizona.app.box.com/file/386243647249</v>
      </c>
    </row>
    <row r="7907" spans="1:25" x14ac:dyDescent="0.2">
      <c r="A7907">
        <v>590</v>
      </c>
      <c r="B7907" t="s">
        <v>11480</v>
      </c>
      <c r="C7907" t="s">
        <v>18</v>
      </c>
      <c r="D7907" t="s">
        <v>11481</v>
      </c>
      <c r="E7907" t="s">
        <v>11482</v>
      </c>
      <c r="F7907" t="s">
        <v>27</v>
      </c>
      <c r="G7907" t="s">
        <v>17</v>
      </c>
      <c r="J7907" t="b">
        <v>0</v>
      </c>
      <c r="K7907" t="b">
        <v>0</v>
      </c>
      <c r="L7907" t="b">
        <v>0</v>
      </c>
      <c r="M7907" t="str">
        <f>HYPERLINK("https://arizona.app.box.com/file/389151791885")</f>
        <v>https://arizona.app.box.com/file/389151791885</v>
      </c>
      <c r="N7907" t="str">
        <f>HYPERLINK("https://arizona.app.box.com/file/386251546143")</f>
        <v>https://arizona.app.box.com/file/386251546143</v>
      </c>
    </row>
    <row r="7908" spans="1:25" x14ac:dyDescent="0.2">
      <c r="A7908">
        <v>591</v>
      </c>
      <c r="B7908" t="s">
        <v>11480</v>
      </c>
      <c r="C7908" t="s">
        <v>18</v>
      </c>
      <c r="D7908" t="s">
        <v>14</v>
      </c>
      <c r="E7908" t="s">
        <v>19</v>
      </c>
      <c r="F7908" t="s">
        <v>20</v>
      </c>
      <c r="G7908" t="s">
        <v>17</v>
      </c>
      <c r="J7908" t="b">
        <v>0</v>
      </c>
      <c r="K7908" t="b">
        <v>0</v>
      </c>
      <c r="L7908" t="b">
        <v>0</v>
      </c>
      <c r="M7908" t="str">
        <f>HYPERLINK("https://arizona.app.box.com/file/389265712504")</f>
        <v>https://arizona.app.box.com/file/389265712504</v>
      </c>
      <c r="N7908" t="str">
        <f>HYPERLINK("https://arizona.app.box.com/file/389166698189")</f>
        <v>https://arizona.app.box.com/file/389166698189</v>
      </c>
    </row>
    <row r="7909" spans="1:25" x14ac:dyDescent="0.2">
      <c r="A7909">
        <v>592</v>
      </c>
      <c r="B7909" t="s">
        <v>11480</v>
      </c>
      <c r="C7909" t="s">
        <v>18</v>
      </c>
      <c r="D7909" t="s">
        <v>21</v>
      </c>
      <c r="E7909" t="s">
        <v>22</v>
      </c>
      <c r="F7909" t="s">
        <v>23</v>
      </c>
      <c r="G7909" t="s">
        <v>24</v>
      </c>
      <c r="J7909" t="b">
        <v>0</v>
      </c>
      <c r="K7909" t="b">
        <v>0</v>
      </c>
      <c r="L7909" t="b">
        <v>0</v>
      </c>
      <c r="M7909" t="str">
        <f>HYPERLINK("https://arizona.app.box.com/file/389268395077")</f>
        <v>https://arizona.app.box.com/file/389268395077</v>
      </c>
      <c r="N7909" t="str">
        <f>HYPERLINK("https://arizona.app.box.com/file/389164468262")</f>
        <v>https://arizona.app.box.com/file/389164468262</v>
      </c>
    </row>
    <row r="7910" spans="1:25" x14ac:dyDescent="0.2">
      <c r="A7910">
        <v>593</v>
      </c>
      <c r="B7910" t="s">
        <v>11480</v>
      </c>
      <c r="C7910" t="s">
        <v>18</v>
      </c>
      <c r="D7910" t="s">
        <v>29</v>
      </c>
      <c r="E7910" t="s">
        <v>30</v>
      </c>
      <c r="F7910" t="s">
        <v>31</v>
      </c>
      <c r="G7910" t="s">
        <v>32</v>
      </c>
      <c r="J7910" t="b">
        <v>0</v>
      </c>
      <c r="K7910" t="b">
        <v>0</v>
      </c>
      <c r="L7910" t="b">
        <v>0</v>
      </c>
    </row>
    <row r="7912" spans="1:25" x14ac:dyDescent="0.2">
      <c r="A7912" s="2">
        <v>5894</v>
      </c>
      <c r="B7912" s="2" t="s">
        <v>11483</v>
      </c>
      <c r="C7912" s="2" t="s">
        <v>13</v>
      </c>
      <c r="D7912" s="2" t="s">
        <v>9784</v>
      </c>
      <c r="E7912" s="2" t="s">
        <v>11484</v>
      </c>
      <c r="F7912" s="2" t="s">
        <v>23</v>
      </c>
      <c r="G7912" s="2" t="s">
        <v>88</v>
      </c>
      <c r="H7912" s="2"/>
      <c r="I7912" s="2"/>
      <c r="J7912" s="2"/>
      <c r="K7912" s="2"/>
      <c r="L7912" s="2"/>
      <c r="M7912" s="2"/>
      <c r="N7912" s="2"/>
      <c r="O7912" s="2"/>
      <c r="P7912" s="2"/>
      <c r="Q7912" s="2"/>
      <c r="R7912" s="2"/>
      <c r="S7912" s="2"/>
      <c r="T7912" s="2"/>
      <c r="U7912" s="2"/>
      <c r="V7912" s="2"/>
      <c r="W7912" s="2"/>
      <c r="X7912" s="2"/>
      <c r="Y7912" s="2"/>
    </row>
    <row r="7913" spans="1:25" x14ac:dyDescent="0.2">
      <c r="A7913">
        <v>5895</v>
      </c>
      <c r="B7913" t="s">
        <v>11483</v>
      </c>
      <c r="C7913" t="s">
        <v>18</v>
      </c>
      <c r="D7913" t="s">
        <v>9784</v>
      </c>
      <c r="E7913" t="s">
        <v>3197</v>
      </c>
      <c r="F7913" t="s">
        <v>23</v>
      </c>
      <c r="G7913" t="s">
        <v>88</v>
      </c>
      <c r="J7913" t="b">
        <v>1</v>
      </c>
      <c r="K7913" t="b">
        <v>1</v>
      </c>
      <c r="L7913" t="b">
        <v>1</v>
      </c>
      <c r="M7913" t="str">
        <f>HYPERLINK("https://arizona.app.box.com/file/389268161844")</f>
        <v>https://arizona.app.box.com/file/389268161844</v>
      </c>
      <c r="N7913" t="str">
        <f>HYPERLINK("https://arizona.app.box.com/file/389153343920")</f>
        <v>https://arizona.app.box.com/file/389153343920</v>
      </c>
    </row>
    <row r="7914" spans="1:25" x14ac:dyDescent="0.2">
      <c r="A7914">
        <v>5896</v>
      </c>
      <c r="B7914" t="s">
        <v>11483</v>
      </c>
      <c r="C7914" t="s">
        <v>18</v>
      </c>
      <c r="D7914" t="s">
        <v>11485</v>
      </c>
      <c r="E7914" t="s">
        <v>11486</v>
      </c>
      <c r="F7914" t="s">
        <v>23</v>
      </c>
      <c r="G7914" t="s">
        <v>88</v>
      </c>
      <c r="J7914" t="b">
        <v>0</v>
      </c>
      <c r="K7914" t="b">
        <v>0</v>
      </c>
      <c r="L7914" t="b">
        <v>0</v>
      </c>
    </row>
    <row r="7915" spans="1:25" x14ac:dyDescent="0.2">
      <c r="A7915">
        <v>5897</v>
      </c>
      <c r="B7915" t="s">
        <v>11483</v>
      </c>
      <c r="C7915" t="s">
        <v>18</v>
      </c>
      <c r="D7915" t="s">
        <v>11487</v>
      </c>
      <c r="E7915" t="s">
        <v>11488</v>
      </c>
      <c r="F7915" t="s">
        <v>23</v>
      </c>
      <c r="G7915" t="s">
        <v>280</v>
      </c>
      <c r="J7915" t="b">
        <v>0</v>
      </c>
      <c r="K7915" t="b">
        <v>0</v>
      </c>
      <c r="L7915" t="b">
        <v>0</v>
      </c>
    </row>
    <row r="7916" spans="1:25" x14ac:dyDescent="0.2">
      <c r="A7916">
        <v>5898</v>
      </c>
      <c r="B7916" t="s">
        <v>11483</v>
      </c>
      <c r="C7916" t="s">
        <v>18</v>
      </c>
      <c r="D7916" t="s">
        <v>11489</v>
      </c>
      <c r="E7916" t="s">
        <v>11490</v>
      </c>
      <c r="F7916" t="s">
        <v>23</v>
      </c>
      <c r="G7916" t="s">
        <v>88</v>
      </c>
      <c r="J7916" t="b">
        <v>0</v>
      </c>
      <c r="K7916" t="b">
        <v>0</v>
      </c>
      <c r="L7916" t="b">
        <v>0</v>
      </c>
    </row>
    <row r="7917" spans="1:25" x14ac:dyDescent="0.2">
      <c r="A7917">
        <v>5899</v>
      </c>
      <c r="B7917" t="s">
        <v>11483</v>
      </c>
      <c r="C7917" t="s">
        <v>18</v>
      </c>
      <c r="D7917" t="s">
        <v>11491</v>
      </c>
      <c r="E7917" t="s">
        <v>11492</v>
      </c>
      <c r="F7917" t="s">
        <v>23</v>
      </c>
      <c r="G7917" t="s">
        <v>265</v>
      </c>
      <c r="J7917" t="b">
        <v>0</v>
      </c>
      <c r="K7917" t="b">
        <v>0</v>
      </c>
      <c r="L7917" t="b">
        <v>0</v>
      </c>
    </row>
    <row r="7919" spans="1:25" x14ac:dyDescent="0.2">
      <c r="A7919" s="2">
        <v>5922</v>
      </c>
      <c r="B7919" s="2" t="s">
        <v>11493</v>
      </c>
      <c r="C7919" s="2" t="s">
        <v>13</v>
      </c>
      <c r="D7919" s="2" t="s">
        <v>11494</v>
      </c>
      <c r="E7919" s="2" t="s">
        <v>11495</v>
      </c>
      <c r="F7919" s="2" t="s">
        <v>616</v>
      </c>
      <c r="G7919" s="2" t="s">
        <v>2050</v>
      </c>
      <c r="H7919" s="2"/>
      <c r="I7919" s="2"/>
      <c r="J7919" s="2"/>
      <c r="K7919" s="2"/>
      <c r="L7919" s="2"/>
      <c r="M7919" s="2"/>
      <c r="N7919" s="2"/>
      <c r="O7919" s="2"/>
      <c r="P7919" s="2"/>
      <c r="Q7919" s="2"/>
      <c r="R7919" s="2"/>
      <c r="S7919" s="2"/>
      <c r="T7919" s="2"/>
      <c r="U7919" s="2"/>
      <c r="V7919" s="2"/>
      <c r="W7919" s="2"/>
      <c r="X7919" s="2"/>
      <c r="Y7919" s="2"/>
    </row>
    <row r="7920" spans="1:25" x14ac:dyDescent="0.2">
      <c r="A7920">
        <v>5923</v>
      </c>
      <c r="B7920" t="s">
        <v>11493</v>
      </c>
      <c r="C7920" t="s">
        <v>18</v>
      </c>
      <c r="D7920" t="s">
        <v>11494</v>
      </c>
      <c r="E7920" t="s">
        <v>11495</v>
      </c>
      <c r="F7920" t="s">
        <v>616</v>
      </c>
      <c r="G7920" t="s">
        <v>2050</v>
      </c>
      <c r="J7920" t="b">
        <v>1</v>
      </c>
      <c r="K7920" t="b">
        <v>1</v>
      </c>
      <c r="L7920" t="b">
        <v>1</v>
      </c>
      <c r="M7920" t="str">
        <f>HYPERLINK("https://arizona.app.box.com/file/386242808812")</f>
        <v>https://arizona.app.box.com/file/386242808812</v>
      </c>
      <c r="N7920" t="str">
        <f>HYPERLINK("https://arizona.app.box.com/file/386263914416")</f>
        <v>https://arizona.app.box.com/file/386263914416</v>
      </c>
    </row>
    <row r="7921" spans="1:25" x14ac:dyDescent="0.2">
      <c r="A7921">
        <v>5924</v>
      </c>
      <c r="B7921" t="s">
        <v>11493</v>
      </c>
      <c r="C7921" t="s">
        <v>18</v>
      </c>
      <c r="D7921" t="s">
        <v>11496</v>
      </c>
      <c r="E7921" t="s">
        <v>11497</v>
      </c>
      <c r="F7921" t="s">
        <v>616</v>
      </c>
      <c r="G7921" t="s">
        <v>2050</v>
      </c>
      <c r="J7921" t="b">
        <v>1</v>
      </c>
      <c r="K7921" t="b">
        <v>1</v>
      </c>
      <c r="L7921" t="b">
        <v>1</v>
      </c>
      <c r="M7921" t="str">
        <f>HYPERLINK("https://arizona.app.box.com/file/386247128036")</f>
        <v>https://arizona.app.box.com/file/386247128036</v>
      </c>
    </row>
    <row r="7922" spans="1:25" x14ac:dyDescent="0.2">
      <c r="A7922">
        <v>5925</v>
      </c>
      <c r="B7922" t="s">
        <v>11493</v>
      </c>
      <c r="C7922" t="s">
        <v>18</v>
      </c>
      <c r="D7922" t="s">
        <v>11498</v>
      </c>
      <c r="E7922" t="s">
        <v>11499</v>
      </c>
      <c r="F7922" t="s">
        <v>260</v>
      </c>
      <c r="G7922" t="s">
        <v>6715</v>
      </c>
      <c r="J7922" t="b">
        <v>0</v>
      </c>
      <c r="K7922" t="b">
        <v>0</v>
      </c>
      <c r="L7922" t="b">
        <v>0</v>
      </c>
    </row>
    <row r="7923" spans="1:25" x14ac:dyDescent="0.2">
      <c r="A7923">
        <v>5926</v>
      </c>
      <c r="B7923" t="s">
        <v>11493</v>
      </c>
      <c r="C7923" t="s">
        <v>18</v>
      </c>
      <c r="D7923" t="s">
        <v>2348</v>
      </c>
      <c r="E7923" t="s">
        <v>2349</v>
      </c>
      <c r="F7923" t="s">
        <v>616</v>
      </c>
      <c r="G7923" t="s">
        <v>88</v>
      </c>
      <c r="J7923" t="b">
        <v>0</v>
      </c>
      <c r="K7923" t="b">
        <v>0</v>
      </c>
      <c r="L7923" t="b">
        <v>0</v>
      </c>
    </row>
    <row r="7924" spans="1:25" x14ac:dyDescent="0.2">
      <c r="A7924">
        <v>5927</v>
      </c>
      <c r="B7924" t="s">
        <v>11493</v>
      </c>
      <c r="C7924" t="s">
        <v>18</v>
      </c>
      <c r="D7924" t="s">
        <v>5843</v>
      </c>
      <c r="E7924" t="s">
        <v>5844</v>
      </c>
      <c r="F7924" t="s">
        <v>31</v>
      </c>
      <c r="G7924" t="s">
        <v>24</v>
      </c>
      <c r="J7924" t="b">
        <v>0</v>
      </c>
      <c r="K7924" t="b">
        <v>0</v>
      </c>
      <c r="L7924" t="b">
        <v>0</v>
      </c>
      <c r="M7924" t="str">
        <f>HYPERLINK("https://arizona.app.box.com/file/389264154696")</f>
        <v>https://arizona.app.box.com/file/389264154696</v>
      </c>
      <c r="N7924" t="str">
        <f>HYPERLINK("https://arizona.app.box.com/file/389164382901")</f>
        <v>https://arizona.app.box.com/file/389164382901</v>
      </c>
    </row>
    <row r="7926" spans="1:25" x14ac:dyDescent="0.2">
      <c r="A7926" s="2">
        <v>5985</v>
      </c>
      <c r="B7926" s="2" t="s">
        <v>11500</v>
      </c>
      <c r="C7926" s="2" t="s">
        <v>13</v>
      </c>
      <c r="D7926" s="2" t="s">
        <v>5689</v>
      </c>
      <c r="E7926" s="2" t="s">
        <v>5690</v>
      </c>
      <c r="F7926" s="2" t="s">
        <v>78</v>
      </c>
      <c r="G7926" s="2" t="s">
        <v>417</v>
      </c>
      <c r="H7926" s="2"/>
      <c r="I7926" s="2"/>
      <c r="J7926" s="2"/>
      <c r="K7926" s="2"/>
      <c r="L7926" s="2"/>
      <c r="M7926" s="2"/>
      <c r="N7926" s="2"/>
      <c r="O7926" s="2"/>
      <c r="P7926" s="2"/>
      <c r="Q7926" s="2"/>
      <c r="R7926" s="2"/>
      <c r="S7926" s="2"/>
      <c r="T7926" s="2"/>
      <c r="U7926" s="2"/>
      <c r="V7926" s="2"/>
      <c r="W7926" s="2"/>
      <c r="X7926" s="2"/>
      <c r="Y7926" s="2"/>
    </row>
    <row r="7927" spans="1:25" x14ac:dyDescent="0.2">
      <c r="A7927">
        <v>5986</v>
      </c>
      <c r="B7927" t="s">
        <v>11500</v>
      </c>
      <c r="C7927" t="s">
        <v>18</v>
      </c>
      <c r="D7927" t="s">
        <v>5689</v>
      </c>
      <c r="E7927" t="s">
        <v>5690</v>
      </c>
      <c r="F7927" t="s">
        <v>78</v>
      </c>
      <c r="G7927" t="s">
        <v>417</v>
      </c>
      <c r="J7927" t="b">
        <v>1</v>
      </c>
      <c r="K7927" t="b">
        <v>1</v>
      </c>
      <c r="L7927" t="b">
        <v>1</v>
      </c>
      <c r="M7927" t="str">
        <f>HYPERLINK("https://arizona.app.box.com/file/386219572415")</f>
        <v>https://arizona.app.box.com/file/386219572415</v>
      </c>
      <c r="N7927" t="str">
        <f>HYPERLINK("https://arizona.app.box.com/file/386245912728")</f>
        <v>https://arizona.app.box.com/file/386245912728</v>
      </c>
    </row>
    <row r="7928" spans="1:25" x14ac:dyDescent="0.2">
      <c r="A7928">
        <v>5987</v>
      </c>
      <c r="B7928" t="s">
        <v>11500</v>
      </c>
      <c r="C7928" t="s">
        <v>18</v>
      </c>
      <c r="D7928" t="s">
        <v>11501</v>
      </c>
      <c r="E7928" t="s">
        <v>11502</v>
      </c>
      <c r="F7928" t="s">
        <v>78</v>
      </c>
      <c r="G7928" t="s">
        <v>417</v>
      </c>
      <c r="J7928" t="b">
        <v>0</v>
      </c>
      <c r="K7928" t="b">
        <v>0</v>
      </c>
      <c r="L7928" t="b">
        <v>0</v>
      </c>
      <c r="M7928" t="str">
        <f>HYPERLINK("https://arizona.app.box.com/file/389164875425")</f>
        <v>https://arizona.app.box.com/file/389164875425</v>
      </c>
      <c r="N7928" t="str">
        <f>HYPERLINK("https://arizona.app.box.com/file/386238967530")</f>
        <v>https://arizona.app.box.com/file/386238967530</v>
      </c>
      <c r="O7928" t="str">
        <f>HYPERLINK("https://arizona.app.box.com/file/389173907238")</f>
        <v>https://arizona.app.box.com/file/389173907238</v>
      </c>
    </row>
    <row r="7929" spans="1:25" x14ac:dyDescent="0.2">
      <c r="A7929">
        <v>5988</v>
      </c>
      <c r="B7929" t="s">
        <v>11500</v>
      </c>
      <c r="C7929" t="s">
        <v>18</v>
      </c>
      <c r="D7929" t="s">
        <v>2984</v>
      </c>
      <c r="E7929" t="s">
        <v>2985</v>
      </c>
      <c r="F7929" t="s">
        <v>78</v>
      </c>
      <c r="G7929" t="s">
        <v>417</v>
      </c>
      <c r="J7929" t="b">
        <v>0</v>
      </c>
      <c r="K7929" t="b">
        <v>0</v>
      </c>
      <c r="L7929" t="b">
        <v>0</v>
      </c>
      <c r="M7929" t="str">
        <f>HYPERLINK("https://arizona.app.box.com/file/386241479944")</f>
        <v>https://arizona.app.box.com/file/386241479944</v>
      </c>
      <c r="N7929" t="str">
        <f>HYPERLINK("https://arizona.app.box.com/file/386246129908")</f>
        <v>https://arizona.app.box.com/file/386246129908</v>
      </c>
    </row>
    <row r="7930" spans="1:25" x14ac:dyDescent="0.2">
      <c r="A7930">
        <v>5989</v>
      </c>
      <c r="B7930" t="s">
        <v>11500</v>
      </c>
      <c r="C7930" t="s">
        <v>18</v>
      </c>
      <c r="D7930" t="s">
        <v>10293</v>
      </c>
      <c r="E7930" t="s">
        <v>10294</v>
      </c>
      <c r="F7930" t="s">
        <v>78</v>
      </c>
      <c r="G7930" t="s">
        <v>1290</v>
      </c>
      <c r="J7930" t="b">
        <v>0</v>
      </c>
      <c r="K7930" t="b">
        <v>0</v>
      </c>
      <c r="L7930" t="b">
        <v>0</v>
      </c>
    </row>
    <row r="7931" spans="1:25" x14ac:dyDescent="0.2">
      <c r="A7931">
        <v>5990</v>
      </c>
      <c r="B7931" t="s">
        <v>11500</v>
      </c>
      <c r="C7931" t="s">
        <v>18</v>
      </c>
      <c r="D7931" t="s">
        <v>5678</v>
      </c>
      <c r="E7931" t="s">
        <v>5679</v>
      </c>
      <c r="F7931" t="s">
        <v>654</v>
      </c>
      <c r="G7931" t="s">
        <v>417</v>
      </c>
      <c r="J7931" t="b">
        <v>0</v>
      </c>
      <c r="K7931" t="b">
        <v>0</v>
      </c>
      <c r="L7931" t="b">
        <v>0</v>
      </c>
      <c r="M7931" t="str">
        <f>HYPERLINK("https://arizona.app.box.com/file/386243699620")</f>
        <v>https://arizona.app.box.com/file/386243699620</v>
      </c>
      <c r="N7931" t="str">
        <f>HYPERLINK("https://arizona.app.box.com/file/386230185779")</f>
        <v>https://arizona.app.box.com/file/386230185779</v>
      </c>
    </row>
    <row r="7933" spans="1:25" x14ac:dyDescent="0.2">
      <c r="A7933" s="2">
        <v>5999</v>
      </c>
      <c r="B7933" s="2" t="s">
        <v>11503</v>
      </c>
      <c r="C7933" s="2" t="s">
        <v>13</v>
      </c>
      <c r="D7933" s="2" t="s">
        <v>9649</v>
      </c>
      <c r="E7933" s="2" t="s">
        <v>11504</v>
      </c>
      <c r="F7933" s="2" t="s">
        <v>2343</v>
      </c>
      <c r="G7933" s="2" t="s">
        <v>88</v>
      </c>
      <c r="H7933" s="2"/>
      <c r="I7933" s="2"/>
      <c r="J7933" s="2"/>
      <c r="K7933" s="2"/>
      <c r="L7933" s="2"/>
      <c r="M7933" s="2"/>
      <c r="N7933" s="2"/>
      <c r="O7933" s="2"/>
      <c r="P7933" s="2"/>
      <c r="Q7933" s="2"/>
      <c r="R7933" s="2"/>
      <c r="S7933" s="2"/>
      <c r="T7933" s="2"/>
      <c r="U7933" s="2"/>
      <c r="V7933" s="2"/>
      <c r="W7933" s="2"/>
      <c r="X7933" s="2"/>
      <c r="Y7933" s="2"/>
    </row>
    <row r="7934" spans="1:25" x14ac:dyDescent="0.2">
      <c r="A7934">
        <v>6000</v>
      </c>
      <c r="B7934" t="s">
        <v>11503</v>
      </c>
      <c r="C7934" t="s">
        <v>18</v>
      </c>
      <c r="D7934" t="s">
        <v>9649</v>
      </c>
      <c r="E7934" t="s">
        <v>3263</v>
      </c>
      <c r="F7934" t="s">
        <v>2343</v>
      </c>
      <c r="G7934" t="s">
        <v>88</v>
      </c>
      <c r="J7934" t="b">
        <v>1</v>
      </c>
      <c r="K7934" t="b">
        <v>1</v>
      </c>
      <c r="L7934" t="b">
        <v>1</v>
      </c>
      <c r="M7934" t="str">
        <f>HYPERLINK("https://arizona.app.box.com/file/389266859902")</f>
        <v>https://arizona.app.box.com/file/389266859902</v>
      </c>
      <c r="N7934" t="str">
        <f>HYPERLINK("https://arizona.app.box.com/file/389164303092")</f>
        <v>https://arizona.app.box.com/file/389164303092</v>
      </c>
    </row>
    <row r="7935" spans="1:25" x14ac:dyDescent="0.2">
      <c r="A7935">
        <v>6001</v>
      </c>
      <c r="B7935" t="s">
        <v>11503</v>
      </c>
      <c r="C7935" t="s">
        <v>18</v>
      </c>
      <c r="D7935" t="s">
        <v>2341</v>
      </c>
      <c r="E7935" t="s">
        <v>2342</v>
      </c>
      <c r="F7935" t="s">
        <v>2343</v>
      </c>
      <c r="G7935" t="s">
        <v>88</v>
      </c>
      <c r="J7935" t="b">
        <v>0</v>
      </c>
      <c r="K7935" t="b">
        <v>0</v>
      </c>
      <c r="L7935" t="b">
        <v>0</v>
      </c>
      <c r="M7935" t="str">
        <f>HYPERLINK("https://arizona.app.box.com/file/389170657381")</f>
        <v>https://arizona.app.box.com/file/389170657381</v>
      </c>
    </row>
    <row r="7936" spans="1:25" x14ac:dyDescent="0.2">
      <c r="A7936">
        <v>6002</v>
      </c>
      <c r="B7936" t="s">
        <v>11503</v>
      </c>
      <c r="C7936" t="s">
        <v>18</v>
      </c>
      <c r="D7936" t="s">
        <v>9150</v>
      </c>
      <c r="E7936" t="s">
        <v>4302</v>
      </c>
      <c r="F7936" t="s">
        <v>78</v>
      </c>
      <c r="G7936" t="s">
        <v>130</v>
      </c>
      <c r="J7936" t="b">
        <v>0</v>
      </c>
      <c r="K7936" t="b">
        <v>0</v>
      </c>
      <c r="L7936" t="b">
        <v>0</v>
      </c>
      <c r="M7936" t="str">
        <f>HYPERLINK("https://arizona.app.box.com/file/389258531892")</f>
        <v>https://arizona.app.box.com/file/389258531892</v>
      </c>
      <c r="N7936" t="str">
        <f>HYPERLINK("https://arizona.app.box.com/file/389152011246")</f>
        <v>https://arizona.app.box.com/file/389152011246</v>
      </c>
    </row>
    <row r="7937" spans="1:25" x14ac:dyDescent="0.2">
      <c r="A7937">
        <v>6003</v>
      </c>
      <c r="B7937" t="s">
        <v>11503</v>
      </c>
      <c r="C7937" t="s">
        <v>18</v>
      </c>
      <c r="D7937" t="s">
        <v>11505</v>
      </c>
      <c r="E7937" t="s">
        <v>11506</v>
      </c>
      <c r="F7937" t="s">
        <v>2343</v>
      </c>
      <c r="G7937" t="s">
        <v>88</v>
      </c>
      <c r="J7937" t="b">
        <v>0</v>
      </c>
      <c r="K7937" t="b">
        <v>0</v>
      </c>
      <c r="L7937" t="b">
        <v>0</v>
      </c>
      <c r="M7937" t="str">
        <f>HYPERLINK("https://arizona.app.box.com/file/386251672605")</f>
        <v>https://arizona.app.box.com/file/386251672605</v>
      </c>
    </row>
    <row r="7938" spans="1:25" x14ac:dyDescent="0.2">
      <c r="A7938">
        <v>6004</v>
      </c>
      <c r="B7938" t="s">
        <v>11503</v>
      </c>
      <c r="C7938" t="s">
        <v>18</v>
      </c>
      <c r="D7938" t="s">
        <v>2336</v>
      </c>
      <c r="E7938" t="s">
        <v>2338</v>
      </c>
      <c r="F7938" t="s">
        <v>369</v>
      </c>
      <c r="G7938" t="s">
        <v>88</v>
      </c>
      <c r="J7938" t="b">
        <v>0</v>
      </c>
      <c r="K7938" t="b">
        <v>0</v>
      </c>
      <c r="L7938" t="b">
        <v>0</v>
      </c>
      <c r="M7938" t="str">
        <f>HYPERLINK("https://arizona.app.box.com/file/389261847525")</f>
        <v>https://arizona.app.box.com/file/389261847525</v>
      </c>
      <c r="N7938" t="str">
        <f>HYPERLINK("https://arizona.app.box.com/file/389138213441")</f>
        <v>https://arizona.app.box.com/file/389138213441</v>
      </c>
    </row>
    <row r="7940" spans="1:25" x14ac:dyDescent="0.2">
      <c r="A7940" s="2">
        <v>6069</v>
      </c>
      <c r="B7940" s="2" t="s">
        <v>11507</v>
      </c>
      <c r="C7940" s="2" t="s">
        <v>13</v>
      </c>
      <c r="D7940" s="2" t="s">
        <v>11508</v>
      </c>
      <c r="E7940" s="2" t="s">
        <v>11509</v>
      </c>
      <c r="F7940" s="2" t="s">
        <v>670</v>
      </c>
      <c r="G7940" s="2" t="s">
        <v>134</v>
      </c>
      <c r="H7940" s="2"/>
      <c r="I7940" s="2"/>
      <c r="J7940" s="2"/>
      <c r="K7940" s="2"/>
      <c r="L7940" s="2"/>
      <c r="M7940" s="2"/>
      <c r="N7940" s="2"/>
      <c r="O7940" s="2"/>
      <c r="P7940" s="2"/>
      <c r="Q7940" s="2"/>
      <c r="R7940" s="2"/>
      <c r="S7940" s="2"/>
      <c r="T7940" s="2"/>
      <c r="U7940" s="2"/>
      <c r="V7940" s="2"/>
      <c r="W7940" s="2"/>
      <c r="X7940" s="2"/>
      <c r="Y7940" s="2"/>
    </row>
    <row r="7941" spans="1:25" x14ac:dyDescent="0.2">
      <c r="A7941">
        <v>6070</v>
      </c>
      <c r="B7941" t="s">
        <v>11507</v>
      </c>
      <c r="C7941" t="s">
        <v>18</v>
      </c>
      <c r="D7941" t="s">
        <v>11510</v>
      </c>
      <c r="E7941" t="s">
        <v>2691</v>
      </c>
      <c r="F7941" t="s">
        <v>45</v>
      </c>
      <c r="G7941" t="s">
        <v>134</v>
      </c>
      <c r="J7941" t="b">
        <v>1</v>
      </c>
      <c r="K7941" t="b">
        <v>1</v>
      </c>
      <c r="L7941" t="b">
        <v>1</v>
      </c>
      <c r="M7941" t="str">
        <f>HYPERLINK("https://arizona.app.box.com/file/389259722929")</f>
        <v>https://arizona.app.box.com/file/389259722929</v>
      </c>
      <c r="N7941" t="str">
        <f>HYPERLINK("https://arizona.app.box.com/file/389152571940")</f>
        <v>https://arizona.app.box.com/file/389152571940</v>
      </c>
    </row>
    <row r="7942" spans="1:25" x14ac:dyDescent="0.2">
      <c r="A7942">
        <v>6071</v>
      </c>
      <c r="B7942" t="s">
        <v>11507</v>
      </c>
      <c r="C7942" t="s">
        <v>18</v>
      </c>
      <c r="D7942" t="s">
        <v>11511</v>
      </c>
      <c r="E7942" t="s">
        <v>11512</v>
      </c>
      <c r="F7942" t="s">
        <v>82</v>
      </c>
      <c r="G7942" t="s">
        <v>134</v>
      </c>
      <c r="J7942" t="b">
        <v>0</v>
      </c>
      <c r="K7942" t="b">
        <v>0</v>
      </c>
      <c r="L7942" t="b">
        <v>0</v>
      </c>
    </row>
    <row r="7943" spans="1:25" x14ac:dyDescent="0.2">
      <c r="A7943">
        <v>6072</v>
      </c>
      <c r="B7943" t="s">
        <v>11507</v>
      </c>
      <c r="C7943" t="s">
        <v>18</v>
      </c>
      <c r="D7943" t="s">
        <v>11513</v>
      </c>
      <c r="E7943" t="s">
        <v>11514</v>
      </c>
      <c r="F7943" t="s">
        <v>16</v>
      </c>
      <c r="G7943" t="s">
        <v>134</v>
      </c>
      <c r="J7943" t="b">
        <v>0</v>
      </c>
      <c r="K7943" t="b">
        <v>0</v>
      </c>
      <c r="L7943" t="b">
        <v>0</v>
      </c>
    </row>
    <row r="7944" spans="1:25" x14ac:dyDescent="0.2">
      <c r="A7944">
        <v>6073</v>
      </c>
      <c r="B7944" t="s">
        <v>11507</v>
      </c>
      <c r="C7944" t="s">
        <v>18</v>
      </c>
      <c r="D7944" t="s">
        <v>11515</v>
      </c>
      <c r="E7944" t="s">
        <v>11516</v>
      </c>
      <c r="F7944" t="s">
        <v>82</v>
      </c>
      <c r="G7944" t="s">
        <v>134</v>
      </c>
      <c r="J7944" t="b">
        <v>0</v>
      </c>
      <c r="K7944" t="b">
        <v>0</v>
      </c>
      <c r="L7944" t="b">
        <v>0</v>
      </c>
      <c r="M7944" t="str">
        <f>HYPERLINK("https://arizona.app.box.com/file/389151124516")</f>
        <v>https://arizona.app.box.com/file/389151124516</v>
      </c>
    </row>
    <row r="7945" spans="1:25" x14ac:dyDescent="0.2">
      <c r="A7945">
        <v>6074</v>
      </c>
      <c r="B7945" t="s">
        <v>11507</v>
      </c>
      <c r="C7945" t="s">
        <v>18</v>
      </c>
      <c r="D7945" t="s">
        <v>11517</v>
      </c>
      <c r="E7945" t="s">
        <v>11518</v>
      </c>
      <c r="F7945" t="s">
        <v>168</v>
      </c>
      <c r="G7945" t="s">
        <v>134</v>
      </c>
      <c r="J7945" t="b">
        <v>0</v>
      </c>
      <c r="K7945" t="b">
        <v>0</v>
      </c>
      <c r="L7945" t="b">
        <v>0</v>
      </c>
    </row>
    <row r="7947" spans="1:25" x14ac:dyDescent="0.2">
      <c r="A7947" s="2">
        <v>6104</v>
      </c>
      <c r="B7947" s="2" t="s">
        <v>11519</v>
      </c>
      <c r="C7947" s="2" t="s">
        <v>13</v>
      </c>
      <c r="D7947" s="2" t="s">
        <v>7329</v>
      </c>
      <c r="E7947" s="2" t="s">
        <v>11520</v>
      </c>
      <c r="F7947" s="2" t="s">
        <v>78</v>
      </c>
      <c r="G7947" s="2" t="s">
        <v>17</v>
      </c>
      <c r="H7947" s="2"/>
      <c r="I7947" s="2"/>
      <c r="J7947" s="2"/>
      <c r="K7947" s="2"/>
      <c r="L7947" s="2"/>
      <c r="M7947" s="2"/>
      <c r="N7947" s="2"/>
      <c r="O7947" s="2"/>
      <c r="P7947" s="2"/>
      <c r="Q7947" s="2"/>
      <c r="R7947" s="2"/>
      <c r="S7947" s="2"/>
      <c r="T7947" s="2"/>
      <c r="U7947" s="2"/>
      <c r="V7947" s="2"/>
      <c r="W7947" s="2"/>
      <c r="X7947" s="2"/>
      <c r="Y7947" s="2"/>
    </row>
    <row r="7948" spans="1:25" x14ac:dyDescent="0.2">
      <c r="A7948">
        <v>6105</v>
      </c>
      <c r="B7948" t="s">
        <v>11519</v>
      </c>
      <c r="C7948" t="s">
        <v>18</v>
      </c>
      <c r="D7948" t="s">
        <v>7329</v>
      </c>
      <c r="E7948" t="s">
        <v>7330</v>
      </c>
      <c r="F7948" t="s">
        <v>78</v>
      </c>
      <c r="G7948" t="s">
        <v>17</v>
      </c>
      <c r="J7948" t="b">
        <v>1</v>
      </c>
      <c r="K7948" t="b">
        <v>1</v>
      </c>
      <c r="L7948" t="b">
        <v>1</v>
      </c>
      <c r="M7948" t="str">
        <f>HYPERLINK("https://arizona.app.box.com/file/389173007582")</f>
        <v>https://arizona.app.box.com/file/389173007582</v>
      </c>
      <c r="N7948" t="str">
        <f>HYPERLINK("https://arizona.app.box.com/file/386240756471")</f>
        <v>https://arizona.app.box.com/file/386240756471</v>
      </c>
    </row>
    <row r="7949" spans="1:25" x14ac:dyDescent="0.2">
      <c r="A7949">
        <v>6106</v>
      </c>
      <c r="B7949" t="s">
        <v>11519</v>
      </c>
      <c r="C7949" t="s">
        <v>18</v>
      </c>
      <c r="D7949" t="s">
        <v>7324</v>
      </c>
      <c r="E7949" t="s">
        <v>7325</v>
      </c>
      <c r="F7949" t="s">
        <v>78</v>
      </c>
      <c r="G7949" t="s">
        <v>17</v>
      </c>
      <c r="J7949" t="b">
        <v>0</v>
      </c>
      <c r="K7949" t="b">
        <v>0</v>
      </c>
      <c r="L7949" t="b">
        <v>0</v>
      </c>
      <c r="M7949" t="str">
        <f>HYPERLINK("https://arizona.app.box.com/file/389256508641")</f>
        <v>https://arizona.app.box.com/file/389256508641</v>
      </c>
      <c r="N7949" t="str">
        <f>HYPERLINK("https://arizona.app.box.com/file/389170914910")</f>
        <v>https://arizona.app.box.com/file/389170914910</v>
      </c>
      <c r="O7949" t="str">
        <f>HYPERLINK("https://arizona.app.box.com/file/389260423861")</f>
        <v>https://arizona.app.box.com/file/389260423861</v>
      </c>
    </row>
    <row r="7950" spans="1:25" x14ac:dyDescent="0.2">
      <c r="A7950">
        <v>6107</v>
      </c>
      <c r="B7950" t="s">
        <v>11519</v>
      </c>
      <c r="C7950" t="s">
        <v>18</v>
      </c>
      <c r="D7950" t="s">
        <v>9097</v>
      </c>
      <c r="E7950" t="s">
        <v>7270</v>
      </c>
      <c r="F7950" t="s">
        <v>78</v>
      </c>
      <c r="G7950" t="s">
        <v>17</v>
      </c>
      <c r="J7950" t="b">
        <v>0</v>
      </c>
      <c r="K7950" t="b">
        <v>0</v>
      </c>
      <c r="L7950" t="b">
        <v>0</v>
      </c>
      <c r="M7950" t="str">
        <f>HYPERLINK("https://arizona.app.box.com/file/389172904797")</f>
        <v>https://arizona.app.box.com/file/389172904797</v>
      </c>
      <c r="N7950" t="str">
        <f>HYPERLINK("https://arizona.app.box.com/file/386226217969")</f>
        <v>https://arizona.app.box.com/file/386226217969</v>
      </c>
    </row>
    <row r="7951" spans="1:25" x14ac:dyDescent="0.2">
      <c r="A7951">
        <v>6108</v>
      </c>
      <c r="B7951" t="s">
        <v>11519</v>
      </c>
      <c r="C7951" t="s">
        <v>18</v>
      </c>
      <c r="D7951" t="s">
        <v>7436</v>
      </c>
      <c r="E7951" t="s">
        <v>7437</v>
      </c>
      <c r="F7951" t="s">
        <v>78</v>
      </c>
      <c r="G7951" t="s">
        <v>17</v>
      </c>
      <c r="J7951" t="b">
        <v>0</v>
      </c>
      <c r="K7951" t="b">
        <v>0</v>
      </c>
      <c r="L7951" t="b">
        <v>0</v>
      </c>
      <c r="M7951" t="str">
        <f>HYPERLINK("https://arizona.app.box.com/file/389158641766")</f>
        <v>https://arizona.app.box.com/file/389158641766</v>
      </c>
      <c r="N7951" t="str">
        <f>HYPERLINK("https://arizona.app.box.com/file/389151601538")</f>
        <v>https://arizona.app.box.com/file/389151601538</v>
      </c>
    </row>
    <row r="7952" spans="1:25" x14ac:dyDescent="0.2">
      <c r="A7952">
        <v>6109</v>
      </c>
      <c r="B7952" t="s">
        <v>11519</v>
      </c>
      <c r="C7952" t="s">
        <v>18</v>
      </c>
      <c r="D7952" t="s">
        <v>11521</v>
      </c>
      <c r="E7952" t="s">
        <v>10508</v>
      </c>
      <c r="F7952" t="s">
        <v>670</v>
      </c>
      <c r="G7952" t="s">
        <v>252</v>
      </c>
      <c r="J7952" t="b">
        <v>0</v>
      </c>
      <c r="K7952" t="b">
        <v>0</v>
      </c>
      <c r="L7952" t="b">
        <v>0</v>
      </c>
    </row>
    <row r="7954" spans="1:25" x14ac:dyDescent="0.2">
      <c r="A7954" s="2">
        <v>6111</v>
      </c>
      <c r="B7954" s="2" t="s">
        <v>11522</v>
      </c>
      <c r="C7954" s="2" t="s">
        <v>13</v>
      </c>
      <c r="D7954" s="2" t="s">
        <v>6862</v>
      </c>
      <c r="E7954" s="2" t="s">
        <v>11523</v>
      </c>
      <c r="F7954" s="2" t="s">
        <v>670</v>
      </c>
      <c r="G7954" s="2" t="s">
        <v>17</v>
      </c>
      <c r="H7954" s="2"/>
      <c r="I7954" s="2"/>
      <c r="J7954" s="2"/>
      <c r="K7954" s="2"/>
      <c r="L7954" s="2"/>
      <c r="M7954" s="2"/>
      <c r="N7954" s="2"/>
      <c r="O7954" s="2"/>
      <c r="P7954" s="2"/>
      <c r="Q7954" s="2"/>
      <c r="R7954" s="2"/>
      <c r="S7954" s="2"/>
      <c r="T7954" s="2"/>
      <c r="U7954" s="2"/>
      <c r="V7954" s="2"/>
      <c r="W7954" s="2"/>
      <c r="X7954" s="2"/>
      <c r="Y7954" s="2"/>
    </row>
    <row r="7955" spans="1:25" x14ac:dyDescent="0.2">
      <c r="A7955">
        <v>6112</v>
      </c>
      <c r="B7955" t="s">
        <v>11522</v>
      </c>
      <c r="C7955" t="s">
        <v>18</v>
      </c>
      <c r="D7955" t="s">
        <v>6862</v>
      </c>
      <c r="E7955" t="s">
        <v>2267</v>
      </c>
      <c r="F7955" t="s">
        <v>670</v>
      </c>
      <c r="G7955" t="s">
        <v>17</v>
      </c>
      <c r="J7955" t="b">
        <v>1</v>
      </c>
      <c r="K7955" t="b">
        <v>1</v>
      </c>
      <c r="L7955" t="b">
        <v>1</v>
      </c>
      <c r="M7955" t="str">
        <f>HYPERLINK("https://arizona.app.box.com/file/389263393886")</f>
        <v>https://arizona.app.box.com/file/389263393886</v>
      </c>
    </row>
    <row r="7956" spans="1:25" x14ac:dyDescent="0.2">
      <c r="A7956">
        <v>6113</v>
      </c>
      <c r="B7956" t="s">
        <v>11522</v>
      </c>
      <c r="C7956" t="s">
        <v>18</v>
      </c>
      <c r="D7956" t="s">
        <v>6864</v>
      </c>
      <c r="E7956" t="s">
        <v>6865</v>
      </c>
      <c r="F7956" t="s">
        <v>670</v>
      </c>
      <c r="G7956" t="s">
        <v>17</v>
      </c>
      <c r="J7956" t="b">
        <v>1</v>
      </c>
      <c r="K7956" t="b">
        <v>1</v>
      </c>
      <c r="L7956" t="b">
        <v>1</v>
      </c>
      <c r="M7956" t="str">
        <f>HYPERLINK("https://arizona.app.box.com/file/389162330329")</f>
        <v>https://arizona.app.box.com/file/389162330329</v>
      </c>
    </row>
    <row r="7957" spans="1:25" x14ac:dyDescent="0.2">
      <c r="A7957">
        <v>6114</v>
      </c>
      <c r="B7957" t="s">
        <v>11522</v>
      </c>
      <c r="C7957" t="s">
        <v>18</v>
      </c>
      <c r="D7957" t="s">
        <v>6857</v>
      </c>
      <c r="E7957" t="s">
        <v>6858</v>
      </c>
      <c r="F7957" t="s">
        <v>670</v>
      </c>
      <c r="G7957" t="s">
        <v>17</v>
      </c>
      <c r="J7957" t="b">
        <v>0</v>
      </c>
      <c r="K7957" t="b">
        <v>0</v>
      </c>
      <c r="L7957" t="b">
        <v>0</v>
      </c>
      <c r="M7957" t="str">
        <f>HYPERLINK("https://arizona.app.box.com/file/389261031002")</f>
        <v>https://arizona.app.box.com/file/389261031002</v>
      </c>
      <c r="N7957" t="str">
        <f>HYPERLINK("https://arizona.app.box.com/file/389166849304")</f>
        <v>https://arizona.app.box.com/file/389166849304</v>
      </c>
      <c r="O7957" t="str">
        <f>HYPERLINK("https://arizona.app.box.com/file/389163189817")</f>
        <v>https://arizona.app.box.com/file/389163189817</v>
      </c>
    </row>
    <row r="7958" spans="1:25" x14ac:dyDescent="0.2">
      <c r="A7958">
        <v>6115</v>
      </c>
      <c r="B7958" t="s">
        <v>11522</v>
      </c>
      <c r="C7958" t="s">
        <v>18</v>
      </c>
      <c r="D7958" t="s">
        <v>6867</v>
      </c>
      <c r="E7958" t="s">
        <v>6868</v>
      </c>
      <c r="F7958" t="s">
        <v>670</v>
      </c>
      <c r="G7958" t="s">
        <v>17</v>
      </c>
      <c r="J7958" t="b">
        <v>0</v>
      </c>
      <c r="K7958" t="b">
        <v>0</v>
      </c>
      <c r="L7958" t="b">
        <v>0</v>
      </c>
    </row>
    <row r="7959" spans="1:25" x14ac:dyDescent="0.2">
      <c r="A7959">
        <v>6116</v>
      </c>
      <c r="B7959" t="s">
        <v>11522</v>
      </c>
      <c r="C7959" t="s">
        <v>18</v>
      </c>
      <c r="D7959" t="s">
        <v>4546</v>
      </c>
      <c r="E7959" t="s">
        <v>4547</v>
      </c>
      <c r="F7959" t="s">
        <v>670</v>
      </c>
      <c r="G7959" t="s">
        <v>17</v>
      </c>
      <c r="J7959" t="b">
        <v>0</v>
      </c>
      <c r="K7959" t="b">
        <v>0</v>
      </c>
      <c r="L7959" t="b">
        <v>0</v>
      </c>
      <c r="M7959" t="str">
        <f>HYPERLINK("https://arizona.app.box.com/file/389137903492")</f>
        <v>https://arizona.app.box.com/file/389137903492</v>
      </c>
      <c r="N7959" t="str">
        <f>HYPERLINK("https://arizona.app.box.com/file/389169510023")</f>
        <v>https://arizona.app.box.com/file/389169510023</v>
      </c>
    </row>
    <row r="7961" spans="1:25" x14ac:dyDescent="0.2">
      <c r="A7961" s="2">
        <v>6146</v>
      </c>
      <c r="B7961" s="2" t="s">
        <v>11524</v>
      </c>
      <c r="C7961" s="2" t="s">
        <v>13</v>
      </c>
      <c r="D7961" s="2" t="s">
        <v>5637</v>
      </c>
      <c r="E7961" s="2" t="s">
        <v>5638</v>
      </c>
      <c r="F7961" s="2" t="s">
        <v>168</v>
      </c>
      <c r="G7961" s="2" t="s">
        <v>17</v>
      </c>
      <c r="H7961" s="2"/>
      <c r="I7961" s="2"/>
      <c r="J7961" s="2"/>
      <c r="K7961" s="2"/>
      <c r="L7961" s="2"/>
      <c r="M7961" s="2"/>
      <c r="N7961" s="2"/>
      <c r="O7961" s="2"/>
      <c r="P7961" s="2"/>
      <c r="Q7961" s="2"/>
      <c r="R7961" s="2"/>
      <c r="S7961" s="2"/>
      <c r="T7961" s="2"/>
      <c r="U7961" s="2"/>
      <c r="V7961" s="2"/>
      <c r="W7961" s="2"/>
      <c r="X7961" s="2"/>
      <c r="Y7961" s="2"/>
    </row>
    <row r="7962" spans="1:25" x14ac:dyDescent="0.2">
      <c r="A7962">
        <v>6147</v>
      </c>
      <c r="B7962" t="s">
        <v>11524</v>
      </c>
      <c r="C7962" t="s">
        <v>18</v>
      </c>
      <c r="D7962" t="s">
        <v>5637</v>
      </c>
      <c r="E7962" t="s">
        <v>5638</v>
      </c>
      <c r="F7962" t="s">
        <v>168</v>
      </c>
      <c r="G7962" t="s">
        <v>17</v>
      </c>
      <c r="J7962" t="b">
        <v>1</v>
      </c>
      <c r="K7962" t="b">
        <v>1</v>
      </c>
      <c r="L7962" t="b">
        <v>1</v>
      </c>
      <c r="M7962" t="str">
        <f>HYPERLINK("https://arizona.app.box.com/file/389137550463")</f>
        <v>https://arizona.app.box.com/file/389137550463</v>
      </c>
      <c r="N7962" t="str">
        <f>HYPERLINK("https://arizona.app.box.com/file/389136917674")</f>
        <v>https://arizona.app.box.com/file/389136917674</v>
      </c>
    </row>
    <row r="7963" spans="1:25" x14ac:dyDescent="0.2">
      <c r="A7963">
        <v>6148</v>
      </c>
      <c r="B7963" t="s">
        <v>11524</v>
      </c>
      <c r="C7963" t="s">
        <v>18</v>
      </c>
      <c r="D7963" t="s">
        <v>5633</v>
      </c>
      <c r="E7963" t="s">
        <v>5634</v>
      </c>
      <c r="F7963" t="s">
        <v>168</v>
      </c>
      <c r="G7963" t="s">
        <v>17</v>
      </c>
      <c r="J7963" t="b">
        <v>0</v>
      </c>
      <c r="K7963" t="b">
        <v>0</v>
      </c>
      <c r="L7963" t="b">
        <v>0</v>
      </c>
      <c r="M7963" t="str">
        <f>HYPERLINK("https://arizona.app.box.com/file/389166315337")</f>
        <v>https://arizona.app.box.com/file/389166315337</v>
      </c>
      <c r="N7963" t="str">
        <f>HYPERLINK("https://arizona.app.box.com/file/389161910848")</f>
        <v>https://arizona.app.box.com/file/389161910848</v>
      </c>
    </row>
    <row r="7964" spans="1:25" x14ac:dyDescent="0.2">
      <c r="A7964">
        <v>6149</v>
      </c>
      <c r="B7964" t="s">
        <v>11524</v>
      </c>
      <c r="C7964" t="s">
        <v>18</v>
      </c>
      <c r="D7964" t="s">
        <v>5622</v>
      </c>
      <c r="E7964" t="s">
        <v>5623</v>
      </c>
      <c r="F7964" t="s">
        <v>168</v>
      </c>
      <c r="G7964" t="s">
        <v>17</v>
      </c>
      <c r="J7964" t="b">
        <v>0</v>
      </c>
      <c r="K7964" t="b">
        <v>0</v>
      </c>
      <c r="L7964" t="b">
        <v>0</v>
      </c>
      <c r="M7964" t="str">
        <f>HYPERLINK("https://arizona.app.box.com/file/389151589538")</f>
        <v>https://arizona.app.box.com/file/389151589538</v>
      </c>
      <c r="N7964" t="str">
        <f>HYPERLINK("https://arizona.app.box.com/file/389151917622")</f>
        <v>https://arizona.app.box.com/file/389151917622</v>
      </c>
    </row>
    <row r="7965" spans="1:25" x14ac:dyDescent="0.2">
      <c r="A7965">
        <v>6150</v>
      </c>
      <c r="B7965" t="s">
        <v>11524</v>
      </c>
      <c r="C7965" t="s">
        <v>18</v>
      </c>
      <c r="D7965" t="s">
        <v>8891</v>
      </c>
      <c r="E7965" t="s">
        <v>8892</v>
      </c>
      <c r="F7965" t="s">
        <v>168</v>
      </c>
      <c r="G7965" t="s">
        <v>17</v>
      </c>
      <c r="J7965" t="b">
        <v>0</v>
      </c>
      <c r="K7965" t="b">
        <v>0</v>
      </c>
      <c r="L7965" t="b">
        <v>0</v>
      </c>
      <c r="M7965" t="str">
        <f>HYPERLINK("https://arizona.app.box.com/file/389165211304")</f>
        <v>https://arizona.app.box.com/file/389165211304</v>
      </c>
      <c r="N7965" t="str">
        <f>HYPERLINK("https://arizona.app.box.com/file/389137681531")</f>
        <v>https://arizona.app.box.com/file/389137681531</v>
      </c>
    </row>
    <row r="7966" spans="1:25" x14ac:dyDescent="0.2">
      <c r="A7966">
        <v>6151</v>
      </c>
      <c r="B7966" t="s">
        <v>11524</v>
      </c>
      <c r="C7966" t="s">
        <v>18</v>
      </c>
      <c r="D7966" t="s">
        <v>11525</v>
      </c>
      <c r="E7966" t="s">
        <v>11526</v>
      </c>
      <c r="F7966" t="s">
        <v>168</v>
      </c>
      <c r="G7966" t="s">
        <v>17</v>
      </c>
      <c r="J7966" t="b">
        <v>0</v>
      </c>
      <c r="K7966" t="b">
        <v>0</v>
      </c>
      <c r="L7966" t="b">
        <v>0</v>
      </c>
      <c r="M7966" t="str">
        <f>HYPERLINK("https://arizona.app.box.com/file/389136287476")</f>
        <v>https://arizona.app.box.com/file/389136287476</v>
      </c>
    </row>
    <row r="7968" spans="1:25" x14ac:dyDescent="0.2">
      <c r="A7968" s="2">
        <v>6181</v>
      </c>
      <c r="B7968" s="2" t="s">
        <v>11527</v>
      </c>
      <c r="C7968" s="2" t="s">
        <v>13</v>
      </c>
      <c r="D7968" s="2" t="s">
        <v>11528</v>
      </c>
      <c r="E7968" s="2" t="s">
        <v>11529</v>
      </c>
      <c r="F7968" s="2" t="s">
        <v>670</v>
      </c>
      <c r="G7968" s="2" t="s">
        <v>17</v>
      </c>
      <c r="H7968" s="2"/>
      <c r="I7968" s="2"/>
      <c r="J7968" s="2"/>
      <c r="K7968" s="2"/>
      <c r="L7968" s="2"/>
      <c r="M7968" s="2"/>
      <c r="N7968" s="2"/>
      <c r="O7968" s="2"/>
      <c r="P7968" s="2"/>
      <c r="Q7968" s="2"/>
      <c r="R7968" s="2"/>
      <c r="S7968" s="2"/>
      <c r="T7968" s="2"/>
      <c r="U7968" s="2"/>
      <c r="V7968" s="2"/>
      <c r="W7968" s="2"/>
      <c r="X7968" s="2"/>
      <c r="Y7968" s="2"/>
    </row>
    <row r="7969" spans="1:25" x14ac:dyDescent="0.2">
      <c r="A7969">
        <v>6182</v>
      </c>
      <c r="B7969" t="s">
        <v>11527</v>
      </c>
      <c r="C7969" t="s">
        <v>18</v>
      </c>
      <c r="D7969" t="s">
        <v>11528</v>
      </c>
      <c r="E7969" t="s">
        <v>4847</v>
      </c>
      <c r="F7969" t="s">
        <v>670</v>
      </c>
      <c r="G7969" t="s">
        <v>17</v>
      </c>
      <c r="J7969" t="b">
        <v>1</v>
      </c>
      <c r="K7969" t="b">
        <v>1</v>
      </c>
      <c r="L7969" t="b">
        <v>1</v>
      </c>
      <c r="M7969" t="str">
        <f>HYPERLINK("https://arizona.app.box.com/file/389267187540")</f>
        <v>https://arizona.app.box.com/file/389267187540</v>
      </c>
    </row>
    <row r="7970" spans="1:25" x14ac:dyDescent="0.2">
      <c r="A7970">
        <v>6183</v>
      </c>
      <c r="B7970" t="s">
        <v>11527</v>
      </c>
      <c r="C7970" t="s">
        <v>18</v>
      </c>
      <c r="D7970" t="s">
        <v>11530</v>
      </c>
      <c r="E7970" t="s">
        <v>3672</v>
      </c>
      <c r="F7970" t="s">
        <v>670</v>
      </c>
      <c r="G7970" t="s">
        <v>17</v>
      </c>
      <c r="J7970" t="b">
        <v>1</v>
      </c>
      <c r="K7970" t="b">
        <v>1</v>
      </c>
      <c r="L7970" t="b">
        <v>1</v>
      </c>
      <c r="M7970" t="str">
        <f>HYPERLINK("https://arizona.app.box.com/file/389162439916")</f>
        <v>https://arizona.app.box.com/file/389162439916</v>
      </c>
    </row>
    <row r="7971" spans="1:25" x14ac:dyDescent="0.2">
      <c r="A7971">
        <v>6184</v>
      </c>
      <c r="B7971" t="s">
        <v>11527</v>
      </c>
      <c r="C7971" t="s">
        <v>18</v>
      </c>
      <c r="D7971" t="s">
        <v>11531</v>
      </c>
      <c r="E7971" t="s">
        <v>11532</v>
      </c>
      <c r="F7971" t="s">
        <v>122</v>
      </c>
      <c r="G7971" t="s">
        <v>24</v>
      </c>
      <c r="J7971" t="b">
        <v>0</v>
      </c>
      <c r="K7971" t="b">
        <v>0</v>
      </c>
      <c r="L7971" t="b">
        <v>0</v>
      </c>
      <c r="M7971" t="str">
        <f>HYPERLINK("https://arizona.app.box.com/file/386227780200")</f>
        <v>https://arizona.app.box.com/file/386227780200</v>
      </c>
      <c r="N7971" t="str">
        <f>HYPERLINK("https://arizona.app.box.com/file/386238321649")</f>
        <v>https://arizona.app.box.com/file/386238321649</v>
      </c>
    </row>
    <row r="7972" spans="1:25" x14ac:dyDescent="0.2">
      <c r="A7972">
        <v>6185</v>
      </c>
      <c r="B7972" t="s">
        <v>11527</v>
      </c>
      <c r="C7972" t="s">
        <v>18</v>
      </c>
      <c r="D7972" t="s">
        <v>11533</v>
      </c>
      <c r="E7972" t="s">
        <v>11534</v>
      </c>
      <c r="F7972" t="s">
        <v>670</v>
      </c>
      <c r="G7972" t="s">
        <v>17</v>
      </c>
      <c r="J7972" t="b">
        <v>0</v>
      </c>
      <c r="K7972" t="b">
        <v>0</v>
      </c>
      <c r="L7972" t="b">
        <v>0</v>
      </c>
    </row>
    <row r="7973" spans="1:25" x14ac:dyDescent="0.2">
      <c r="A7973">
        <v>6186</v>
      </c>
      <c r="B7973" t="s">
        <v>11527</v>
      </c>
      <c r="C7973" t="s">
        <v>18</v>
      </c>
      <c r="D7973" t="s">
        <v>8813</v>
      </c>
      <c r="E7973" t="s">
        <v>8814</v>
      </c>
      <c r="F7973" t="s">
        <v>670</v>
      </c>
      <c r="G7973" t="s">
        <v>24</v>
      </c>
      <c r="J7973" t="b">
        <v>0</v>
      </c>
      <c r="K7973" t="b">
        <v>0</v>
      </c>
      <c r="L7973" t="b">
        <v>0</v>
      </c>
      <c r="M7973" t="str">
        <f>HYPERLINK("https://arizona.app.box.com/file/386227254978")</f>
        <v>https://arizona.app.box.com/file/386227254978</v>
      </c>
    </row>
    <row r="7975" spans="1:25" x14ac:dyDescent="0.2">
      <c r="A7975" s="2">
        <v>6314</v>
      </c>
      <c r="B7975" s="2" t="s">
        <v>11535</v>
      </c>
      <c r="C7975" s="2" t="s">
        <v>13</v>
      </c>
      <c r="D7975" s="2" t="s">
        <v>11536</v>
      </c>
      <c r="E7975" s="2" t="s">
        <v>11537</v>
      </c>
      <c r="F7975" s="2" t="s">
        <v>369</v>
      </c>
      <c r="G7975" s="2" t="s">
        <v>17</v>
      </c>
      <c r="H7975" s="2"/>
      <c r="I7975" s="2"/>
      <c r="J7975" s="2"/>
      <c r="K7975" s="2"/>
      <c r="L7975" s="2"/>
      <c r="M7975" s="2"/>
      <c r="N7975" s="2"/>
      <c r="O7975" s="2"/>
      <c r="P7975" s="2"/>
      <c r="Q7975" s="2"/>
      <c r="R7975" s="2"/>
      <c r="S7975" s="2"/>
      <c r="T7975" s="2"/>
      <c r="U7975" s="2"/>
      <c r="V7975" s="2"/>
      <c r="W7975" s="2"/>
      <c r="X7975" s="2"/>
      <c r="Y7975" s="2"/>
    </row>
    <row r="7976" spans="1:25" x14ac:dyDescent="0.2">
      <c r="A7976">
        <v>6315</v>
      </c>
      <c r="B7976" t="s">
        <v>11535</v>
      </c>
      <c r="C7976" t="s">
        <v>18</v>
      </c>
      <c r="D7976" t="s">
        <v>380</v>
      </c>
      <c r="E7976" t="s">
        <v>381</v>
      </c>
      <c r="F7976" t="s">
        <v>31</v>
      </c>
      <c r="G7976" t="s">
        <v>24</v>
      </c>
      <c r="J7976" t="b">
        <v>0</v>
      </c>
      <c r="K7976" t="b">
        <v>0</v>
      </c>
      <c r="L7976" t="b">
        <v>0</v>
      </c>
      <c r="M7976" t="str">
        <f>HYPERLINK("https://arizona.app.box.com/file/389172430439")</f>
        <v>https://arizona.app.box.com/file/389172430439</v>
      </c>
      <c r="N7976" t="str">
        <f>HYPERLINK("https://arizona.app.box.com/file/386238663428")</f>
        <v>https://arizona.app.box.com/file/386238663428</v>
      </c>
    </row>
    <row r="7977" spans="1:25" x14ac:dyDescent="0.2">
      <c r="A7977">
        <v>6316</v>
      </c>
      <c r="B7977" t="s">
        <v>11535</v>
      </c>
      <c r="C7977" t="s">
        <v>18</v>
      </c>
      <c r="D7977" t="s">
        <v>382</v>
      </c>
      <c r="E7977" t="s">
        <v>381</v>
      </c>
      <c r="F7977" t="s">
        <v>20</v>
      </c>
      <c r="G7977" t="s">
        <v>24</v>
      </c>
      <c r="J7977" t="b">
        <v>0</v>
      </c>
      <c r="K7977" t="b">
        <v>0</v>
      </c>
      <c r="L7977" t="b">
        <v>0</v>
      </c>
      <c r="M7977" t="str">
        <f>HYPERLINK("https://arizona.app.box.com/file/386237350867")</f>
        <v>https://arizona.app.box.com/file/386237350867</v>
      </c>
    </row>
    <row r="7978" spans="1:25" x14ac:dyDescent="0.2">
      <c r="A7978">
        <v>6317</v>
      </c>
      <c r="B7978" t="s">
        <v>11535</v>
      </c>
      <c r="C7978" t="s">
        <v>18</v>
      </c>
      <c r="D7978" t="s">
        <v>5918</v>
      </c>
      <c r="E7978" t="s">
        <v>5919</v>
      </c>
      <c r="F7978" t="s">
        <v>122</v>
      </c>
      <c r="G7978" t="s">
        <v>24</v>
      </c>
      <c r="J7978" t="b">
        <v>0</v>
      </c>
      <c r="K7978" t="b">
        <v>0</v>
      </c>
      <c r="L7978" t="b">
        <v>0</v>
      </c>
      <c r="M7978" t="str">
        <f>HYPERLINK("https://arizona.app.box.com/file/386244830102")</f>
        <v>https://arizona.app.box.com/file/386244830102</v>
      </c>
      <c r="N7978" t="str">
        <f>HYPERLINK("https://arizona.app.box.com/file/386217114853")</f>
        <v>https://arizona.app.box.com/file/386217114853</v>
      </c>
    </row>
    <row r="7979" spans="1:25" x14ac:dyDescent="0.2">
      <c r="A7979">
        <v>6318</v>
      </c>
      <c r="B7979" t="s">
        <v>11535</v>
      </c>
      <c r="C7979" t="s">
        <v>18</v>
      </c>
      <c r="D7979" t="s">
        <v>383</v>
      </c>
      <c r="E7979" t="s">
        <v>384</v>
      </c>
      <c r="F7979" t="s">
        <v>369</v>
      </c>
      <c r="G7979" t="s">
        <v>24</v>
      </c>
      <c r="J7979" t="b">
        <v>0</v>
      </c>
      <c r="K7979" t="b">
        <v>0</v>
      </c>
      <c r="L7979" t="b">
        <v>0</v>
      </c>
      <c r="M7979" t="str">
        <f>HYPERLINK("https://arizona.app.box.com/file/389264577078")</f>
        <v>https://arizona.app.box.com/file/389264577078</v>
      </c>
      <c r="N7979" t="str">
        <f>HYPERLINK("https://arizona.app.box.com/file/389153133767")</f>
        <v>https://arizona.app.box.com/file/389153133767</v>
      </c>
    </row>
    <row r="7980" spans="1:25" x14ac:dyDescent="0.2">
      <c r="A7980">
        <v>6319</v>
      </c>
      <c r="B7980" t="s">
        <v>11535</v>
      </c>
      <c r="C7980" t="s">
        <v>18</v>
      </c>
      <c r="D7980" t="s">
        <v>8254</v>
      </c>
      <c r="E7980" t="s">
        <v>8255</v>
      </c>
      <c r="F7980" t="s">
        <v>16</v>
      </c>
      <c r="G7980" t="s">
        <v>24</v>
      </c>
      <c r="J7980" t="b">
        <v>0</v>
      </c>
      <c r="K7980" t="b">
        <v>0</v>
      </c>
      <c r="L7980" t="b">
        <v>0</v>
      </c>
      <c r="M7980" t="str">
        <f>HYPERLINK("https://arizona.app.box.com/file/389172341174")</f>
        <v>https://arizona.app.box.com/file/389172341174</v>
      </c>
    </row>
    <row r="7982" spans="1:25" x14ac:dyDescent="0.2">
      <c r="A7982" s="2">
        <v>6328</v>
      </c>
      <c r="B7982" s="2" t="s">
        <v>11538</v>
      </c>
      <c r="C7982" s="2" t="s">
        <v>13</v>
      </c>
      <c r="D7982" s="2" t="s">
        <v>7593</v>
      </c>
      <c r="E7982" s="2" t="s">
        <v>7594</v>
      </c>
      <c r="F7982" s="2" t="s">
        <v>78</v>
      </c>
      <c r="G7982" s="2" t="s">
        <v>1047</v>
      </c>
      <c r="H7982" s="2"/>
      <c r="I7982" s="2"/>
      <c r="J7982" s="2"/>
      <c r="K7982" s="2"/>
      <c r="L7982" s="2"/>
      <c r="M7982" s="2"/>
      <c r="N7982" s="2"/>
      <c r="O7982" s="2"/>
      <c r="P7982" s="2"/>
      <c r="Q7982" s="2"/>
      <c r="R7982" s="2"/>
      <c r="S7982" s="2"/>
      <c r="T7982" s="2"/>
      <c r="U7982" s="2"/>
      <c r="V7982" s="2"/>
      <c r="W7982" s="2"/>
      <c r="X7982" s="2"/>
      <c r="Y7982" s="2"/>
    </row>
    <row r="7983" spans="1:25" x14ac:dyDescent="0.2">
      <c r="A7983">
        <v>6329</v>
      </c>
      <c r="B7983" t="s">
        <v>11538</v>
      </c>
      <c r="C7983" t="s">
        <v>18</v>
      </c>
      <c r="D7983" t="s">
        <v>7593</v>
      </c>
      <c r="E7983" t="s">
        <v>7594</v>
      </c>
      <c r="F7983" t="s">
        <v>78</v>
      </c>
      <c r="G7983" t="s">
        <v>1047</v>
      </c>
      <c r="J7983" t="b">
        <v>1</v>
      </c>
      <c r="K7983" t="b">
        <v>1</v>
      </c>
      <c r="L7983" t="b">
        <v>1</v>
      </c>
      <c r="M7983" t="str">
        <f>HYPERLINK("https://arizona.app.box.com/file/389173764815")</f>
        <v>https://arizona.app.box.com/file/389173764815</v>
      </c>
      <c r="N7983" t="str">
        <f>HYPERLINK("https://arizona.app.box.com/file/386214251567")</f>
        <v>https://arizona.app.box.com/file/386214251567</v>
      </c>
      <c r="O7983" t="str">
        <f>HYPERLINK("https://arizona.app.box.com/file/389170469336")</f>
        <v>https://arizona.app.box.com/file/389170469336</v>
      </c>
      <c r="P7983" t="str">
        <f>HYPERLINK("https://arizona.app.box.com/file/386225489986")</f>
        <v>https://arizona.app.box.com/file/386225489986</v>
      </c>
    </row>
    <row r="7984" spans="1:25" x14ac:dyDescent="0.2">
      <c r="A7984">
        <v>6330</v>
      </c>
      <c r="B7984" t="s">
        <v>11538</v>
      </c>
      <c r="C7984" t="s">
        <v>18</v>
      </c>
      <c r="D7984" t="s">
        <v>4980</v>
      </c>
      <c r="E7984" t="s">
        <v>1038</v>
      </c>
      <c r="F7984" t="s">
        <v>369</v>
      </c>
      <c r="G7984" t="s">
        <v>134</v>
      </c>
      <c r="J7984" t="b">
        <v>0</v>
      </c>
      <c r="K7984" t="b">
        <v>0</v>
      </c>
      <c r="L7984" t="b">
        <v>0</v>
      </c>
      <c r="M7984" t="str">
        <f>HYPERLINK("https://arizona.app.box.com/file/389163996359")</f>
        <v>https://arizona.app.box.com/file/389163996359</v>
      </c>
    </row>
    <row r="7985" spans="1:25" x14ac:dyDescent="0.2">
      <c r="A7985">
        <v>6331</v>
      </c>
      <c r="B7985" t="s">
        <v>11538</v>
      </c>
      <c r="C7985" t="s">
        <v>18</v>
      </c>
      <c r="D7985" t="s">
        <v>11539</v>
      </c>
      <c r="E7985" t="s">
        <v>2109</v>
      </c>
      <c r="F7985" t="s">
        <v>78</v>
      </c>
      <c r="G7985" t="s">
        <v>130</v>
      </c>
      <c r="J7985" t="b">
        <v>0</v>
      </c>
      <c r="K7985" t="b">
        <v>0</v>
      </c>
      <c r="L7985" t="b">
        <v>0</v>
      </c>
      <c r="M7985" t="str">
        <f>HYPERLINK("https://arizona.app.box.com/file/389174366198")</f>
        <v>https://arizona.app.box.com/file/389174366198</v>
      </c>
    </row>
    <row r="7986" spans="1:25" x14ac:dyDescent="0.2">
      <c r="A7986">
        <v>6332</v>
      </c>
      <c r="B7986" t="s">
        <v>11538</v>
      </c>
      <c r="C7986" t="s">
        <v>18</v>
      </c>
      <c r="D7986" t="s">
        <v>3694</v>
      </c>
      <c r="E7986" t="s">
        <v>3695</v>
      </c>
      <c r="F7986" t="s">
        <v>78</v>
      </c>
      <c r="G7986" t="s">
        <v>130</v>
      </c>
      <c r="J7986" t="b">
        <v>0</v>
      </c>
      <c r="K7986" t="b">
        <v>0</v>
      </c>
      <c r="L7986" t="b">
        <v>0</v>
      </c>
      <c r="M7986" t="str">
        <f>HYPERLINK("https://arizona.app.box.com/file/389262506707")</f>
        <v>https://arizona.app.box.com/file/389262506707</v>
      </c>
      <c r="N7986" t="str">
        <f>HYPERLINK("https://arizona.app.box.com/file/389163289701")</f>
        <v>https://arizona.app.box.com/file/389163289701</v>
      </c>
    </row>
    <row r="7987" spans="1:25" x14ac:dyDescent="0.2">
      <c r="A7987">
        <v>6333</v>
      </c>
      <c r="B7987" t="s">
        <v>11538</v>
      </c>
      <c r="C7987" t="s">
        <v>18</v>
      </c>
      <c r="D7987" t="s">
        <v>3700</v>
      </c>
      <c r="E7987" t="s">
        <v>3701</v>
      </c>
      <c r="F7987" t="s">
        <v>78</v>
      </c>
      <c r="G7987" t="s">
        <v>130</v>
      </c>
      <c r="J7987" t="b">
        <v>0</v>
      </c>
      <c r="K7987" t="b">
        <v>0</v>
      </c>
      <c r="L7987" t="b">
        <v>0</v>
      </c>
      <c r="M7987" t="str">
        <f>HYPERLINK("https://arizona.app.box.com/file/386227741968")</f>
        <v>https://arizona.app.box.com/file/386227741968</v>
      </c>
    </row>
    <row r="7989" spans="1:25" x14ac:dyDescent="0.2">
      <c r="A7989" s="2">
        <v>6356</v>
      </c>
      <c r="B7989" s="2" t="s">
        <v>11540</v>
      </c>
      <c r="C7989" s="2" t="s">
        <v>13</v>
      </c>
      <c r="D7989" s="2" t="s">
        <v>11541</v>
      </c>
      <c r="E7989" s="2" t="s">
        <v>11542</v>
      </c>
      <c r="F7989" s="2" t="s">
        <v>451</v>
      </c>
      <c r="G7989" s="2" t="s">
        <v>88</v>
      </c>
      <c r="H7989" s="2"/>
      <c r="I7989" s="2"/>
      <c r="J7989" s="2"/>
      <c r="K7989" s="2"/>
      <c r="L7989" s="2"/>
      <c r="M7989" s="2"/>
      <c r="N7989" s="2"/>
      <c r="O7989" s="2"/>
      <c r="P7989" s="2"/>
      <c r="Q7989" s="2"/>
      <c r="R7989" s="2"/>
      <c r="S7989" s="2"/>
      <c r="T7989" s="2"/>
      <c r="U7989" s="2"/>
      <c r="V7989" s="2"/>
      <c r="W7989" s="2"/>
      <c r="X7989" s="2"/>
      <c r="Y7989" s="2"/>
    </row>
    <row r="7990" spans="1:25" x14ac:dyDescent="0.2">
      <c r="A7990">
        <v>6357</v>
      </c>
      <c r="B7990" t="s">
        <v>11540</v>
      </c>
      <c r="C7990" t="s">
        <v>18</v>
      </c>
      <c r="D7990" t="s">
        <v>11541</v>
      </c>
      <c r="E7990" t="s">
        <v>11543</v>
      </c>
      <c r="F7990" t="s">
        <v>451</v>
      </c>
      <c r="G7990" t="s">
        <v>88</v>
      </c>
      <c r="J7990" t="b">
        <v>1</v>
      </c>
      <c r="K7990" t="b">
        <v>1</v>
      </c>
      <c r="L7990" t="b">
        <v>1</v>
      </c>
      <c r="M7990" t="str">
        <f>HYPERLINK("https://arizona.app.box.com/file/386250207298")</f>
        <v>https://arizona.app.box.com/file/386250207298</v>
      </c>
    </row>
    <row r="7991" spans="1:25" x14ac:dyDescent="0.2">
      <c r="A7991">
        <v>6358</v>
      </c>
      <c r="B7991" t="s">
        <v>11540</v>
      </c>
      <c r="C7991" t="s">
        <v>18</v>
      </c>
      <c r="D7991" t="s">
        <v>11544</v>
      </c>
      <c r="E7991" t="s">
        <v>8111</v>
      </c>
      <c r="F7991" t="s">
        <v>451</v>
      </c>
      <c r="G7991" t="s">
        <v>88</v>
      </c>
      <c r="J7991" t="b">
        <v>1</v>
      </c>
      <c r="K7991" t="b">
        <v>1</v>
      </c>
      <c r="L7991" t="b">
        <v>1</v>
      </c>
      <c r="M7991" t="str">
        <f>HYPERLINK("https://arizona.app.box.com/file/386265361607")</f>
        <v>https://arizona.app.box.com/file/386265361607</v>
      </c>
    </row>
    <row r="7992" spans="1:25" x14ac:dyDescent="0.2">
      <c r="A7992">
        <v>6359</v>
      </c>
      <c r="B7992" t="s">
        <v>11540</v>
      </c>
      <c r="C7992" t="s">
        <v>18</v>
      </c>
      <c r="D7992" t="s">
        <v>11545</v>
      </c>
      <c r="E7992" t="s">
        <v>11546</v>
      </c>
      <c r="F7992" t="s">
        <v>82</v>
      </c>
      <c r="G7992" t="s">
        <v>88</v>
      </c>
      <c r="J7992" t="b">
        <v>0</v>
      </c>
      <c r="K7992" t="b">
        <v>0</v>
      </c>
      <c r="L7992" t="b">
        <v>0</v>
      </c>
    </row>
    <row r="7993" spans="1:25" x14ac:dyDescent="0.2">
      <c r="A7993">
        <v>6360</v>
      </c>
      <c r="B7993" t="s">
        <v>11540</v>
      </c>
      <c r="C7993" t="s">
        <v>18</v>
      </c>
      <c r="D7993" t="s">
        <v>11547</v>
      </c>
      <c r="E7993" t="s">
        <v>11548</v>
      </c>
      <c r="F7993" t="s">
        <v>82</v>
      </c>
      <c r="G7993" t="s">
        <v>88</v>
      </c>
      <c r="J7993" t="b">
        <v>0</v>
      </c>
      <c r="K7993" t="b">
        <v>0</v>
      </c>
      <c r="L7993" t="b">
        <v>0</v>
      </c>
    </row>
    <row r="7994" spans="1:25" x14ac:dyDescent="0.2">
      <c r="A7994">
        <v>6361</v>
      </c>
      <c r="B7994" t="s">
        <v>11540</v>
      </c>
      <c r="C7994" t="s">
        <v>18</v>
      </c>
      <c r="D7994" t="s">
        <v>11549</v>
      </c>
      <c r="E7994" t="s">
        <v>11550</v>
      </c>
      <c r="F7994" t="s">
        <v>82</v>
      </c>
      <c r="G7994" t="s">
        <v>88</v>
      </c>
      <c r="J7994" t="b">
        <v>0</v>
      </c>
      <c r="K7994" t="b">
        <v>0</v>
      </c>
      <c r="L7994" t="b">
        <v>0</v>
      </c>
    </row>
    <row r="7996" spans="1:25" x14ac:dyDescent="0.2">
      <c r="A7996" s="2">
        <v>637</v>
      </c>
      <c r="B7996" s="2" t="s">
        <v>11551</v>
      </c>
      <c r="C7996" s="2" t="s">
        <v>13</v>
      </c>
      <c r="D7996" s="2" t="s">
        <v>1703</v>
      </c>
      <c r="E7996" s="2" t="s">
        <v>1704</v>
      </c>
      <c r="F7996" s="2" t="s">
        <v>78</v>
      </c>
      <c r="G7996" s="2" t="s">
        <v>17</v>
      </c>
      <c r="H7996" s="2"/>
      <c r="I7996" s="2"/>
      <c r="J7996" s="2"/>
      <c r="K7996" s="2"/>
      <c r="L7996" s="2"/>
      <c r="M7996" s="2"/>
      <c r="N7996" s="2"/>
      <c r="O7996" s="2"/>
      <c r="P7996" s="2"/>
      <c r="Q7996" s="2"/>
      <c r="R7996" s="2"/>
      <c r="S7996" s="2"/>
      <c r="T7996" s="2"/>
      <c r="U7996" s="2"/>
      <c r="V7996" s="2"/>
      <c r="W7996" s="2"/>
      <c r="X7996" s="2"/>
      <c r="Y7996" s="2"/>
    </row>
    <row r="7997" spans="1:25" x14ac:dyDescent="0.2">
      <c r="A7997">
        <v>638</v>
      </c>
      <c r="B7997" t="s">
        <v>11551</v>
      </c>
      <c r="C7997" t="s">
        <v>18</v>
      </c>
      <c r="D7997" t="s">
        <v>1703</v>
      </c>
      <c r="E7997" t="s">
        <v>1704</v>
      </c>
      <c r="F7997" t="s">
        <v>78</v>
      </c>
      <c r="G7997" t="s">
        <v>17</v>
      </c>
      <c r="J7997" t="b">
        <v>1</v>
      </c>
      <c r="K7997" t="b">
        <v>1</v>
      </c>
      <c r="L7997" t="b">
        <v>1</v>
      </c>
      <c r="M7997" t="str">
        <f>HYPERLINK("https://arizona.app.box.com/file/389164160929")</f>
        <v>https://arizona.app.box.com/file/389164160929</v>
      </c>
      <c r="N7997" t="str">
        <f>HYPERLINK("https://arizona.app.box.com/file/389151911622")</f>
        <v>https://arizona.app.box.com/file/389151911622</v>
      </c>
    </row>
    <row r="7998" spans="1:25" x14ac:dyDescent="0.2">
      <c r="A7998">
        <v>639</v>
      </c>
      <c r="B7998" t="s">
        <v>11551</v>
      </c>
      <c r="C7998" t="s">
        <v>18</v>
      </c>
      <c r="D7998" t="s">
        <v>11552</v>
      </c>
      <c r="E7998" t="s">
        <v>11553</v>
      </c>
      <c r="F7998" t="s">
        <v>78</v>
      </c>
      <c r="G7998" t="s">
        <v>17</v>
      </c>
      <c r="J7998" t="b">
        <v>0</v>
      </c>
      <c r="K7998" t="b">
        <v>0</v>
      </c>
      <c r="L7998" t="b">
        <v>0</v>
      </c>
    </row>
    <row r="7999" spans="1:25" x14ac:dyDescent="0.2">
      <c r="A7999">
        <v>640</v>
      </c>
      <c r="B7999" t="s">
        <v>11551</v>
      </c>
      <c r="C7999" t="s">
        <v>18</v>
      </c>
      <c r="D7999" t="s">
        <v>215</v>
      </c>
      <c r="E7999" t="s">
        <v>216</v>
      </c>
      <c r="F7999" t="s">
        <v>78</v>
      </c>
      <c r="G7999" t="s">
        <v>17</v>
      </c>
      <c r="J7999" t="b">
        <v>0</v>
      </c>
      <c r="K7999" t="b">
        <v>0</v>
      </c>
      <c r="L7999" t="b">
        <v>0</v>
      </c>
      <c r="M7999" t="str">
        <f>HYPERLINK("https://arizona.app.box.com/file/389161899953")</f>
        <v>https://arizona.app.box.com/file/389161899953</v>
      </c>
      <c r="N7999" t="str">
        <f>HYPERLINK("https://arizona.app.box.com/file/389149413598")</f>
        <v>https://arizona.app.box.com/file/389149413598</v>
      </c>
    </row>
    <row r="8000" spans="1:25" x14ac:dyDescent="0.2">
      <c r="A8000">
        <v>641</v>
      </c>
      <c r="B8000" t="s">
        <v>11551</v>
      </c>
      <c r="C8000" t="s">
        <v>18</v>
      </c>
      <c r="D8000" t="s">
        <v>11554</v>
      </c>
      <c r="E8000" t="s">
        <v>11555</v>
      </c>
      <c r="F8000" t="s">
        <v>78</v>
      </c>
      <c r="G8000" t="s">
        <v>17</v>
      </c>
      <c r="J8000" t="b">
        <v>0</v>
      </c>
      <c r="K8000" t="b">
        <v>0</v>
      </c>
      <c r="L8000" t="b">
        <v>0</v>
      </c>
    </row>
    <row r="8001" spans="1:25" x14ac:dyDescent="0.2">
      <c r="A8001">
        <v>642</v>
      </c>
      <c r="B8001" t="s">
        <v>11551</v>
      </c>
      <c r="C8001" t="s">
        <v>18</v>
      </c>
      <c r="D8001" t="s">
        <v>1696</v>
      </c>
      <c r="E8001" t="s">
        <v>1698</v>
      </c>
      <c r="F8001" t="s">
        <v>31</v>
      </c>
      <c r="G8001" t="s">
        <v>17</v>
      </c>
      <c r="J8001" t="b">
        <v>0</v>
      </c>
      <c r="K8001" t="b">
        <v>0</v>
      </c>
      <c r="L8001" t="b">
        <v>0</v>
      </c>
      <c r="M8001" t="str">
        <f>HYPERLINK("https://arizona.app.box.com/file/389153576695")</f>
        <v>https://arizona.app.box.com/file/389153576695</v>
      </c>
    </row>
    <row r="8003" spans="1:25" x14ac:dyDescent="0.2">
      <c r="A8003" s="2">
        <v>6370</v>
      </c>
      <c r="B8003" s="2" t="s">
        <v>11556</v>
      </c>
      <c r="C8003" s="2" t="s">
        <v>13</v>
      </c>
      <c r="D8003" s="2" t="s">
        <v>11557</v>
      </c>
      <c r="E8003" s="2" t="s">
        <v>11558</v>
      </c>
      <c r="F8003" s="2" t="s">
        <v>168</v>
      </c>
      <c r="G8003" s="2" t="s">
        <v>17</v>
      </c>
      <c r="H8003" s="2"/>
      <c r="I8003" s="2"/>
      <c r="J8003" s="2"/>
      <c r="K8003" s="2"/>
      <c r="L8003" s="2"/>
      <c r="M8003" s="2"/>
      <c r="N8003" s="2"/>
      <c r="O8003" s="2"/>
      <c r="P8003" s="2"/>
      <c r="Q8003" s="2"/>
      <c r="R8003" s="2"/>
      <c r="S8003" s="2"/>
      <c r="T8003" s="2"/>
      <c r="U8003" s="2"/>
      <c r="V8003" s="2"/>
      <c r="W8003" s="2"/>
      <c r="X8003" s="2"/>
      <c r="Y8003" s="2"/>
    </row>
    <row r="8004" spans="1:25" x14ac:dyDescent="0.2">
      <c r="A8004">
        <v>6371</v>
      </c>
      <c r="B8004" t="s">
        <v>11556</v>
      </c>
      <c r="C8004" t="s">
        <v>18</v>
      </c>
      <c r="D8004" t="s">
        <v>11557</v>
      </c>
      <c r="E8004" t="s">
        <v>11559</v>
      </c>
      <c r="F8004" t="s">
        <v>168</v>
      </c>
      <c r="G8004" t="s">
        <v>17</v>
      </c>
      <c r="J8004" t="b">
        <v>1</v>
      </c>
      <c r="K8004" t="b">
        <v>1</v>
      </c>
      <c r="L8004" t="b">
        <v>1</v>
      </c>
    </row>
    <row r="8005" spans="1:25" x14ac:dyDescent="0.2">
      <c r="A8005">
        <v>6372</v>
      </c>
      <c r="B8005" t="s">
        <v>11556</v>
      </c>
      <c r="C8005" t="s">
        <v>18</v>
      </c>
      <c r="D8005" t="s">
        <v>11560</v>
      </c>
      <c r="E8005" t="s">
        <v>11561</v>
      </c>
      <c r="F8005" t="s">
        <v>168</v>
      </c>
      <c r="G8005" t="s">
        <v>17</v>
      </c>
      <c r="J8005" t="b">
        <v>1</v>
      </c>
      <c r="K8005" t="b">
        <v>1</v>
      </c>
      <c r="L8005" t="b">
        <v>1</v>
      </c>
      <c r="M8005" t="str">
        <f>HYPERLINK("https://arizona.app.box.com/file/389164509284")</f>
        <v>https://arizona.app.box.com/file/389164509284</v>
      </c>
    </row>
    <row r="8006" spans="1:25" x14ac:dyDescent="0.2">
      <c r="A8006">
        <v>6373</v>
      </c>
      <c r="B8006" t="s">
        <v>11556</v>
      </c>
      <c r="C8006" t="s">
        <v>18</v>
      </c>
      <c r="D8006" t="s">
        <v>11562</v>
      </c>
      <c r="E8006" t="s">
        <v>11563</v>
      </c>
      <c r="F8006" t="s">
        <v>168</v>
      </c>
      <c r="G8006" t="s">
        <v>17</v>
      </c>
      <c r="J8006" t="b">
        <v>1</v>
      </c>
      <c r="K8006" t="b">
        <v>1</v>
      </c>
      <c r="L8006" t="b">
        <v>1</v>
      </c>
      <c r="M8006" t="str">
        <f>HYPERLINK("https://arizona.app.box.com/file/389151717204")</f>
        <v>https://arizona.app.box.com/file/389151717204</v>
      </c>
    </row>
    <row r="8007" spans="1:25" x14ac:dyDescent="0.2">
      <c r="A8007">
        <v>6374</v>
      </c>
      <c r="B8007" t="s">
        <v>11556</v>
      </c>
      <c r="C8007" t="s">
        <v>18</v>
      </c>
      <c r="D8007" t="s">
        <v>11564</v>
      </c>
      <c r="E8007" t="s">
        <v>11565</v>
      </c>
      <c r="F8007" t="s">
        <v>168</v>
      </c>
      <c r="G8007" t="s">
        <v>17</v>
      </c>
      <c r="J8007" t="b">
        <v>0</v>
      </c>
      <c r="K8007" t="b">
        <v>0</v>
      </c>
      <c r="L8007" t="b">
        <v>0</v>
      </c>
    </row>
    <row r="8008" spans="1:25" x14ac:dyDescent="0.2">
      <c r="A8008">
        <v>6375</v>
      </c>
      <c r="B8008" t="s">
        <v>11556</v>
      </c>
      <c r="C8008" t="s">
        <v>18</v>
      </c>
      <c r="D8008" t="s">
        <v>8617</v>
      </c>
      <c r="E8008" t="s">
        <v>8618</v>
      </c>
      <c r="F8008" t="s">
        <v>168</v>
      </c>
      <c r="G8008" t="s">
        <v>17</v>
      </c>
      <c r="J8008" t="b">
        <v>0</v>
      </c>
      <c r="K8008" t="b">
        <v>0</v>
      </c>
      <c r="L8008" t="b">
        <v>0</v>
      </c>
    </row>
    <row r="8010" spans="1:25" x14ac:dyDescent="0.2">
      <c r="A8010" s="2">
        <v>6377</v>
      </c>
      <c r="B8010" s="2" t="s">
        <v>11566</v>
      </c>
      <c r="C8010" s="2" t="s">
        <v>13</v>
      </c>
      <c r="D8010" s="2" t="s">
        <v>11567</v>
      </c>
      <c r="E8010" s="2" t="s">
        <v>11568</v>
      </c>
      <c r="F8010" s="2" t="s">
        <v>151</v>
      </c>
      <c r="G8010" s="2" t="s">
        <v>24</v>
      </c>
      <c r="H8010" s="2"/>
      <c r="I8010" s="2"/>
      <c r="J8010" s="2"/>
      <c r="K8010" s="2"/>
      <c r="L8010" s="2"/>
      <c r="M8010" s="2"/>
      <c r="N8010" s="2"/>
      <c r="O8010" s="2"/>
      <c r="P8010" s="2"/>
      <c r="Q8010" s="2"/>
      <c r="R8010" s="2"/>
      <c r="S8010" s="2"/>
      <c r="T8010" s="2"/>
      <c r="U8010" s="2"/>
      <c r="V8010" s="2"/>
      <c r="W8010" s="2"/>
      <c r="X8010" s="2"/>
      <c r="Y8010" s="2"/>
    </row>
    <row r="8011" spans="1:25" x14ac:dyDescent="0.2">
      <c r="A8011">
        <v>6378</v>
      </c>
      <c r="B8011" t="s">
        <v>11566</v>
      </c>
      <c r="C8011" t="s">
        <v>18</v>
      </c>
      <c r="D8011" t="s">
        <v>11567</v>
      </c>
      <c r="E8011" t="s">
        <v>431</v>
      </c>
      <c r="F8011" t="s">
        <v>151</v>
      </c>
      <c r="G8011" t="s">
        <v>24</v>
      </c>
      <c r="J8011" t="b">
        <v>1</v>
      </c>
      <c r="K8011" t="b">
        <v>1</v>
      </c>
      <c r="L8011" t="b">
        <v>1</v>
      </c>
      <c r="M8011" t="str">
        <f>HYPERLINK("https://arizona.app.box.com/file/389186201426")</f>
        <v>https://arizona.app.box.com/file/389186201426</v>
      </c>
      <c r="N8011" t="str">
        <f>HYPERLINK("https://arizona.app.box.com/file/386233785229")</f>
        <v>https://arizona.app.box.com/file/386233785229</v>
      </c>
    </row>
    <row r="8012" spans="1:25" x14ac:dyDescent="0.2">
      <c r="A8012">
        <v>6379</v>
      </c>
      <c r="B8012" t="s">
        <v>11566</v>
      </c>
      <c r="C8012" t="s">
        <v>18</v>
      </c>
      <c r="D8012" t="s">
        <v>1258</v>
      </c>
      <c r="E8012" t="s">
        <v>1259</v>
      </c>
      <c r="F8012" t="s">
        <v>151</v>
      </c>
      <c r="G8012" t="s">
        <v>24</v>
      </c>
      <c r="J8012" t="b">
        <v>1</v>
      </c>
      <c r="K8012" t="b">
        <v>1</v>
      </c>
      <c r="L8012" t="b">
        <v>1</v>
      </c>
      <c r="M8012" t="str">
        <f>HYPERLINK("https://arizona.app.box.com/file/386241647264")</f>
        <v>https://arizona.app.box.com/file/386241647264</v>
      </c>
    </row>
    <row r="8013" spans="1:25" x14ac:dyDescent="0.2">
      <c r="A8013">
        <v>6380</v>
      </c>
      <c r="B8013" t="s">
        <v>11566</v>
      </c>
      <c r="C8013" t="s">
        <v>18</v>
      </c>
      <c r="D8013" t="s">
        <v>5978</v>
      </c>
      <c r="E8013" t="s">
        <v>891</v>
      </c>
      <c r="F8013" t="s">
        <v>670</v>
      </c>
      <c r="G8013" t="s">
        <v>24</v>
      </c>
      <c r="J8013" t="b">
        <v>0</v>
      </c>
      <c r="K8013" t="b">
        <v>0</v>
      </c>
      <c r="L8013" t="b">
        <v>0</v>
      </c>
      <c r="M8013" t="str">
        <f>HYPERLINK("https://arizona.app.box.com/file/386239998591")</f>
        <v>https://arizona.app.box.com/file/386239998591</v>
      </c>
    </row>
    <row r="8014" spans="1:25" x14ac:dyDescent="0.2">
      <c r="A8014">
        <v>6381</v>
      </c>
      <c r="B8014" t="s">
        <v>11566</v>
      </c>
      <c r="C8014" t="s">
        <v>18</v>
      </c>
      <c r="D8014" t="s">
        <v>1248</v>
      </c>
      <c r="E8014" t="s">
        <v>1249</v>
      </c>
      <c r="F8014" t="s">
        <v>78</v>
      </c>
      <c r="G8014" t="s">
        <v>24</v>
      </c>
      <c r="J8014" t="b">
        <v>0</v>
      </c>
      <c r="K8014" t="b">
        <v>0</v>
      </c>
      <c r="L8014" t="b">
        <v>0</v>
      </c>
      <c r="M8014" t="str">
        <f>HYPERLINK("https://arizona.app.box.com/file/386239784114")</f>
        <v>https://arizona.app.box.com/file/386239784114</v>
      </c>
      <c r="N8014" t="str">
        <f>HYPERLINK("https://arizona.app.box.com/file/386234140318")</f>
        <v>https://arizona.app.box.com/file/386234140318</v>
      </c>
    </row>
    <row r="8015" spans="1:25" x14ac:dyDescent="0.2">
      <c r="A8015">
        <v>6382</v>
      </c>
      <c r="B8015" t="s">
        <v>11566</v>
      </c>
      <c r="C8015" t="s">
        <v>18</v>
      </c>
      <c r="D8015" t="s">
        <v>3087</v>
      </c>
      <c r="E8015" t="s">
        <v>3088</v>
      </c>
      <c r="F8015" t="s">
        <v>151</v>
      </c>
      <c r="G8015" t="s">
        <v>24</v>
      </c>
      <c r="J8015" t="b">
        <v>0</v>
      </c>
      <c r="K8015" t="b">
        <v>0</v>
      </c>
      <c r="L8015" t="b">
        <v>0</v>
      </c>
      <c r="M8015" t="str">
        <f>HYPERLINK("https://arizona.app.box.com/file/386237823903")</f>
        <v>https://arizona.app.box.com/file/386237823903</v>
      </c>
    </row>
    <row r="8017" spans="1:25" x14ac:dyDescent="0.2">
      <c r="A8017" s="2">
        <v>6384</v>
      </c>
      <c r="B8017" s="2" t="s">
        <v>11569</v>
      </c>
      <c r="C8017" s="2" t="s">
        <v>13</v>
      </c>
      <c r="D8017" s="2" t="s">
        <v>11570</v>
      </c>
      <c r="E8017" s="2" t="s">
        <v>11571</v>
      </c>
      <c r="F8017" s="2" t="s">
        <v>78</v>
      </c>
      <c r="G8017" s="2" t="s">
        <v>134</v>
      </c>
      <c r="H8017" s="2"/>
      <c r="I8017" s="2"/>
      <c r="J8017" s="2"/>
      <c r="K8017" s="2"/>
      <c r="L8017" s="2"/>
      <c r="M8017" s="2"/>
      <c r="N8017" s="2"/>
      <c r="O8017" s="2"/>
      <c r="P8017" s="2"/>
      <c r="Q8017" s="2"/>
      <c r="R8017" s="2"/>
      <c r="S8017" s="2"/>
      <c r="T8017" s="2"/>
      <c r="U8017" s="2"/>
      <c r="V8017" s="2"/>
      <c r="W8017" s="2"/>
      <c r="X8017" s="2"/>
      <c r="Y8017" s="2"/>
    </row>
    <row r="8018" spans="1:25" x14ac:dyDescent="0.2">
      <c r="A8018">
        <v>6385</v>
      </c>
      <c r="B8018" t="s">
        <v>11569</v>
      </c>
      <c r="C8018" t="s">
        <v>18</v>
      </c>
      <c r="D8018" t="s">
        <v>11570</v>
      </c>
      <c r="E8018" t="s">
        <v>11571</v>
      </c>
      <c r="F8018" t="s">
        <v>78</v>
      </c>
      <c r="G8018" t="s">
        <v>134</v>
      </c>
      <c r="J8018" t="b">
        <v>1</v>
      </c>
      <c r="K8018" t="b">
        <v>1</v>
      </c>
      <c r="L8018" t="b">
        <v>1</v>
      </c>
      <c r="M8018" t="str">
        <f>HYPERLINK("https://arizona.app.box.com/file/389166859056")</f>
        <v>https://arizona.app.box.com/file/389166859056</v>
      </c>
      <c r="N8018" t="str">
        <f>HYPERLINK("https://arizona.app.box.com/file/389162473851")</f>
        <v>https://arizona.app.box.com/file/389162473851</v>
      </c>
    </row>
    <row r="8019" spans="1:25" x14ac:dyDescent="0.2">
      <c r="A8019">
        <v>6386</v>
      </c>
      <c r="B8019" t="s">
        <v>11569</v>
      </c>
      <c r="C8019" t="s">
        <v>18</v>
      </c>
      <c r="D8019" t="s">
        <v>3275</v>
      </c>
      <c r="E8019" t="s">
        <v>3276</v>
      </c>
      <c r="F8019" t="s">
        <v>78</v>
      </c>
      <c r="G8019" t="s">
        <v>88</v>
      </c>
      <c r="J8019" t="b">
        <v>0</v>
      </c>
      <c r="K8019" t="b">
        <v>0</v>
      </c>
      <c r="L8019" t="b">
        <v>0</v>
      </c>
    </row>
    <row r="8020" spans="1:25" x14ac:dyDescent="0.2">
      <c r="A8020">
        <v>6387</v>
      </c>
      <c r="B8020" t="s">
        <v>11569</v>
      </c>
      <c r="C8020" t="s">
        <v>18</v>
      </c>
      <c r="D8020" t="s">
        <v>11572</v>
      </c>
      <c r="E8020" t="s">
        <v>11573</v>
      </c>
      <c r="F8020" t="s">
        <v>78</v>
      </c>
      <c r="G8020" t="s">
        <v>252</v>
      </c>
      <c r="J8020" t="b">
        <v>0</v>
      </c>
      <c r="K8020" t="b">
        <v>0</v>
      </c>
      <c r="L8020" t="b">
        <v>0</v>
      </c>
      <c r="M8020" t="str">
        <f>HYPERLINK("https://arizona.app.box.com/file/386251984413")</f>
        <v>https://arizona.app.box.com/file/386251984413</v>
      </c>
      <c r="N8020" t="str">
        <f>HYPERLINK("https://arizona.app.box.com/file/386247138598")</f>
        <v>https://arizona.app.box.com/file/386247138598</v>
      </c>
    </row>
    <row r="8021" spans="1:25" x14ac:dyDescent="0.2">
      <c r="A8021">
        <v>6388</v>
      </c>
      <c r="B8021" t="s">
        <v>11569</v>
      </c>
      <c r="C8021" t="s">
        <v>18</v>
      </c>
      <c r="D8021" t="s">
        <v>1561</v>
      </c>
      <c r="E8021" t="s">
        <v>1562</v>
      </c>
      <c r="F8021" t="s">
        <v>78</v>
      </c>
      <c r="G8021" t="s">
        <v>88</v>
      </c>
      <c r="J8021" t="b">
        <v>0</v>
      </c>
      <c r="K8021" t="b">
        <v>0</v>
      </c>
      <c r="L8021" t="b">
        <v>0</v>
      </c>
      <c r="M8021" t="str">
        <f>HYPERLINK("https://arizona.app.box.com/file/389168808606")</f>
        <v>https://arizona.app.box.com/file/389168808606</v>
      </c>
      <c r="N8021" t="str">
        <f>HYPERLINK("https://arizona.app.box.com/file/386236659686")</f>
        <v>https://arizona.app.box.com/file/386236659686</v>
      </c>
    </row>
    <row r="8022" spans="1:25" x14ac:dyDescent="0.2">
      <c r="A8022">
        <v>6389</v>
      </c>
      <c r="B8022" t="s">
        <v>11569</v>
      </c>
      <c r="C8022" t="s">
        <v>18</v>
      </c>
      <c r="D8022" t="s">
        <v>1569</v>
      </c>
      <c r="E8022" t="s">
        <v>1570</v>
      </c>
      <c r="F8022" t="s">
        <v>78</v>
      </c>
      <c r="G8022" t="s">
        <v>88</v>
      </c>
      <c r="J8022" t="b">
        <v>0</v>
      </c>
      <c r="K8022" t="b">
        <v>0</v>
      </c>
      <c r="L8022" t="b">
        <v>0</v>
      </c>
      <c r="M8022" t="str">
        <f>HYPERLINK("https://arizona.app.box.com/file/389164958320")</f>
        <v>https://arizona.app.box.com/file/389164958320</v>
      </c>
      <c r="N8022" t="str">
        <f>HYPERLINK("https://arizona.app.box.com/file/386244450639")</f>
        <v>https://arizona.app.box.com/file/386244450639</v>
      </c>
    </row>
    <row r="8024" spans="1:25" x14ac:dyDescent="0.2">
      <c r="A8024" s="2">
        <v>6391</v>
      </c>
      <c r="B8024" s="2" t="s">
        <v>11574</v>
      </c>
      <c r="C8024" s="2" t="s">
        <v>13</v>
      </c>
      <c r="D8024" s="2" t="s">
        <v>5143</v>
      </c>
      <c r="E8024" s="2" t="s">
        <v>11575</v>
      </c>
      <c r="F8024" s="2" t="s">
        <v>159</v>
      </c>
      <c r="G8024" s="2" t="s">
        <v>1867</v>
      </c>
      <c r="H8024" s="2"/>
      <c r="I8024" s="2"/>
      <c r="J8024" s="2"/>
      <c r="K8024" s="2"/>
      <c r="L8024" s="2"/>
      <c r="M8024" s="2"/>
      <c r="N8024" s="2"/>
      <c r="O8024" s="2"/>
      <c r="P8024" s="2"/>
      <c r="Q8024" s="2"/>
      <c r="R8024" s="2"/>
      <c r="S8024" s="2"/>
      <c r="T8024" s="2"/>
      <c r="U8024" s="2"/>
      <c r="V8024" s="2"/>
      <c r="W8024" s="2"/>
      <c r="X8024" s="2"/>
      <c r="Y8024" s="2"/>
    </row>
    <row r="8025" spans="1:25" x14ac:dyDescent="0.2">
      <c r="A8025">
        <v>6392</v>
      </c>
      <c r="B8025" t="s">
        <v>11574</v>
      </c>
      <c r="C8025" t="s">
        <v>18</v>
      </c>
      <c r="D8025" t="s">
        <v>5143</v>
      </c>
      <c r="E8025" t="s">
        <v>5144</v>
      </c>
      <c r="F8025" t="s">
        <v>3988</v>
      </c>
      <c r="G8025" t="s">
        <v>1867</v>
      </c>
      <c r="J8025" t="b">
        <v>1</v>
      </c>
      <c r="K8025" t="b">
        <v>1</v>
      </c>
      <c r="L8025" t="b">
        <v>1</v>
      </c>
      <c r="M8025" t="str">
        <f>HYPERLINK("https://arizona.app.box.com/file/389261783757")</f>
        <v>https://arizona.app.box.com/file/389261783757</v>
      </c>
      <c r="N8025" t="str">
        <f>HYPERLINK("https://arizona.app.box.com/file/389166035856")</f>
        <v>https://arizona.app.box.com/file/389166035856</v>
      </c>
    </row>
    <row r="8026" spans="1:25" x14ac:dyDescent="0.2">
      <c r="A8026">
        <v>6393</v>
      </c>
      <c r="B8026" t="s">
        <v>11574</v>
      </c>
      <c r="C8026" t="s">
        <v>18</v>
      </c>
      <c r="D8026" t="s">
        <v>5139</v>
      </c>
      <c r="E8026" t="s">
        <v>5140</v>
      </c>
      <c r="F8026" t="s">
        <v>3988</v>
      </c>
      <c r="G8026" t="s">
        <v>1867</v>
      </c>
      <c r="J8026" t="b">
        <v>1</v>
      </c>
      <c r="K8026" t="b">
        <v>1</v>
      </c>
      <c r="L8026" t="b">
        <v>1</v>
      </c>
      <c r="M8026" t="str">
        <f>HYPERLINK("https://arizona.app.box.com/file/389262749028")</f>
        <v>https://arizona.app.box.com/file/389262749028</v>
      </c>
      <c r="N8026" t="str">
        <f>HYPERLINK("https://arizona.app.box.com/file/389169675500")</f>
        <v>https://arizona.app.box.com/file/389169675500</v>
      </c>
    </row>
    <row r="8027" spans="1:25" x14ac:dyDescent="0.2">
      <c r="A8027">
        <v>6394</v>
      </c>
      <c r="B8027" t="s">
        <v>11574</v>
      </c>
      <c r="C8027" t="s">
        <v>18</v>
      </c>
      <c r="D8027" t="s">
        <v>5137</v>
      </c>
      <c r="E8027" t="s">
        <v>363</v>
      </c>
      <c r="F8027" t="s">
        <v>159</v>
      </c>
      <c r="G8027" t="s">
        <v>1867</v>
      </c>
      <c r="J8027" t="b">
        <v>0</v>
      </c>
      <c r="K8027" t="b">
        <v>0</v>
      </c>
      <c r="L8027" t="b">
        <v>0</v>
      </c>
      <c r="M8027" t="str">
        <f>HYPERLINK("https://arizona.app.box.com/file/389170803068")</f>
        <v>https://arizona.app.box.com/file/389170803068</v>
      </c>
    </row>
    <row r="8028" spans="1:25" x14ac:dyDescent="0.2">
      <c r="A8028">
        <v>6395</v>
      </c>
      <c r="B8028" t="s">
        <v>11574</v>
      </c>
      <c r="C8028" t="s">
        <v>18</v>
      </c>
      <c r="D8028" t="s">
        <v>5131</v>
      </c>
      <c r="E8028" t="s">
        <v>5132</v>
      </c>
      <c r="F8028" t="s">
        <v>5133</v>
      </c>
      <c r="G8028" t="s">
        <v>1867</v>
      </c>
      <c r="J8028" t="b">
        <v>0</v>
      </c>
      <c r="K8028" t="b">
        <v>0</v>
      </c>
      <c r="L8028" t="b">
        <v>0</v>
      </c>
      <c r="M8028" t="str">
        <f>HYPERLINK("https://arizona.app.box.com/file/389255573995")</f>
        <v>https://arizona.app.box.com/file/389255573995</v>
      </c>
      <c r="N8028" t="str">
        <f>HYPERLINK("https://arizona.app.box.com/file/389138220578")</f>
        <v>https://arizona.app.box.com/file/389138220578</v>
      </c>
      <c r="O8028" t="str">
        <f>HYPERLINK("https://arizona.app.box.com/file/389266218916")</f>
        <v>https://arizona.app.box.com/file/389266218916</v>
      </c>
    </row>
    <row r="8029" spans="1:25" x14ac:dyDescent="0.2">
      <c r="A8029">
        <v>6396</v>
      </c>
      <c r="B8029" t="s">
        <v>11574</v>
      </c>
      <c r="C8029" t="s">
        <v>18</v>
      </c>
      <c r="D8029" t="s">
        <v>3467</v>
      </c>
      <c r="E8029" t="s">
        <v>3468</v>
      </c>
      <c r="F8029" t="s">
        <v>420</v>
      </c>
      <c r="G8029" t="s">
        <v>1867</v>
      </c>
      <c r="J8029" t="b">
        <v>0</v>
      </c>
      <c r="K8029" t="b">
        <v>0</v>
      </c>
      <c r="L8029" t="b">
        <v>0</v>
      </c>
      <c r="M8029" t="str">
        <f>HYPERLINK("https://arizona.app.box.com/file/389265296116")</f>
        <v>https://arizona.app.box.com/file/389265296116</v>
      </c>
      <c r="N8029" t="str">
        <f>HYPERLINK("https://arizona.app.box.com/file/389138387799")</f>
        <v>https://arizona.app.box.com/file/389138387799</v>
      </c>
      <c r="O8029" t="str">
        <f>HYPERLINK("https://arizona.app.box.com/file/389256105862")</f>
        <v>https://arizona.app.box.com/file/389256105862</v>
      </c>
      <c r="P8029" t="str">
        <f>HYPERLINK("https://arizona.app.box.com/file/389162267153")</f>
        <v>https://arizona.app.box.com/file/389162267153</v>
      </c>
    </row>
    <row r="8031" spans="1:25" x14ac:dyDescent="0.2">
      <c r="A8031" s="2">
        <v>6412</v>
      </c>
      <c r="B8031" s="2" t="s">
        <v>11576</v>
      </c>
      <c r="C8031" s="2" t="s">
        <v>13</v>
      </c>
      <c r="D8031" s="2" t="s">
        <v>11577</v>
      </c>
      <c r="E8031" s="2" t="s">
        <v>11578</v>
      </c>
      <c r="F8031" s="2" t="s">
        <v>420</v>
      </c>
      <c r="G8031" s="2" t="s">
        <v>1752</v>
      </c>
      <c r="H8031" s="2"/>
      <c r="I8031" s="2"/>
      <c r="J8031" s="2"/>
      <c r="K8031" s="2"/>
      <c r="L8031" s="2"/>
      <c r="M8031" s="2"/>
      <c r="N8031" s="2"/>
      <c r="O8031" s="2"/>
      <c r="P8031" s="2"/>
      <c r="Q8031" s="2"/>
      <c r="R8031" s="2"/>
      <c r="S8031" s="2"/>
      <c r="T8031" s="2"/>
      <c r="U8031" s="2"/>
      <c r="V8031" s="2"/>
      <c r="W8031" s="2"/>
      <c r="X8031" s="2"/>
      <c r="Y8031" s="2"/>
    </row>
    <row r="8032" spans="1:25" x14ac:dyDescent="0.2">
      <c r="A8032">
        <v>6413</v>
      </c>
      <c r="B8032" t="s">
        <v>11576</v>
      </c>
      <c r="C8032" t="s">
        <v>18</v>
      </c>
      <c r="D8032" t="s">
        <v>11579</v>
      </c>
      <c r="E8032" t="s">
        <v>8267</v>
      </c>
      <c r="F8032" t="s">
        <v>420</v>
      </c>
      <c r="G8032" t="s">
        <v>917</v>
      </c>
      <c r="J8032" t="b">
        <v>1</v>
      </c>
      <c r="K8032" t="b">
        <v>1</v>
      </c>
      <c r="L8032" t="b">
        <v>1</v>
      </c>
      <c r="M8032" t="str">
        <f>HYPERLINK("https://arizona.app.box.com/file/386216741468")</f>
        <v>https://arizona.app.box.com/file/386216741468</v>
      </c>
    </row>
    <row r="8033" spans="1:25" x14ac:dyDescent="0.2">
      <c r="A8033">
        <v>6414</v>
      </c>
      <c r="B8033" t="s">
        <v>11576</v>
      </c>
      <c r="C8033" t="s">
        <v>18</v>
      </c>
      <c r="D8033" t="s">
        <v>5774</v>
      </c>
      <c r="E8033" t="s">
        <v>5776</v>
      </c>
      <c r="F8033" t="s">
        <v>596</v>
      </c>
      <c r="G8033" t="s">
        <v>917</v>
      </c>
      <c r="J8033" t="b">
        <v>0</v>
      </c>
      <c r="K8033" t="b">
        <v>0</v>
      </c>
      <c r="L8033" t="b">
        <v>0</v>
      </c>
      <c r="M8033" t="str">
        <f>HYPERLINK("https://arizona.app.box.com/file/389266557295")</f>
        <v>https://arizona.app.box.com/file/389266557295</v>
      </c>
      <c r="N8033" t="str">
        <f>HYPERLINK("https://arizona.app.box.com/file/389164081606")</f>
        <v>https://arizona.app.box.com/file/389164081606</v>
      </c>
    </row>
    <row r="8034" spans="1:25" x14ac:dyDescent="0.2">
      <c r="A8034">
        <v>6415</v>
      </c>
      <c r="B8034" t="s">
        <v>11576</v>
      </c>
      <c r="C8034" t="s">
        <v>18</v>
      </c>
      <c r="D8034" t="s">
        <v>5779</v>
      </c>
      <c r="E8034" t="s">
        <v>1170</v>
      </c>
      <c r="F8034" t="s">
        <v>596</v>
      </c>
      <c r="G8034" t="s">
        <v>917</v>
      </c>
      <c r="J8034" t="b">
        <v>0</v>
      </c>
      <c r="K8034" t="b">
        <v>0</v>
      </c>
      <c r="L8034" t="b">
        <v>0</v>
      </c>
      <c r="M8034" t="str">
        <f>HYPERLINK("https://arizona.app.box.com/file/389264505617")</f>
        <v>https://arizona.app.box.com/file/389264505617</v>
      </c>
      <c r="N8034" t="str">
        <f>HYPERLINK("https://arizona.app.box.com/file/389162628217")</f>
        <v>https://arizona.app.box.com/file/389162628217</v>
      </c>
    </row>
    <row r="8035" spans="1:25" x14ac:dyDescent="0.2">
      <c r="A8035">
        <v>6416</v>
      </c>
      <c r="B8035" t="s">
        <v>11576</v>
      </c>
      <c r="C8035" t="s">
        <v>18</v>
      </c>
      <c r="D8035" t="s">
        <v>915</v>
      </c>
      <c r="E8035" t="s">
        <v>916</v>
      </c>
      <c r="F8035" t="s">
        <v>78</v>
      </c>
      <c r="G8035" t="s">
        <v>917</v>
      </c>
      <c r="J8035" t="b">
        <v>0</v>
      </c>
      <c r="K8035" t="b">
        <v>0</v>
      </c>
      <c r="L8035" t="b">
        <v>0</v>
      </c>
      <c r="M8035" t="str">
        <f>HYPERLINK("https://arizona.app.box.com/file/389172986885")</f>
        <v>https://arizona.app.box.com/file/389172986885</v>
      </c>
      <c r="N8035" t="str">
        <f>HYPERLINK("https://arizona.app.box.com/file/386242188598")</f>
        <v>https://arizona.app.box.com/file/386242188598</v>
      </c>
    </row>
    <row r="8036" spans="1:25" x14ac:dyDescent="0.2">
      <c r="A8036">
        <v>6417</v>
      </c>
      <c r="B8036" t="s">
        <v>11576</v>
      </c>
      <c r="C8036" t="s">
        <v>18</v>
      </c>
      <c r="D8036" t="s">
        <v>9860</v>
      </c>
      <c r="E8036" t="s">
        <v>9861</v>
      </c>
      <c r="F8036" t="s">
        <v>78</v>
      </c>
      <c r="G8036" t="s">
        <v>917</v>
      </c>
      <c r="J8036" t="b">
        <v>0</v>
      </c>
      <c r="K8036" t="b">
        <v>0</v>
      </c>
      <c r="L8036" t="b">
        <v>0</v>
      </c>
      <c r="M8036" t="str">
        <f>HYPERLINK("https://arizona.app.box.com/file/386235348134")</f>
        <v>https://arizona.app.box.com/file/386235348134</v>
      </c>
    </row>
    <row r="8038" spans="1:25" x14ac:dyDescent="0.2">
      <c r="A8038" s="2">
        <v>6482</v>
      </c>
      <c r="B8038" s="2" t="s">
        <v>11580</v>
      </c>
      <c r="C8038" s="2" t="s">
        <v>13</v>
      </c>
      <c r="D8038" s="2" t="s">
        <v>11581</v>
      </c>
      <c r="E8038" s="2" t="s">
        <v>11582</v>
      </c>
      <c r="F8038" s="2" t="s">
        <v>16</v>
      </c>
      <c r="G8038" s="2" t="s">
        <v>17</v>
      </c>
      <c r="H8038" s="2"/>
      <c r="I8038" s="2"/>
      <c r="J8038" s="2"/>
      <c r="K8038" s="2"/>
      <c r="L8038" s="2"/>
      <c r="M8038" s="2"/>
      <c r="N8038" s="2"/>
      <c r="O8038" s="2"/>
      <c r="P8038" s="2"/>
      <c r="Q8038" s="2"/>
      <c r="R8038" s="2"/>
      <c r="S8038" s="2"/>
      <c r="T8038" s="2"/>
      <c r="U8038" s="2"/>
      <c r="V8038" s="2"/>
      <c r="W8038" s="2"/>
      <c r="X8038" s="2"/>
      <c r="Y8038" s="2"/>
    </row>
    <row r="8039" spans="1:25" x14ac:dyDescent="0.2">
      <c r="A8039">
        <v>6483</v>
      </c>
      <c r="B8039" t="s">
        <v>11580</v>
      </c>
      <c r="C8039" t="s">
        <v>18</v>
      </c>
      <c r="D8039" t="s">
        <v>5232</v>
      </c>
      <c r="E8039" t="s">
        <v>3860</v>
      </c>
      <c r="F8039" t="s">
        <v>16</v>
      </c>
      <c r="G8039" t="s">
        <v>17</v>
      </c>
      <c r="J8039" t="b">
        <v>1</v>
      </c>
      <c r="K8039" t="b">
        <v>1</v>
      </c>
      <c r="L8039" t="b">
        <v>1</v>
      </c>
      <c r="M8039" t="str">
        <f>HYPERLINK("https://arizona.app.box.com/file/389264138015")</f>
        <v>https://arizona.app.box.com/file/389264138015</v>
      </c>
      <c r="N8039" t="str">
        <f>HYPERLINK("https://arizona.app.box.com/file/389152063640")</f>
        <v>https://arizona.app.box.com/file/389152063640</v>
      </c>
    </row>
    <row r="8040" spans="1:25" x14ac:dyDescent="0.2">
      <c r="A8040">
        <v>6484</v>
      </c>
      <c r="B8040" t="s">
        <v>11580</v>
      </c>
      <c r="C8040" t="s">
        <v>18</v>
      </c>
      <c r="D8040" t="s">
        <v>11315</v>
      </c>
      <c r="E8040" t="s">
        <v>7801</v>
      </c>
      <c r="F8040" t="s">
        <v>168</v>
      </c>
      <c r="G8040" t="s">
        <v>24</v>
      </c>
      <c r="J8040" t="b">
        <v>0</v>
      </c>
      <c r="K8040" t="b">
        <v>0</v>
      </c>
      <c r="L8040" t="b">
        <v>0</v>
      </c>
      <c r="M8040" t="str">
        <f>HYPERLINK("https://arizona.app.box.com/file/389261471645")</f>
        <v>https://arizona.app.box.com/file/389261471645</v>
      </c>
      <c r="N8040" t="str">
        <f>HYPERLINK("https://arizona.app.box.com/file/389161446944")</f>
        <v>https://arizona.app.box.com/file/389161446944</v>
      </c>
    </row>
    <row r="8041" spans="1:25" x14ac:dyDescent="0.2">
      <c r="A8041">
        <v>6485</v>
      </c>
      <c r="B8041" t="s">
        <v>11580</v>
      </c>
      <c r="C8041" t="s">
        <v>18</v>
      </c>
      <c r="D8041" t="s">
        <v>11583</v>
      </c>
      <c r="E8041" t="s">
        <v>11584</v>
      </c>
      <c r="F8041" t="s">
        <v>168</v>
      </c>
      <c r="G8041" t="s">
        <v>24</v>
      </c>
      <c r="J8041" t="b">
        <v>0</v>
      </c>
      <c r="K8041" t="b">
        <v>0</v>
      </c>
      <c r="L8041" t="b">
        <v>0</v>
      </c>
      <c r="M8041" t="str">
        <f>HYPERLINK("https://arizona.app.box.com/file/389167832328")</f>
        <v>https://arizona.app.box.com/file/389167832328</v>
      </c>
    </row>
    <row r="8042" spans="1:25" x14ac:dyDescent="0.2">
      <c r="A8042">
        <v>6486</v>
      </c>
      <c r="B8042" t="s">
        <v>11580</v>
      </c>
      <c r="C8042" t="s">
        <v>18</v>
      </c>
      <c r="D8042" t="s">
        <v>11585</v>
      </c>
      <c r="E8042" t="s">
        <v>11586</v>
      </c>
      <c r="F8042" t="s">
        <v>82</v>
      </c>
      <c r="G8042" t="s">
        <v>17</v>
      </c>
      <c r="J8042" t="b">
        <v>0</v>
      </c>
      <c r="K8042" t="b">
        <v>0</v>
      </c>
      <c r="L8042" t="b">
        <v>0</v>
      </c>
    </row>
    <row r="8043" spans="1:25" x14ac:dyDescent="0.2">
      <c r="A8043">
        <v>6487</v>
      </c>
      <c r="B8043" t="s">
        <v>11580</v>
      </c>
      <c r="C8043" t="s">
        <v>18</v>
      </c>
      <c r="D8043" t="s">
        <v>5235</v>
      </c>
      <c r="E8043" t="s">
        <v>5236</v>
      </c>
      <c r="F8043" t="s">
        <v>670</v>
      </c>
      <c r="G8043" t="s">
        <v>17</v>
      </c>
      <c r="J8043" t="b">
        <v>0</v>
      </c>
      <c r="K8043" t="b">
        <v>0</v>
      </c>
      <c r="L8043" t="b">
        <v>0</v>
      </c>
      <c r="M8043" t="str">
        <f>HYPERLINK("https://arizona.app.box.com/file/389267496151")</f>
        <v>https://arizona.app.box.com/file/389267496151</v>
      </c>
      <c r="N8043" t="str">
        <f>HYPERLINK("https://arizona.app.box.com/file/389171928135")</f>
        <v>https://arizona.app.box.com/file/389171928135</v>
      </c>
    </row>
    <row r="8045" spans="1:25" x14ac:dyDescent="0.2">
      <c r="A8045" s="2">
        <v>6552</v>
      </c>
      <c r="B8045" s="2" t="s">
        <v>11587</v>
      </c>
      <c r="C8045" s="2" t="s">
        <v>13</v>
      </c>
      <c r="D8045" s="2" t="s">
        <v>2127</v>
      </c>
      <c r="E8045" s="2" t="s">
        <v>2128</v>
      </c>
      <c r="F8045" s="2" t="s">
        <v>23</v>
      </c>
      <c r="G8045" s="2" t="s">
        <v>88</v>
      </c>
      <c r="H8045" s="2"/>
      <c r="I8045" s="2"/>
      <c r="J8045" s="2"/>
      <c r="K8045" s="2"/>
      <c r="L8045" s="2"/>
      <c r="M8045" s="2"/>
      <c r="N8045" s="2"/>
      <c r="O8045" s="2"/>
      <c r="P8045" s="2"/>
      <c r="Q8045" s="2"/>
      <c r="R8045" s="2"/>
      <c r="S8045" s="2"/>
      <c r="T8045" s="2"/>
      <c r="U8045" s="2"/>
      <c r="V8045" s="2"/>
      <c r="W8045" s="2"/>
      <c r="X8045" s="2"/>
      <c r="Y8045" s="2"/>
    </row>
    <row r="8046" spans="1:25" x14ac:dyDescent="0.2">
      <c r="A8046">
        <v>6553</v>
      </c>
      <c r="B8046" t="s">
        <v>11587</v>
      </c>
      <c r="C8046" t="s">
        <v>18</v>
      </c>
      <c r="D8046" t="s">
        <v>2127</v>
      </c>
      <c r="E8046" t="s">
        <v>2128</v>
      </c>
      <c r="F8046" t="s">
        <v>23</v>
      </c>
      <c r="G8046" t="s">
        <v>88</v>
      </c>
      <c r="J8046" t="b">
        <v>1</v>
      </c>
      <c r="K8046" t="b">
        <v>1</v>
      </c>
      <c r="L8046" t="b">
        <v>1</v>
      </c>
      <c r="M8046" t="str">
        <f>HYPERLINK("https://arizona.app.box.com/file/389262903355")</f>
        <v>https://arizona.app.box.com/file/389262903355</v>
      </c>
      <c r="N8046" t="str">
        <f>HYPERLINK("https://arizona.app.box.com/file/389170185166")</f>
        <v>https://arizona.app.box.com/file/389170185166</v>
      </c>
      <c r="O8046" t="str">
        <f>HYPERLINK("https://arizona.app.box.com/file/389174108434")</f>
        <v>https://arizona.app.box.com/file/389174108434</v>
      </c>
      <c r="P8046" t="str">
        <f>HYPERLINK("https://arizona.app.box.com/file/386214860936")</f>
        <v>https://arizona.app.box.com/file/386214860936</v>
      </c>
    </row>
    <row r="8047" spans="1:25" x14ac:dyDescent="0.2">
      <c r="A8047">
        <v>6554</v>
      </c>
      <c r="B8047" t="s">
        <v>11587</v>
      </c>
      <c r="C8047" t="s">
        <v>18</v>
      </c>
      <c r="D8047" t="s">
        <v>2123</v>
      </c>
      <c r="E8047" t="s">
        <v>2124</v>
      </c>
      <c r="F8047" t="s">
        <v>78</v>
      </c>
      <c r="G8047" t="s">
        <v>17</v>
      </c>
      <c r="J8047" t="b">
        <v>0</v>
      </c>
      <c r="K8047" t="b">
        <v>0</v>
      </c>
      <c r="L8047" t="b">
        <v>0</v>
      </c>
      <c r="M8047" t="str">
        <f>HYPERLINK("https://arizona.app.box.com/file/389164614363")</f>
        <v>https://arizona.app.box.com/file/389164614363</v>
      </c>
      <c r="N8047" t="str">
        <f>HYPERLINK("https://arizona.app.box.com/file/386239354048")</f>
        <v>https://arizona.app.box.com/file/386239354048</v>
      </c>
    </row>
    <row r="8048" spans="1:25" x14ac:dyDescent="0.2">
      <c r="A8048">
        <v>6555</v>
      </c>
      <c r="B8048" t="s">
        <v>11587</v>
      </c>
      <c r="C8048" t="s">
        <v>18</v>
      </c>
      <c r="D8048" t="s">
        <v>11588</v>
      </c>
      <c r="E8048" t="s">
        <v>435</v>
      </c>
      <c r="F8048" t="s">
        <v>78</v>
      </c>
      <c r="G8048" t="s">
        <v>88</v>
      </c>
      <c r="J8048" t="b">
        <v>0</v>
      </c>
      <c r="K8048" t="b">
        <v>0</v>
      </c>
      <c r="L8048" t="b">
        <v>0</v>
      </c>
      <c r="M8048" t="str">
        <f>HYPERLINK("https://arizona.app.box.com/file/389172432350")</f>
        <v>https://arizona.app.box.com/file/389172432350</v>
      </c>
      <c r="N8048" t="str">
        <f>HYPERLINK("https://arizona.app.box.com/file/386229927252")</f>
        <v>https://arizona.app.box.com/file/386229927252</v>
      </c>
    </row>
    <row r="8049" spans="1:25" x14ac:dyDescent="0.2">
      <c r="A8049">
        <v>6556</v>
      </c>
      <c r="B8049" t="s">
        <v>11587</v>
      </c>
      <c r="C8049" t="s">
        <v>18</v>
      </c>
      <c r="D8049" t="s">
        <v>2136</v>
      </c>
      <c r="E8049" t="s">
        <v>2137</v>
      </c>
      <c r="F8049" t="s">
        <v>78</v>
      </c>
      <c r="G8049" t="s">
        <v>88</v>
      </c>
      <c r="J8049" t="b">
        <v>0</v>
      </c>
      <c r="K8049" t="b">
        <v>0</v>
      </c>
      <c r="L8049" t="b">
        <v>0</v>
      </c>
      <c r="M8049" t="str">
        <f>HYPERLINK("https://arizona.app.box.com/file/389174253405")</f>
        <v>https://arizona.app.box.com/file/389174253405</v>
      </c>
      <c r="N8049" t="str">
        <f>HYPERLINK("https://arizona.app.box.com/file/386211625616")</f>
        <v>https://arizona.app.box.com/file/386211625616</v>
      </c>
    </row>
    <row r="8050" spans="1:25" x14ac:dyDescent="0.2">
      <c r="A8050">
        <v>6557</v>
      </c>
      <c r="B8050" t="s">
        <v>11587</v>
      </c>
      <c r="C8050" t="s">
        <v>18</v>
      </c>
      <c r="D8050" t="s">
        <v>11589</v>
      </c>
      <c r="E8050" t="s">
        <v>11590</v>
      </c>
      <c r="F8050" t="s">
        <v>23</v>
      </c>
      <c r="G8050" t="s">
        <v>32</v>
      </c>
      <c r="J8050" t="b">
        <v>0</v>
      </c>
      <c r="K8050" t="b">
        <v>0</v>
      </c>
      <c r="L8050" t="b">
        <v>0</v>
      </c>
    </row>
    <row r="8052" spans="1:25" x14ac:dyDescent="0.2">
      <c r="A8052" s="2">
        <v>6594</v>
      </c>
      <c r="B8052" s="2" t="s">
        <v>11591</v>
      </c>
      <c r="C8052" s="2" t="s">
        <v>13</v>
      </c>
      <c r="D8052" s="2" t="s">
        <v>11592</v>
      </c>
      <c r="E8052" s="2" t="s">
        <v>11593</v>
      </c>
      <c r="F8052" s="2" t="s">
        <v>78</v>
      </c>
      <c r="G8052" s="2" t="s">
        <v>1752</v>
      </c>
      <c r="H8052" s="2"/>
      <c r="I8052" s="2"/>
      <c r="J8052" s="2"/>
      <c r="K8052" s="2"/>
      <c r="L8052" s="2"/>
      <c r="M8052" s="2"/>
      <c r="N8052" s="2"/>
      <c r="O8052" s="2"/>
      <c r="P8052" s="2"/>
      <c r="Q8052" s="2"/>
      <c r="R8052" s="2"/>
      <c r="S8052" s="2"/>
      <c r="T8052" s="2"/>
      <c r="U8052" s="2"/>
      <c r="V8052" s="2"/>
      <c r="W8052" s="2"/>
      <c r="X8052" s="2"/>
      <c r="Y8052" s="2"/>
    </row>
    <row r="8053" spans="1:25" x14ac:dyDescent="0.2">
      <c r="A8053">
        <v>6595</v>
      </c>
      <c r="B8053" t="s">
        <v>11591</v>
      </c>
      <c r="C8053" t="s">
        <v>18</v>
      </c>
      <c r="D8053" t="s">
        <v>11594</v>
      </c>
      <c r="E8053" t="s">
        <v>2702</v>
      </c>
      <c r="F8053" t="s">
        <v>78</v>
      </c>
      <c r="G8053" t="s">
        <v>917</v>
      </c>
      <c r="J8053" t="b">
        <v>1</v>
      </c>
      <c r="K8053" t="b">
        <v>1</v>
      </c>
      <c r="L8053" t="b">
        <v>1</v>
      </c>
      <c r="M8053" t="str">
        <f>HYPERLINK("https://arizona.app.box.com/file/389268127468")</f>
        <v>https://arizona.app.box.com/file/389268127468</v>
      </c>
      <c r="N8053" t="str">
        <f>HYPERLINK("https://arizona.app.box.com/file/389152839767")</f>
        <v>https://arizona.app.box.com/file/389152839767</v>
      </c>
    </row>
    <row r="8054" spans="1:25" x14ac:dyDescent="0.2">
      <c r="A8054">
        <v>6596</v>
      </c>
      <c r="B8054" t="s">
        <v>11591</v>
      </c>
      <c r="C8054" t="s">
        <v>18</v>
      </c>
      <c r="D8054" t="s">
        <v>11595</v>
      </c>
      <c r="E8054" t="s">
        <v>11297</v>
      </c>
      <c r="F8054" t="s">
        <v>78</v>
      </c>
      <c r="G8054" t="s">
        <v>917</v>
      </c>
      <c r="J8054" t="b">
        <v>1</v>
      </c>
      <c r="K8054" t="b">
        <v>1</v>
      </c>
      <c r="L8054" t="b">
        <v>1</v>
      </c>
      <c r="M8054" t="str">
        <f>HYPERLINK("https://arizona.app.box.com/file/386216779536")</f>
        <v>https://arizona.app.box.com/file/386216779536</v>
      </c>
    </row>
    <row r="8055" spans="1:25" x14ac:dyDescent="0.2">
      <c r="A8055">
        <v>6597</v>
      </c>
      <c r="B8055" t="s">
        <v>11591</v>
      </c>
      <c r="C8055" t="s">
        <v>18</v>
      </c>
      <c r="D8055" t="s">
        <v>10124</v>
      </c>
      <c r="E8055" t="s">
        <v>2097</v>
      </c>
      <c r="F8055" t="s">
        <v>71</v>
      </c>
      <c r="G8055" t="s">
        <v>917</v>
      </c>
      <c r="J8055" t="b">
        <v>0</v>
      </c>
      <c r="K8055" t="b">
        <v>0</v>
      </c>
      <c r="L8055" t="b">
        <v>0</v>
      </c>
      <c r="M8055" t="str">
        <f>HYPERLINK("https://arizona.app.box.com/file/389173720748")</f>
        <v>https://arizona.app.box.com/file/389173720748</v>
      </c>
    </row>
    <row r="8056" spans="1:25" x14ac:dyDescent="0.2">
      <c r="A8056">
        <v>6598</v>
      </c>
      <c r="B8056" t="s">
        <v>11591</v>
      </c>
      <c r="C8056" t="s">
        <v>18</v>
      </c>
      <c r="D8056" t="s">
        <v>4910</v>
      </c>
      <c r="E8056" t="s">
        <v>4911</v>
      </c>
      <c r="F8056" t="s">
        <v>78</v>
      </c>
      <c r="G8056" t="s">
        <v>917</v>
      </c>
      <c r="J8056" t="b">
        <v>0</v>
      </c>
      <c r="K8056" t="b">
        <v>0</v>
      </c>
      <c r="L8056" t="b">
        <v>0</v>
      </c>
      <c r="M8056" t="str">
        <f>HYPERLINK("https://arizona.app.box.com/file/386240703084")</f>
        <v>https://arizona.app.box.com/file/386240703084</v>
      </c>
    </row>
    <row r="8057" spans="1:25" x14ac:dyDescent="0.2">
      <c r="A8057">
        <v>6599</v>
      </c>
      <c r="B8057" t="s">
        <v>11591</v>
      </c>
      <c r="C8057" t="s">
        <v>18</v>
      </c>
      <c r="D8057" t="s">
        <v>4907</v>
      </c>
      <c r="E8057" t="s">
        <v>4908</v>
      </c>
      <c r="F8057" t="s">
        <v>78</v>
      </c>
      <c r="G8057" t="s">
        <v>917</v>
      </c>
      <c r="J8057" t="b">
        <v>0</v>
      </c>
      <c r="K8057" t="b">
        <v>0</v>
      </c>
      <c r="L8057" t="b">
        <v>0</v>
      </c>
      <c r="M8057" t="str">
        <f>HYPERLINK("https://arizona.app.box.com/file/386245134110")</f>
        <v>https://arizona.app.box.com/file/386245134110</v>
      </c>
    </row>
    <row r="8059" spans="1:25" x14ac:dyDescent="0.2">
      <c r="A8059" s="2">
        <v>6615</v>
      </c>
      <c r="B8059" s="2" t="s">
        <v>11596</v>
      </c>
      <c r="C8059" s="2" t="s">
        <v>13</v>
      </c>
      <c r="D8059" s="2" t="s">
        <v>4971</v>
      </c>
      <c r="E8059" s="2" t="s">
        <v>4972</v>
      </c>
      <c r="F8059" s="2" t="s">
        <v>670</v>
      </c>
      <c r="G8059" s="2" t="s">
        <v>24</v>
      </c>
      <c r="H8059" s="2"/>
      <c r="I8059" s="2"/>
      <c r="J8059" s="2"/>
      <c r="K8059" s="2"/>
      <c r="L8059" s="2"/>
      <c r="M8059" s="2"/>
      <c r="N8059" s="2"/>
      <c r="O8059" s="2"/>
      <c r="P8059" s="2"/>
      <c r="Q8059" s="2"/>
      <c r="R8059" s="2"/>
      <c r="S8059" s="2"/>
      <c r="T8059" s="2"/>
      <c r="U8059" s="2"/>
      <c r="V8059" s="2"/>
      <c r="W8059" s="2"/>
      <c r="X8059" s="2"/>
      <c r="Y8059" s="2"/>
    </row>
    <row r="8060" spans="1:25" x14ac:dyDescent="0.2">
      <c r="A8060">
        <v>6616</v>
      </c>
      <c r="B8060" t="s">
        <v>11596</v>
      </c>
      <c r="C8060" t="s">
        <v>18</v>
      </c>
      <c r="D8060" t="s">
        <v>4971</v>
      </c>
      <c r="E8060" t="s">
        <v>4972</v>
      </c>
      <c r="F8060" t="s">
        <v>670</v>
      </c>
      <c r="G8060" t="s">
        <v>24</v>
      </c>
      <c r="J8060" t="b">
        <v>1</v>
      </c>
      <c r="K8060" t="b">
        <v>1</v>
      </c>
      <c r="L8060" t="b">
        <v>1</v>
      </c>
      <c r="M8060" t="str">
        <f>HYPERLINK("https://arizona.app.box.com/file/386226834360")</f>
        <v>https://arizona.app.box.com/file/386226834360</v>
      </c>
      <c r="N8060" t="str">
        <f>HYPERLINK("https://arizona.app.box.com/file/386227355009")</f>
        <v>https://arizona.app.box.com/file/386227355009</v>
      </c>
      <c r="O8060" t="str">
        <f>HYPERLINK("https://arizona.app.box.com/file/386240687153")</f>
        <v>https://arizona.app.box.com/file/386240687153</v>
      </c>
    </row>
    <row r="8061" spans="1:25" x14ac:dyDescent="0.2">
      <c r="A8061">
        <v>6617</v>
      </c>
      <c r="B8061" t="s">
        <v>11596</v>
      </c>
      <c r="C8061" t="s">
        <v>18</v>
      </c>
      <c r="D8061" t="s">
        <v>3077</v>
      </c>
      <c r="E8061" t="s">
        <v>3078</v>
      </c>
      <c r="F8061" t="s">
        <v>151</v>
      </c>
      <c r="G8061" t="s">
        <v>24</v>
      </c>
      <c r="J8061" t="b">
        <v>0</v>
      </c>
      <c r="K8061" t="b">
        <v>0</v>
      </c>
      <c r="L8061" t="b">
        <v>0</v>
      </c>
      <c r="M8061" t="str">
        <f>HYPERLINK("https://arizona.app.box.com/file/386246396845")</f>
        <v>https://arizona.app.box.com/file/386246396845</v>
      </c>
    </row>
    <row r="8062" spans="1:25" x14ac:dyDescent="0.2">
      <c r="A8062">
        <v>6618</v>
      </c>
      <c r="B8062" t="s">
        <v>11596</v>
      </c>
      <c r="C8062" t="s">
        <v>18</v>
      </c>
      <c r="D8062" t="s">
        <v>3080</v>
      </c>
      <c r="E8062" t="s">
        <v>3081</v>
      </c>
      <c r="F8062" t="s">
        <v>151</v>
      </c>
      <c r="G8062" t="s">
        <v>24</v>
      </c>
      <c r="J8062" t="b">
        <v>0</v>
      </c>
      <c r="K8062" t="b">
        <v>0</v>
      </c>
      <c r="L8062" t="b">
        <v>0</v>
      </c>
      <c r="M8062" t="str">
        <f>HYPERLINK("https://arizona.app.box.com/file/386240102795")</f>
        <v>https://arizona.app.box.com/file/386240102795</v>
      </c>
      <c r="N8062" t="str">
        <f>HYPERLINK("https://arizona.app.box.com/file/386217060347")</f>
        <v>https://arizona.app.box.com/file/386217060347</v>
      </c>
    </row>
    <row r="8063" spans="1:25" x14ac:dyDescent="0.2">
      <c r="A8063">
        <v>6619</v>
      </c>
      <c r="B8063" t="s">
        <v>11596</v>
      </c>
      <c r="C8063" t="s">
        <v>18</v>
      </c>
      <c r="D8063" t="s">
        <v>3074</v>
      </c>
      <c r="E8063" t="s">
        <v>486</v>
      </c>
      <c r="F8063" t="s">
        <v>151</v>
      </c>
      <c r="G8063" t="s">
        <v>24</v>
      </c>
      <c r="J8063" t="b">
        <v>0</v>
      </c>
      <c r="K8063" t="b">
        <v>0</v>
      </c>
      <c r="L8063" t="b">
        <v>0</v>
      </c>
      <c r="M8063" t="str">
        <f>HYPERLINK("https://arizona.app.box.com/file/386214208293")</f>
        <v>https://arizona.app.box.com/file/386214208293</v>
      </c>
    </row>
    <row r="8064" spans="1:25" x14ac:dyDescent="0.2">
      <c r="A8064">
        <v>6620</v>
      </c>
      <c r="B8064" t="s">
        <v>11596</v>
      </c>
      <c r="C8064" t="s">
        <v>18</v>
      </c>
      <c r="D8064" t="s">
        <v>3139</v>
      </c>
      <c r="E8064" t="s">
        <v>3140</v>
      </c>
      <c r="F8064" t="s">
        <v>78</v>
      </c>
      <c r="G8064" t="s">
        <v>24</v>
      </c>
      <c r="J8064" t="b">
        <v>0</v>
      </c>
      <c r="K8064" t="b">
        <v>0</v>
      </c>
      <c r="L8064" t="b">
        <v>0</v>
      </c>
      <c r="M8064" t="str">
        <f>HYPERLINK("https://arizona.app.box.com/file/386240047241")</f>
        <v>https://arizona.app.box.com/file/386240047241</v>
      </c>
    </row>
    <row r="8066" spans="1:25" x14ac:dyDescent="0.2">
      <c r="A8066" s="2">
        <v>6629</v>
      </c>
      <c r="B8066" s="2" t="s">
        <v>11597</v>
      </c>
      <c r="C8066" s="2" t="s">
        <v>13</v>
      </c>
      <c r="D8066" s="2" t="s">
        <v>382</v>
      </c>
      <c r="E8066" s="2" t="s">
        <v>11598</v>
      </c>
      <c r="F8066" s="2" t="s">
        <v>20</v>
      </c>
      <c r="G8066" s="2" t="s">
        <v>24</v>
      </c>
      <c r="H8066" s="2"/>
      <c r="I8066" s="2"/>
      <c r="J8066" s="2"/>
      <c r="K8066" s="2"/>
      <c r="L8066" s="2"/>
      <c r="M8066" s="2"/>
      <c r="N8066" s="2"/>
      <c r="O8066" s="2"/>
      <c r="P8066" s="2"/>
      <c r="Q8066" s="2"/>
      <c r="R8066" s="2"/>
      <c r="S8066" s="2"/>
      <c r="T8066" s="2"/>
      <c r="U8066" s="2"/>
      <c r="V8066" s="2"/>
      <c r="W8066" s="2"/>
      <c r="X8066" s="2"/>
      <c r="Y8066" s="2"/>
    </row>
    <row r="8067" spans="1:25" x14ac:dyDescent="0.2">
      <c r="A8067">
        <v>6630</v>
      </c>
      <c r="B8067" t="s">
        <v>11597</v>
      </c>
      <c r="C8067" t="s">
        <v>18</v>
      </c>
      <c r="D8067" t="s">
        <v>382</v>
      </c>
      <c r="E8067" t="s">
        <v>381</v>
      </c>
      <c r="F8067" t="s">
        <v>20</v>
      </c>
      <c r="G8067" t="s">
        <v>24</v>
      </c>
      <c r="J8067" t="b">
        <v>1</v>
      </c>
      <c r="K8067" t="b">
        <v>1</v>
      </c>
      <c r="L8067" t="b">
        <v>1</v>
      </c>
      <c r="M8067" t="str">
        <f>HYPERLINK("https://arizona.app.box.com/file/386237350867")</f>
        <v>https://arizona.app.box.com/file/386237350867</v>
      </c>
    </row>
    <row r="8068" spans="1:25" x14ac:dyDescent="0.2">
      <c r="A8068">
        <v>6631</v>
      </c>
      <c r="B8068" t="s">
        <v>11597</v>
      </c>
      <c r="C8068" t="s">
        <v>18</v>
      </c>
      <c r="D8068" t="s">
        <v>6755</v>
      </c>
      <c r="E8068" t="s">
        <v>701</v>
      </c>
      <c r="F8068" t="s">
        <v>20</v>
      </c>
      <c r="G8068" t="s">
        <v>24</v>
      </c>
      <c r="J8068" t="b">
        <v>1</v>
      </c>
      <c r="K8068" t="b">
        <v>1</v>
      </c>
      <c r="L8068" t="b">
        <v>1</v>
      </c>
      <c r="M8068" t="str">
        <f>HYPERLINK("https://arizona.app.box.com/file/389262319503")</f>
        <v>https://arizona.app.box.com/file/389262319503</v>
      </c>
      <c r="N8068" t="str">
        <f>HYPERLINK("https://arizona.app.box.com/file/389165883856")</f>
        <v>https://arizona.app.box.com/file/389165883856</v>
      </c>
    </row>
    <row r="8069" spans="1:25" x14ac:dyDescent="0.2">
      <c r="A8069">
        <v>6632</v>
      </c>
      <c r="B8069" t="s">
        <v>11597</v>
      </c>
      <c r="C8069" t="s">
        <v>18</v>
      </c>
      <c r="D8069" t="s">
        <v>380</v>
      </c>
      <c r="E8069" t="s">
        <v>381</v>
      </c>
      <c r="F8069" t="s">
        <v>31</v>
      </c>
      <c r="G8069" t="s">
        <v>24</v>
      </c>
      <c r="J8069" t="b">
        <v>0</v>
      </c>
      <c r="K8069" t="b">
        <v>0</v>
      </c>
      <c r="L8069" t="b">
        <v>0</v>
      </c>
      <c r="M8069" t="str">
        <f>HYPERLINK("https://arizona.app.box.com/file/389172430439")</f>
        <v>https://arizona.app.box.com/file/389172430439</v>
      </c>
      <c r="N8069" t="str">
        <f>HYPERLINK("https://arizona.app.box.com/file/386238663428")</f>
        <v>https://arizona.app.box.com/file/386238663428</v>
      </c>
    </row>
    <row r="8070" spans="1:25" x14ac:dyDescent="0.2">
      <c r="A8070">
        <v>6633</v>
      </c>
      <c r="B8070" t="s">
        <v>11597</v>
      </c>
      <c r="C8070" t="s">
        <v>18</v>
      </c>
      <c r="D8070" t="s">
        <v>383</v>
      </c>
      <c r="E8070" t="s">
        <v>384</v>
      </c>
      <c r="F8070" t="s">
        <v>369</v>
      </c>
      <c r="G8070" t="s">
        <v>24</v>
      </c>
      <c r="J8070" t="b">
        <v>0</v>
      </c>
      <c r="K8070" t="b">
        <v>0</v>
      </c>
      <c r="L8070" t="b">
        <v>0</v>
      </c>
      <c r="M8070" t="str">
        <f>HYPERLINK("https://arizona.app.box.com/file/389264577078")</f>
        <v>https://arizona.app.box.com/file/389264577078</v>
      </c>
      <c r="N8070" t="str">
        <f>HYPERLINK("https://arizona.app.box.com/file/389153133767")</f>
        <v>https://arizona.app.box.com/file/389153133767</v>
      </c>
    </row>
    <row r="8071" spans="1:25" x14ac:dyDescent="0.2">
      <c r="A8071">
        <v>6634</v>
      </c>
      <c r="B8071" t="s">
        <v>11597</v>
      </c>
      <c r="C8071" t="s">
        <v>18</v>
      </c>
      <c r="D8071" t="s">
        <v>8254</v>
      </c>
      <c r="E8071" t="s">
        <v>8255</v>
      </c>
      <c r="F8071" t="s">
        <v>16</v>
      </c>
      <c r="G8071" t="s">
        <v>24</v>
      </c>
      <c r="J8071" t="b">
        <v>0</v>
      </c>
      <c r="K8071" t="b">
        <v>0</v>
      </c>
      <c r="L8071" t="b">
        <v>0</v>
      </c>
      <c r="M8071" t="str">
        <f>HYPERLINK("https://arizona.app.box.com/file/389172341174")</f>
        <v>https://arizona.app.box.com/file/389172341174</v>
      </c>
    </row>
    <row r="8073" spans="1:25" x14ac:dyDescent="0.2">
      <c r="A8073" s="2">
        <v>6636</v>
      </c>
      <c r="B8073" s="2" t="s">
        <v>11599</v>
      </c>
      <c r="C8073" s="2" t="s">
        <v>13</v>
      </c>
      <c r="D8073" s="2" t="s">
        <v>11600</v>
      </c>
      <c r="E8073" s="2" t="s">
        <v>11601</v>
      </c>
      <c r="F8073" s="2" t="s">
        <v>20</v>
      </c>
      <c r="G8073" s="2" t="s">
        <v>1047</v>
      </c>
      <c r="H8073" s="2"/>
      <c r="I8073" s="2"/>
      <c r="J8073" s="2"/>
      <c r="K8073" s="2"/>
      <c r="L8073" s="2"/>
      <c r="M8073" s="2"/>
      <c r="N8073" s="2"/>
      <c r="O8073" s="2"/>
      <c r="P8073" s="2"/>
      <c r="Q8073" s="2"/>
      <c r="R8073" s="2"/>
      <c r="S8073" s="2"/>
      <c r="T8073" s="2"/>
      <c r="U8073" s="2"/>
      <c r="V8073" s="2"/>
      <c r="W8073" s="2"/>
      <c r="X8073" s="2"/>
      <c r="Y8073" s="2"/>
    </row>
    <row r="8074" spans="1:25" x14ac:dyDescent="0.2">
      <c r="A8074">
        <v>6637</v>
      </c>
      <c r="B8074" t="s">
        <v>11599</v>
      </c>
      <c r="C8074" t="s">
        <v>18</v>
      </c>
      <c r="D8074" t="s">
        <v>11600</v>
      </c>
      <c r="E8074" t="s">
        <v>11601</v>
      </c>
      <c r="F8074" t="s">
        <v>20</v>
      </c>
      <c r="G8074" t="s">
        <v>11602</v>
      </c>
      <c r="J8074" t="b">
        <v>1</v>
      </c>
      <c r="K8074" t="b">
        <v>1</v>
      </c>
      <c r="L8074" t="b">
        <v>1</v>
      </c>
      <c r="M8074" t="str">
        <f>HYPERLINK("https://arizona.app.box.com/file/386241366172")</f>
        <v>https://arizona.app.box.com/file/386241366172</v>
      </c>
      <c r="N8074" t="str">
        <f>HYPERLINK("https://arizona.app.box.com/file/389153897885")</f>
        <v>https://arizona.app.box.com/file/389153897885</v>
      </c>
      <c r="O8074" t="str">
        <f>HYPERLINK("https://arizona.app.box.com/file/389164693625")</f>
        <v>https://arizona.app.box.com/file/389164693625</v>
      </c>
    </row>
    <row r="8075" spans="1:25" x14ac:dyDescent="0.2">
      <c r="A8075">
        <v>6638</v>
      </c>
      <c r="B8075" t="s">
        <v>11599</v>
      </c>
      <c r="C8075" t="s">
        <v>18</v>
      </c>
      <c r="D8075" t="s">
        <v>5978</v>
      </c>
      <c r="E8075" t="s">
        <v>891</v>
      </c>
      <c r="F8075" t="s">
        <v>670</v>
      </c>
      <c r="G8075" t="s">
        <v>24</v>
      </c>
      <c r="J8075" t="b">
        <v>0</v>
      </c>
      <c r="K8075" t="b">
        <v>0</v>
      </c>
      <c r="L8075" t="b">
        <v>0</v>
      </c>
      <c r="M8075" t="str">
        <f>HYPERLINK("https://arizona.app.box.com/file/386239998591")</f>
        <v>https://arizona.app.box.com/file/386239998591</v>
      </c>
    </row>
    <row r="8076" spans="1:25" x14ac:dyDescent="0.2">
      <c r="A8076">
        <v>6639</v>
      </c>
      <c r="B8076" t="s">
        <v>11599</v>
      </c>
      <c r="C8076" t="s">
        <v>18</v>
      </c>
      <c r="D8076" t="s">
        <v>3112</v>
      </c>
      <c r="E8076" t="s">
        <v>3111</v>
      </c>
      <c r="F8076" t="s">
        <v>20</v>
      </c>
      <c r="G8076" t="s">
        <v>1047</v>
      </c>
      <c r="J8076" t="b">
        <v>0</v>
      </c>
      <c r="K8076" t="b">
        <v>0</v>
      </c>
      <c r="L8076" t="b">
        <v>0</v>
      </c>
      <c r="M8076" t="str">
        <f>HYPERLINK("https://arizona.app.box.com/file/389138587492")</f>
        <v>https://arizona.app.box.com/file/389138587492</v>
      </c>
      <c r="N8076" t="str">
        <f>HYPERLINK("https://arizona.app.box.com/file/389167003125")</f>
        <v>https://arizona.app.box.com/file/389167003125</v>
      </c>
    </row>
    <row r="8077" spans="1:25" x14ac:dyDescent="0.2">
      <c r="A8077">
        <v>6640</v>
      </c>
      <c r="B8077" t="s">
        <v>11599</v>
      </c>
      <c r="C8077" t="s">
        <v>18</v>
      </c>
      <c r="D8077" t="s">
        <v>1258</v>
      </c>
      <c r="E8077" t="s">
        <v>1259</v>
      </c>
      <c r="F8077" t="s">
        <v>151</v>
      </c>
      <c r="G8077" t="s">
        <v>24</v>
      </c>
      <c r="J8077" t="b">
        <v>0</v>
      </c>
      <c r="K8077" t="b">
        <v>0</v>
      </c>
      <c r="L8077" t="b">
        <v>0</v>
      </c>
      <c r="M8077" t="str">
        <f>HYPERLINK("https://arizona.app.box.com/file/386241647264")</f>
        <v>https://arizona.app.box.com/file/386241647264</v>
      </c>
    </row>
    <row r="8078" spans="1:25" x14ac:dyDescent="0.2">
      <c r="A8078">
        <v>6641</v>
      </c>
      <c r="B8078" t="s">
        <v>11599</v>
      </c>
      <c r="C8078" t="s">
        <v>18</v>
      </c>
      <c r="D8078" t="s">
        <v>2052</v>
      </c>
      <c r="E8078" t="s">
        <v>2053</v>
      </c>
      <c r="F8078" t="s">
        <v>78</v>
      </c>
      <c r="G8078" t="s">
        <v>879</v>
      </c>
      <c r="J8078" t="b">
        <v>0</v>
      </c>
      <c r="K8078" t="b">
        <v>0</v>
      </c>
      <c r="L8078" t="b">
        <v>0</v>
      </c>
      <c r="M8078" t="str">
        <f>HYPERLINK("https://arizona.app.box.com/file/386253021295")</f>
        <v>https://arizona.app.box.com/file/386253021295</v>
      </c>
    </row>
    <row r="8080" spans="1:25" x14ac:dyDescent="0.2">
      <c r="A8080" s="2">
        <v>6650</v>
      </c>
      <c r="B8080" s="2" t="s">
        <v>11603</v>
      </c>
      <c r="C8080" s="2" t="s">
        <v>13</v>
      </c>
      <c r="D8080" s="2" t="s">
        <v>11604</v>
      </c>
      <c r="E8080" s="2" t="s">
        <v>11605</v>
      </c>
      <c r="F8080" s="2" t="s">
        <v>27</v>
      </c>
      <c r="G8080" s="2" t="s">
        <v>17</v>
      </c>
      <c r="H8080" s="2"/>
      <c r="I8080" s="2"/>
      <c r="J8080" s="2"/>
      <c r="K8080" s="2"/>
      <c r="L8080" s="2"/>
      <c r="M8080" s="2"/>
      <c r="N8080" s="2"/>
      <c r="O8080" s="2"/>
      <c r="P8080" s="2"/>
      <c r="Q8080" s="2"/>
      <c r="R8080" s="2"/>
      <c r="S8080" s="2"/>
      <c r="T8080" s="2"/>
      <c r="U8080" s="2"/>
      <c r="V8080" s="2"/>
      <c r="W8080" s="2"/>
      <c r="X8080" s="2"/>
      <c r="Y8080" s="2"/>
    </row>
    <row r="8081" spans="1:25" x14ac:dyDescent="0.2">
      <c r="A8081">
        <v>6651</v>
      </c>
      <c r="B8081" t="s">
        <v>11603</v>
      </c>
      <c r="C8081" t="s">
        <v>18</v>
      </c>
      <c r="D8081" t="s">
        <v>11604</v>
      </c>
      <c r="E8081" t="s">
        <v>11606</v>
      </c>
      <c r="F8081" t="s">
        <v>27</v>
      </c>
      <c r="G8081" t="s">
        <v>17</v>
      </c>
      <c r="J8081" t="b">
        <v>1</v>
      </c>
      <c r="K8081" t="b">
        <v>1</v>
      </c>
      <c r="L8081" t="b">
        <v>1</v>
      </c>
      <c r="M8081" t="str">
        <f>HYPERLINK("https://arizona.app.box.com/file/389136609781")</f>
        <v>https://arizona.app.box.com/file/389136609781</v>
      </c>
    </row>
    <row r="8082" spans="1:25" x14ac:dyDescent="0.2">
      <c r="A8082">
        <v>6652</v>
      </c>
      <c r="B8082" t="s">
        <v>11603</v>
      </c>
      <c r="C8082" t="s">
        <v>18</v>
      </c>
      <c r="D8082" t="s">
        <v>11607</v>
      </c>
      <c r="E8082" t="s">
        <v>5344</v>
      </c>
      <c r="F8082" t="s">
        <v>27</v>
      </c>
      <c r="G8082" t="s">
        <v>17</v>
      </c>
      <c r="J8082" t="b">
        <v>1</v>
      </c>
      <c r="K8082" t="b">
        <v>1</v>
      </c>
      <c r="L8082" t="b">
        <v>1</v>
      </c>
      <c r="M8082" t="str">
        <f>HYPERLINK("https://arizona.app.box.com/file/389165780685")</f>
        <v>https://arizona.app.box.com/file/389165780685</v>
      </c>
    </row>
    <row r="8083" spans="1:25" x14ac:dyDescent="0.2">
      <c r="A8083">
        <v>6653</v>
      </c>
      <c r="B8083" t="s">
        <v>11603</v>
      </c>
      <c r="C8083" t="s">
        <v>18</v>
      </c>
      <c r="D8083" t="s">
        <v>11608</v>
      </c>
      <c r="E8083" t="s">
        <v>11609</v>
      </c>
      <c r="F8083" t="s">
        <v>27</v>
      </c>
      <c r="G8083" t="s">
        <v>17</v>
      </c>
      <c r="J8083" t="b">
        <v>0</v>
      </c>
      <c r="K8083" t="b">
        <v>0</v>
      </c>
      <c r="L8083" t="b">
        <v>0</v>
      </c>
      <c r="M8083" t="str">
        <f>HYPERLINK("https://arizona.app.box.com/file/386251848632")</f>
        <v>https://arizona.app.box.com/file/386251848632</v>
      </c>
      <c r="N8083" t="str">
        <f>HYPERLINK("https://arizona.app.box.com/file/386241113911")</f>
        <v>https://arizona.app.box.com/file/386241113911</v>
      </c>
    </row>
    <row r="8084" spans="1:25" x14ac:dyDescent="0.2">
      <c r="A8084">
        <v>6654</v>
      </c>
      <c r="B8084" t="s">
        <v>11603</v>
      </c>
      <c r="C8084" t="s">
        <v>18</v>
      </c>
      <c r="D8084" t="s">
        <v>3609</v>
      </c>
      <c r="E8084" t="s">
        <v>3610</v>
      </c>
      <c r="F8084" t="s">
        <v>27</v>
      </c>
      <c r="G8084" t="s">
        <v>265</v>
      </c>
      <c r="J8084" t="b">
        <v>0</v>
      </c>
      <c r="K8084" t="b">
        <v>0</v>
      </c>
      <c r="L8084" t="b">
        <v>0</v>
      </c>
      <c r="M8084" t="str">
        <f>HYPERLINK("https://arizona.app.box.com/file/386230057381")</f>
        <v>https://arizona.app.box.com/file/386230057381</v>
      </c>
    </row>
    <row r="8085" spans="1:25" x14ac:dyDescent="0.2">
      <c r="A8085">
        <v>6655</v>
      </c>
      <c r="B8085" t="s">
        <v>11603</v>
      </c>
      <c r="C8085" t="s">
        <v>18</v>
      </c>
      <c r="D8085" t="s">
        <v>36</v>
      </c>
      <c r="E8085" t="s">
        <v>38</v>
      </c>
      <c r="F8085" t="s">
        <v>27</v>
      </c>
      <c r="G8085" t="s">
        <v>17</v>
      </c>
      <c r="J8085" t="b">
        <v>0</v>
      </c>
      <c r="K8085" t="b">
        <v>0</v>
      </c>
      <c r="L8085" t="b">
        <v>0</v>
      </c>
      <c r="M8085" t="str">
        <f>HYPERLINK("https://arizona.app.box.com/file/389161892150")</f>
        <v>https://arizona.app.box.com/file/389161892150</v>
      </c>
    </row>
    <row r="8087" spans="1:25" x14ac:dyDescent="0.2">
      <c r="A8087" s="2">
        <v>6699</v>
      </c>
      <c r="B8087" s="2" t="s">
        <v>11610</v>
      </c>
      <c r="C8087" s="2" t="s">
        <v>13</v>
      </c>
      <c r="D8087" s="2" t="s">
        <v>10362</v>
      </c>
      <c r="E8087" s="2" t="s">
        <v>10363</v>
      </c>
      <c r="F8087" s="2" t="s">
        <v>122</v>
      </c>
      <c r="G8087" s="2" t="s">
        <v>17</v>
      </c>
      <c r="H8087" s="2"/>
      <c r="I8087" s="2"/>
      <c r="J8087" s="2"/>
      <c r="K8087" s="2"/>
      <c r="L8087" s="2"/>
      <c r="M8087" s="2"/>
      <c r="N8087" s="2"/>
      <c r="O8087" s="2"/>
      <c r="P8087" s="2"/>
      <c r="Q8087" s="2"/>
      <c r="R8087" s="2"/>
      <c r="S8087" s="2"/>
      <c r="T8087" s="2"/>
      <c r="U8087" s="2"/>
      <c r="V8087" s="2"/>
      <c r="W8087" s="2"/>
      <c r="X8087" s="2"/>
      <c r="Y8087" s="2"/>
    </row>
    <row r="8088" spans="1:25" x14ac:dyDescent="0.2">
      <c r="A8088">
        <v>6700</v>
      </c>
      <c r="B8088" t="s">
        <v>11610</v>
      </c>
      <c r="C8088" t="s">
        <v>18</v>
      </c>
      <c r="D8088" t="s">
        <v>10362</v>
      </c>
      <c r="E8088" t="s">
        <v>10363</v>
      </c>
      <c r="F8088" t="s">
        <v>122</v>
      </c>
      <c r="G8088" t="s">
        <v>17</v>
      </c>
      <c r="J8088" t="b">
        <v>1</v>
      </c>
      <c r="K8088" t="b">
        <v>1</v>
      </c>
      <c r="L8088" t="b">
        <v>1</v>
      </c>
      <c r="M8088" t="str">
        <f>HYPERLINK("https://arizona.app.box.com/file/389152006040")</f>
        <v>https://arizona.app.box.com/file/389152006040</v>
      </c>
      <c r="N8088" t="str">
        <f>HYPERLINK("https://arizona.app.box.com/file/389263949195")</f>
        <v>https://arizona.app.box.com/file/389263949195</v>
      </c>
      <c r="O8088" t="str">
        <f>HYPERLINK("https://arizona.app.box.com/file/389150692951")</f>
        <v>https://arizona.app.box.com/file/389150692951</v>
      </c>
    </row>
    <row r="8089" spans="1:25" x14ac:dyDescent="0.2">
      <c r="A8089">
        <v>6701</v>
      </c>
      <c r="B8089" t="s">
        <v>11610</v>
      </c>
      <c r="C8089" t="s">
        <v>18</v>
      </c>
      <c r="D8089" t="s">
        <v>11611</v>
      </c>
      <c r="E8089" t="s">
        <v>11612</v>
      </c>
      <c r="F8089" t="s">
        <v>122</v>
      </c>
      <c r="G8089" t="s">
        <v>17</v>
      </c>
      <c r="J8089" t="b">
        <v>0</v>
      </c>
      <c r="K8089" t="b">
        <v>0</v>
      </c>
      <c r="L8089" t="b">
        <v>0</v>
      </c>
      <c r="M8089" t="str">
        <f>HYPERLINK("https://arizona.app.box.com/file/386271281740")</f>
        <v>https://arizona.app.box.com/file/386271281740</v>
      </c>
      <c r="N8089" t="str">
        <f>HYPERLINK("https://arizona.app.box.com/file/386256220479")</f>
        <v>https://arizona.app.box.com/file/386256220479</v>
      </c>
    </row>
    <row r="8090" spans="1:25" x14ac:dyDescent="0.2">
      <c r="A8090">
        <v>6702</v>
      </c>
      <c r="B8090" t="s">
        <v>11610</v>
      </c>
      <c r="C8090" t="s">
        <v>18</v>
      </c>
      <c r="D8090" t="s">
        <v>11613</v>
      </c>
      <c r="E8090" t="s">
        <v>11614</v>
      </c>
      <c r="F8090" t="s">
        <v>122</v>
      </c>
      <c r="G8090" t="s">
        <v>17</v>
      </c>
      <c r="J8090" t="b">
        <v>0</v>
      </c>
      <c r="K8090" t="b">
        <v>0</v>
      </c>
      <c r="L8090" t="b">
        <v>0</v>
      </c>
      <c r="M8090" t="str">
        <f>HYPERLINK("https://arizona.app.box.com/file/386265324407")</f>
        <v>https://arizona.app.box.com/file/386265324407</v>
      </c>
    </row>
    <row r="8091" spans="1:25" x14ac:dyDescent="0.2">
      <c r="A8091">
        <v>6703</v>
      </c>
      <c r="B8091" t="s">
        <v>11610</v>
      </c>
      <c r="C8091" t="s">
        <v>18</v>
      </c>
      <c r="D8091" t="s">
        <v>10360</v>
      </c>
      <c r="E8091" t="s">
        <v>2408</v>
      </c>
      <c r="F8091" t="s">
        <v>369</v>
      </c>
      <c r="G8091" t="s">
        <v>24</v>
      </c>
      <c r="J8091" t="b">
        <v>0</v>
      </c>
      <c r="K8091" t="b">
        <v>0</v>
      </c>
      <c r="L8091" t="b">
        <v>0</v>
      </c>
      <c r="M8091" t="str">
        <f>HYPERLINK("https://arizona.app.box.com/file/389268982675")</f>
        <v>https://arizona.app.box.com/file/389268982675</v>
      </c>
      <c r="N8091" t="str">
        <f>HYPERLINK("https://arizona.app.box.com/file/389163265802")</f>
        <v>https://arizona.app.box.com/file/389163265802</v>
      </c>
    </row>
    <row r="8092" spans="1:25" x14ac:dyDescent="0.2">
      <c r="A8092">
        <v>6704</v>
      </c>
      <c r="B8092" t="s">
        <v>11610</v>
      </c>
      <c r="C8092" t="s">
        <v>18</v>
      </c>
      <c r="D8092" t="s">
        <v>11615</v>
      </c>
      <c r="E8092" t="s">
        <v>11616</v>
      </c>
      <c r="F8092" t="s">
        <v>122</v>
      </c>
      <c r="G8092" t="s">
        <v>17</v>
      </c>
      <c r="J8092" t="b">
        <v>0</v>
      </c>
      <c r="K8092" t="b">
        <v>0</v>
      </c>
      <c r="L8092" t="b">
        <v>0</v>
      </c>
    </row>
    <row r="8094" spans="1:25" x14ac:dyDescent="0.2">
      <c r="A8094" s="2">
        <v>6706</v>
      </c>
      <c r="B8094" s="2" t="s">
        <v>11617</v>
      </c>
      <c r="C8094" s="2" t="s">
        <v>13</v>
      </c>
      <c r="D8094" s="2" t="s">
        <v>11618</v>
      </c>
      <c r="E8094" s="2" t="s">
        <v>11619</v>
      </c>
      <c r="F8094" s="2" t="s">
        <v>2388</v>
      </c>
      <c r="G8094" s="2" t="s">
        <v>62</v>
      </c>
      <c r="H8094" s="2"/>
      <c r="I8094" s="2"/>
      <c r="J8094" s="2"/>
      <c r="K8094" s="2"/>
      <c r="L8094" s="2"/>
      <c r="M8094" s="2"/>
      <c r="N8094" s="2"/>
      <c r="O8094" s="2"/>
      <c r="P8094" s="2"/>
      <c r="Q8094" s="2"/>
      <c r="R8094" s="2"/>
      <c r="S8094" s="2"/>
      <c r="T8094" s="2"/>
      <c r="U8094" s="2"/>
      <c r="V8094" s="2"/>
      <c r="W8094" s="2"/>
      <c r="X8094" s="2"/>
      <c r="Y8094" s="2"/>
    </row>
    <row r="8095" spans="1:25" x14ac:dyDescent="0.2">
      <c r="A8095">
        <v>6707</v>
      </c>
      <c r="B8095" t="s">
        <v>11617</v>
      </c>
      <c r="C8095" t="s">
        <v>18</v>
      </c>
      <c r="D8095" t="s">
        <v>11620</v>
      </c>
      <c r="E8095" t="s">
        <v>11619</v>
      </c>
      <c r="F8095" t="s">
        <v>2388</v>
      </c>
      <c r="G8095" t="s">
        <v>62</v>
      </c>
      <c r="J8095" t="b">
        <v>1</v>
      </c>
      <c r="K8095" t="b">
        <v>1</v>
      </c>
      <c r="L8095" t="b">
        <v>1</v>
      </c>
      <c r="M8095" t="str">
        <f>HYPERLINK("https://arizona.app.box.com/file/386240876829")</f>
        <v>https://arizona.app.box.com/file/386240876829</v>
      </c>
      <c r="N8095" t="str">
        <f>HYPERLINK("https://arizona.app.box.com/file/386245734598")</f>
        <v>https://arizona.app.box.com/file/386245734598</v>
      </c>
    </row>
    <row r="8096" spans="1:25" x14ac:dyDescent="0.2">
      <c r="A8096">
        <v>6708</v>
      </c>
      <c r="B8096" t="s">
        <v>11617</v>
      </c>
      <c r="C8096" t="s">
        <v>18</v>
      </c>
      <c r="D8096" t="s">
        <v>11621</v>
      </c>
      <c r="E8096" t="s">
        <v>11622</v>
      </c>
      <c r="F8096" t="s">
        <v>2388</v>
      </c>
      <c r="G8096" t="s">
        <v>88</v>
      </c>
      <c r="J8096" t="b">
        <v>0</v>
      </c>
      <c r="K8096" t="b">
        <v>0</v>
      </c>
      <c r="L8096" t="b">
        <v>0</v>
      </c>
    </row>
    <row r="8097" spans="1:25" x14ac:dyDescent="0.2">
      <c r="A8097">
        <v>6709</v>
      </c>
      <c r="B8097" t="s">
        <v>11617</v>
      </c>
      <c r="C8097" t="s">
        <v>18</v>
      </c>
      <c r="D8097" t="s">
        <v>11623</v>
      </c>
      <c r="E8097" t="s">
        <v>11624</v>
      </c>
      <c r="F8097" t="s">
        <v>2388</v>
      </c>
      <c r="G8097" t="s">
        <v>62</v>
      </c>
      <c r="J8097" t="b">
        <v>0</v>
      </c>
      <c r="K8097" t="b">
        <v>0</v>
      </c>
      <c r="L8097" t="b">
        <v>0</v>
      </c>
      <c r="M8097" t="str">
        <f>HYPERLINK("https://arizona.app.box.com/file/386242118020")</f>
        <v>https://arizona.app.box.com/file/386242118020</v>
      </c>
    </row>
    <row r="8098" spans="1:25" x14ac:dyDescent="0.2">
      <c r="A8098">
        <v>6710</v>
      </c>
      <c r="B8098" t="s">
        <v>11617</v>
      </c>
      <c r="C8098" t="s">
        <v>18</v>
      </c>
      <c r="D8098" t="s">
        <v>11625</v>
      </c>
      <c r="E8098" t="s">
        <v>11626</v>
      </c>
      <c r="F8098" t="s">
        <v>2388</v>
      </c>
      <c r="G8098" t="s">
        <v>88</v>
      </c>
      <c r="J8098" t="b">
        <v>0</v>
      </c>
      <c r="K8098" t="b">
        <v>0</v>
      </c>
      <c r="L8098" t="b">
        <v>0</v>
      </c>
    </row>
    <row r="8099" spans="1:25" x14ac:dyDescent="0.2">
      <c r="A8099">
        <v>6711</v>
      </c>
      <c r="B8099" t="s">
        <v>11617</v>
      </c>
      <c r="C8099" t="s">
        <v>18</v>
      </c>
      <c r="D8099" t="s">
        <v>11627</v>
      </c>
      <c r="E8099" t="s">
        <v>11628</v>
      </c>
      <c r="F8099" t="s">
        <v>2388</v>
      </c>
      <c r="G8099" t="s">
        <v>62</v>
      </c>
      <c r="J8099" t="b">
        <v>0</v>
      </c>
      <c r="K8099" t="b">
        <v>0</v>
      </c>
      <c r="L8099" t="b">
        <v>0</v>
      </c>
      <c r="M8099" t="str">
        <f>HYPERLINK("https://arizona.app.box.com/file/386238491858")</f>
        <v>https://arizona.app.box.com/file/386238491858</v>
      </c>
    </row>
    <row r="8101" spans="1:25" x14ac:dyDescent="0.2">
      <c r="A8101" s="2">
        <v>6741</v>
      </c>
      <c r="B8101" s="2" t="s">
        <v>11629</v>
      </c>
      <c r="C8101" s="2" t="s">
        <v>13</v>
      </c>
      <c r="D8101" s="2" t="s">
        <v>10577</v>
      </c>
      <c r="E8101" s="2" t="s">
        <v>10578</v>
      </c>
      <c r="F8101" s="2" t="s">
        <v>205</v>
      </c>
      <c r="G8101" s="2" t="s">
        <v>134</v>
      </c>
      <c r="H8101" s="2"/>
      <c r="I8101" s="2"/>
      <c r="J8101" s="2"/>
      <c r="K8101" s="2"/>
      <c r="L8101" s="2"/>
      <c r="M8101" s="2"/>
      <c r="N8101" s="2"/>
      <c r="O8101" s="2"/>
      <c r="P8101" s="2"/>
      <c r="Q8101" s="2"/>
      <c r="R8101" s="2"/>
      <c r="S8101" s="2"/>
      <c r="T8101" s="2"/>
      <c r="U8101" s="2"/>
      <c r="V8101" s="2"/>
      <c r="W8101" s="2"/>
      <c r="X8101" s="2"/>
      <c r="Y8101" s="2"/>
    </row>
    <row r="8102" spans="1:25" x14ac:dyDescent="0.2">
      <c r="A8102">
        <v>6742</v>
      </c>
      <c r="B8102" t="s">
        <v>11629</v>
      </c>
      <c r="C8102" t="s">
        <v>18</v>
      </c>
      <c r="D8102" t="s">
        <v>10577</v>
      </c>
      <c r="E8102" t="s">
        <v>10578</v>
      </c>
      <c r="F8102" t="s">
        <v>205</v>
      </c>
      <c r="G8102" t="s">
        <v>134</v>
      </c>
      <c r="J8102" t="b">
        <v>1</v>
      </c>
      <c r="K8102" t="b">
        <v>1</v>
      </c>
      <c r="L8102" t="b">
        <v>1</v>
      </c>
      <c r="M8102" t="str">
        <f>HYPERLINK("https://arizona.app.box.com/file/389264936204")</f>
        <v>https://arizona.app.box.com/file/389264936204</v>
      </c>
      <c r="N8102" t="str">
        <f>HYPERLINK("https://arizona.app.box.com/file/389172248846")</f>
        <v>https://arizona.app.box.com/file/389172248846</v>
      </c>
      <c r="O8102" t="str">
        <f>HYPERLINK("https://arizona.app.box.com/file/389166136013")</f>
        <v>https://arizona.app.box.com/file/389166136013</v>
      </c>
      <c r="P8102" t="str">
        <f>HYPERLINK("https://arizona.app.box.com/file/386216049283")</f>
        <v>https://arizona.app.box.com/file/386216049283</v>
      </c>
    </row>
    <row r="8103" spans="1:25" x14ac:dyDescent="0.2">
      <c r="A8103">
        <v>6743</v>
      </c>
      <c r="B8103" t="s">
        <v>11629</v>
      </c>
      <c r="C8103" t="s">
        <v>18</v>
      </c>
      <c r="D8103" t="s">
        <v>10572</v>
      </c>
      <c r="E8103" t="s">
        <v>1859</v>
      </c>
      <c r="F8103" t="s">
        <v>205</v>
      </c>
      <c r="G8103" t="s">
        <v>134</v>
      </c>
      <c r="J8103" t="b">
        <v>0</v>
      </c>
      <c r="K8103" t="b">
        <v>0</v>
      </c>
      <c r="L8103" t="b">
        <v>0</v>
      </c>
    </row>
    <row r="8104" spans="1:25" x14ac:dyDescent="0.2">
      <c r="A8104">
        <v>6744</v>
      </c>
      <c r="B8104" t="s">
        <v>11629</v>
      </c>
      <c r="C8104" t="s">
        <v>18</v>
      </c>
      <c r="D8104" t="s">
        <v>10575</v>
      </c>
      <c r="E8104" t="s">
        <v>10576</v>
      </c>
      <c r="F8104" t="s">
        <v>205</v>
      </c>
      <c r="G8104" t="s">
        <v>134</v>
      </c>
      <c r="J8104" t="b">
        <v>0</v>
      </c>
      <c r="K8104" t="b">
        <v>0</v>
      </c>
      <c r="L8104" t="b">
        <v>0</v>
      </c>
      <c r="M8104" t="str">
        <f>HYPERLINK("https://arizona.app.box.com/file/389174000612")</f>
        <v>https://arizona.app.box.com/file/389174000612</v>
      </c>
      <c r="N8104" t="str">
        <f>HYPERLINK("https://arizona.app.box.com/file/386212225318")</f>
        <v>https://arizona.app.box.com/file/386212225318</v>
      </c>
    </row>
    <row r="8105" spans="1:25" x14ac:dyDescent="0.2">
      <c r="A8105">
        <v>6745</v>
      </c>
      <c r="B8105" t="s">
        <v>11629</v>
      </c>
      <c r="C8105" t="s">
        <v>18</v>
      </c>
      <c r="D8105" t="s">
        <v>4228</v>
      </c>
      <c r="E8105" t="s">
        <v>4229</v>
      </c>
      <c r="F8105" t="s">
        <v>78</v>
      </c>
      <c r="G8105" t="s">
        <v>134</v>
      </c>
      <c r="J8105" t="b">
        <v>0</v>
      </c>
      <c r="K8105" t="b">
        <v>0</v>
      </c>
      <c r="L8105" t="b">
        <v>0</v>
      </c>
      <c r="M8105" t="str">
        <f>HYPERLINK("https://arizona.app.box.com/file/389165808610")</f>
        <v>https://arizona.app.box.com/file/389165808610</v>
      </c>
      <c r="N8105" t="str">
        <f>HYPERLINK("https://arizona.app.box.com/file/386214603167")</f>
        <v>https://arizona.app.box.com/file/386214603167</v>
      </c>
    </row>
    <row r="8106" spans="1:25" x14ac:dyDescent="0.2">
      <c r="A8106">
        <v>6746</v>
      </c>
      <c r="B8106" t="s">
        <v>11629</v>
      </c>
      <c r="C8106" t="s">
        <v>18</v>
      </c>
      <c r="D8106" t="s">
        <v>10574</v>
      </c>
      <c r="E8106" t="s">
        <v>3848</v>
      </c>
      <c r="F8106" t="s">
        <v>205</v>
      </c>
      <c r="G8106" t="s">
        <v>134</v>
      </c>
      <c r="J8106" t="b">
        <v>0</v>
      </c>
      <c r="K8106" t="b">
        <v>0</v>
      </c>
      <c r="L8106" t="b">
        <v>0</v>
      </c>
      <c r="M8106" t="str">
        <f>HYPERLINK("https://arizona.app.box.com/file/389161818050")</f>
        <v>https://arizona.app.box.com/file/389161818050</v>
      </c>
    </row>
    <row r="8108" spans="1:25" x14ac:dyDescent="0.2">
      <c r="A8108" s="2">
        <v>6762</v>
      </c>
      <c r="B8108" s="2" t="s">
        <v>11630</v>
      </c>
      <c r="C8108" s="2" t="s">
        <v>13</v>
      </c>
      <c r="D8108" s="2" t="s">
        <v>10267</v>
      </c>
      <c r="E8108" s="2" t="s">
        <v>10268</v>
      </c>
      <c r="F8108" s="2" t="s">
        <v>78</v>
      </c>
      <c r="G8108" s="2" t="s">
        <v>88</v>
      </c>
      <c r="H8108" s="2"/>
      <c r="I8108" s="2"/>
      <c r="J8108" s="2"/>
      <c r="K8108" s="2"/>
      <c r="L8108" s="2"/>
      <c r="M8108" s="2"/>
      <c r="N8108" s="2"/>
      <c r="O8108" s="2"/>
      <c r="P8108" s="2"/>
      <c r="Q8108" s="2"/>
      <c r="R8108" s="2"/>
      <c r="S8108" s="2"/>
      <c r="T8108" s="2"/>
      <c r="U8108" s="2"/>
      <c r="V8108" s="2"/>
      <c r="W8108" s="2"/>
      <c r="X8108" s="2"/>
      <c r="Y8108" s="2"/>
    </row>
    <row r="8109" spans="1:25" x14ac:dyDescent="0.2">
      <c r="A8109">
        <v>6763</v>
      </c>
      <c r="B8109" t="s">
        <v>11630</v>
      </c>
      <c r="C8109" t="s">
        <v>18</v>
      </c>
      <c r="D8109" t="s">
        <v>10267</v>
      </c>
      <c r="E8109" t="s">
        <v>10268</v>
      </c>
      <c r="F8109" t="s">
        <v>78</v>
      </c>
      <c r="G8109" t="s">
        <v>88</v>
      </c>
      <c r="J8109" t="b">
        <v>1</v>
      </c>
      <c r="K8109" t="b">
        <v>1</v>
      </c>
      <c r="L8109" t="b">
        <v>1</v>
      </c>
      <c r="M8109" t="str">
        <f>HYPERLINK("https://arizona.app.box.com/file/389152306072")</f>
        <v>https://arizona.app.box.com/file/389152306072</v>
      </c>
      <c r="N8109" t="str">
        <f>HYPERLINK("https://arizona.app.box.com/file/389172809074")</f>
        <v>https://arizona.app.box.com/file/389172809074</v>
      </c>
      <c r="O8109" t="str">
        <f>HYPERLINK("https://arizona.app.box.com/file/386237433970")</f>
        <v>https://arizona.app.box.com/file/386237433970</v>
      </c>
    </row>
    <row r="8110" spans="1:25" x14ac:dyDescent="0.2">
      <c r="A8110">
        <v>6764</v>
      </c>
      <c r="B8110" t="s">
        <v>11630</v>
      </c>
      <c r="C8110" t="s">
        <v>18</v>
      </c>
      <c r="D8110" t="s">
        <v>1623</v>
      </c>
      <c r="E8110" t="s">
        <v>1624</v>
      </c>
      <c r="F8110" t="s">
        <v>78</v>
      </c>
      <c r="G8110" t="s">
        <v>88</v>
      </c>
      <c r="J8110" t="b">
        <v>0</v>
      </c>
      <c r="K8110" t="b">
        <v>0</v>
      </c>
      <c r="L8110" t="b">
        <v>0</v>
      </c>
      <c r="M8110" t="str">
        <f>HYPERLINK("https://arizona.app.box.com/file/389255419801")</f>
        <v>https://arizona.app.box.com/file/389255419801</v>
      </c>
      <c r="N8110" t="str">
        <f>HYPERLINK("https://arizona.app.box.com/file/389163324978")</f>
        <v>https://arizona.app.box.com/file/389163324978</v>
      </c>
      <c r="O8110" t="str">
        <f>HYPERLINK("https://arizona.app.box.com/file/389170626893")</f>
        <v>https://arizona.app.box.com/file/389170626893</v>
      </c>
      <c r="P8110" t="str">
        <f>HYPERLINK("https://arizona.app.box.com/file/386238294339")</f>
        <v>https://arizona.app.box.com/file/386238294339</v>
      </c>
    </row>
    <row r="8111" spans="1:25" x14ac:dyDescent="0.2">
      <c r="A8111">
        <v>6765</v>
      </c>
      <c r="B8111" t="s">
        <v>11630</v>
      </c>
      <c r="C8111" t="s">
        <v>18</v>
      </c>
      <c r="D8111" t="s">
        <v>5710</v>
      </c>
      <c r="E8111" t="s">
        <v>4015</v>
      </c>
      <c r="F8111" t="s">
        <v>78</v>
      </c>
      <c r="G8111" t="s">
        <v>88</v>
      </c>
      <c r="J8111" t="b">
        <v>0</v>
      </c>
      <c r="K8111" t="b">
        <v>0</v>
      </c>
      <c r="L8111" t="b">
        <v>0</v>
      </c>
      <c r="M8111" t="str">
        <f>HYPERLINK("https://arizona.app.box.com/file/389262387245")</f>
        <v>https://arizona.app.box.com/file/389262387245</v>
      </c>
      <c r="N8111" t="str">
        <f>HYPERLINK("https://arizona.app.box.com/file/389153332339")</f>
        <v>https://arizona.app.box.com/file/389153332339</v>
      </c>
    </row>
    <row r="8112" spans="1:25" x14ac:dyDescent="0.2">
      <c r="A8112">
        <v>6766</v>
      </c>
      <c r="B8112" t="s">
        <v>11630</v>
      </c>
      <c r="C8112" t="s">
        <v>18</v>
      </c>
      <c r="D8112" t="s">
        <v>10541</v>
      </c>
      <c r="E8112" t="s">
        <v>9249</v>
      </c>
      <c r="F8112" t="s">
        <v>148</v>
      </c>
      <c r="G8112" t="s">
        <v>1406</v>
      </c>
      <c r="J8112" t="b">
        <v>0</v>
      </c>
      <c r="K8112" t="b">
        <v>0</v>
      </c>
      <c r="L8112" t="b">
        <v>0</v>
      </c>
      <c r="M8112" t="str">
        <f>HYPERLINK("https://arizona.app.box.com/file/389170466640")</f>
        <v>https://arizona.app.box.com/file/389170466640</v>
      </c>
      <c r="N8112" t="str">
        <f>HYPERLINK("https://arizona.app.box.com/file/386218276653")</f>
        <v>https://arizona.app.box.com/file/386218276653</v>
      </c>
    </row>
    <row r="8113" spans="1:25" x14ac:dyDescent="0.2">
      <c r="A8113">
        <v>6767</v>
      </c>
      <c r="B8113" t="s">
        <v>11630</v>
      </c>
      <c r="C8113" t="s">
        <v>18</v>
      </c>
      <c r="D8113" t="s">
        <v>10543</v>
      </c>
      <c r="E8113" t="s">
        <v>10544</v>
      </c>
      <c r="F8113" t="s">
        <v>148</v>
      </c>
      <c r="G8113" t="s">
        <v>1406</v>
      </c>
      <c r="J8113" t="b">
        <v>0</v>
      </c>
      <c r="K8113" t="b">
        <v>0</v>
      </c>
      <c r="L8113" t="b">
        <v>0</v>
      </c>
      <c r="M8113" t="str">
        <f>HYPERLINK("https://arizona.app.box.com/file/389256239955")</f>
        <v>https://arizona.app.box.com/file/389256239955</v>
      </c>
      <c r="N8113" t="str">
        <f>HYPERLINK("https://arizona.app.box.com/file/389169004220")</f>
        <v>https://arizona.app.box.com/file/389169004220</v>
      </c>
    </row>
    <row r="8115" spans="1:25" x14ac:dyDescent="0.2">
      <c r="A8115" s="2">
        <v>6790</v>
      </c>
      <c r="B8115" s="2" t="s">
        <v>11631</v>
      </c>
      <c r="C8115" s="2" t="s">
        <v>13</v>
      </c>
      <c r="D8115" s="2" t="s">
        <v>11632</v>
      </c>
      <c r="E8115" s="2" t="s">
        <v>11633</v>
      </c>
      <c r="F8115" s="2" t="s">
        <v>31</v>
      </c>
      <c r="G8115" s="2" t="s">
        <v>17</v>
      </c>
      <c r="H8115" s="2"/>
      <c r="I8115" s="2"/>
      <c r="J8115" s="2"/>
      <c r="K8115" s="2"/>
      <c r="L8115" s="2"/>
      <c r="M8115" s="2"/>
      <c r="N8115" s="2"/>
      <c r="O8115" s="2"/>
      <c r="P8115" s="2"/>
      <c r="Q8115" s="2"/>
      <c r="R8115" s="2"/>
      <c r="S8115" s="2"/>
      <c r="T8115" s="2"/>
      <c r="U8115" s="2"/>
      <c r="V8115" s="2"/>
      <c r="W8115" s="2"/>
      <c r="X8115" s="2"/>
      <c r="Y8115" s="2"/>
    </row>
    <row r="8116" spans="1:25" x14ac:dyDescent="0.2">
      <c r="A8116">
        <v>6791</v>
      </c>
      <c r="B8116" t="s">
        <v>11631</v>
      </c>
      <c r="C8116" t="s">
        <v>18</v>
      </c>
      <c r="D8116" t="s">
        <v>11632</v>
      </c>
      <c r="E8116" t="s">
        <v>11633</v>
      </c>
      <c r="F8116" t="s">
        <v>31</v>
      </c>
      <c r="G8116" t="s">
        <v>17</v>
      </c>
      <c r="J8116" t="b">
        <v>1</v>
      </c>
      <c r="K8116" t="b">
        <v>1</v>
      </c>
      <c r="L8116" t="b">
        <v>1</v>
      </c>
      <c r="M8116" t="str">
        <f>HYPERLINK("https://arizona.app.box.com/file/389160602784")</f>
        <v>https://arizona.app.box.com/file/389160602784</v>
      </c>
      <c r="N8116" t="str">
        <f>HYPERLINK("https://arizona.app.box.com/file/389161845862")</f>
        <v>https://arizona.app.box.com/file/389161845862</v>
      </c>
    </row>
    <row r="8117" spans="1:25" x14ac:dyDescent="0.2">
      <c r="A8117">
        <v>6792</v>
      </c>
      <c r="B8117" t="s">
        <v>11631</v>
      </c>
      <c r="C8117" t="s">
        <v>18</v>
      </c>
      <c r="D8117" t="s">
        <v>11634</v>
      </c>
      <c r="E8117" t="s">
        <v>11635</v>
      </c>
      <c r="F8117" t="s">
        <v>31</v>
      </c>
      <c r="G8117" t="s">
        <v>17</v>
      </c>
      <c r="J8117" t="b">
        <v>0</v>
      </c>
      <c r="K8117" t="b">
        <v>0</v>
      </c>
      <c r="L8117" t="b">
        <v>0</v>
      </c>
      <c r="M8117" t="str">
        <f>HYPERLINK("https://arizona.app.box.com/file/389166271934")</f>
        <v>https://arizona.app.box.com/file/389166271934</v>
      </c>
      <c r="N8117" t="str">
        <f>HYPERLINK("https://arizona.app.box.com/file/389151533259")</f>
        <v>https://arizona.app.box.com/file/389151533259</v>
      </c>
    </row>
    <row r="8118" spans="1:25" x14ac:dyDescent="0.2">
      <c r="A8118">
        <v>6793</v>
      </c>
      <c r="B8118" t="s">
        <v>11631</v>
      </c>
      <c r="C8118" t="s">
        <v>18</v>
      </c>
      <c r="D8118" t="s">
        <v>11636</v>
      </c>
      <c r="E8118" t="s">
        <v>11637</v>
      </c>
      <c r="F8118" t="s">
        <v>31</v>
      </c>
      <c r="G8118" t="s">
        <v>17</v>
      </c>
      <c r="J8118" t="b">
        <v>0</v>
      </c>
      <c r="K8118" t="b">
        <v>0</v>
      </c>
      <c r="L8118" t="b">
        <v>0</v>
      </c>
      <c r="M8118" t="str">
        <f>HYPERLINK("https://arizona.app.box.com/file/389137368057")</f>
        <v>https://arizona.app.box.com/file/389137368057</v>
      </c>
      <c r="N8118" t="str">
        <f>HYPERLINK("https://arizona.app.box.com/file/389152986105")</f>
        <v>https://arizona.app.box.com/file/389152986105</v>
      </c>
    </row>
    <row r="8119" spans="1:25" x14ac:dyDescent="0.2">
      <c r="A8119">
        <v>6794</v>
      </c>
      <c r="B8119" t="s">
        <v>11631</v>
      </c>
      <c r="C8119" t="s">
        <v>18</v>
      </c>
      <c r="D8119" t="s">
        <v>11638</v>
      </c>
      <c r="E8119" t="s">
        <v>11639</v>
      </c>
      <c r="F8119" t="s">
        <v>31</v>
      </c>
      <c r="G8119" t="s">
        <v>17</v>
      </c>
      <c r="J8119" t="b">
        <v>0</v>
      </c>
      <c r="K8119" t="b">
        <v>0</v>
      </c>
      <c r="L8119" t="b">
        <v>0</v>
      </c>
      <c r="M8119" t="str">
        <f>HYPERLINK("https://arizona.app.box.com/file/386271023534")</f>
        <v>https://arizona.app.box.com/file/386271023534</v>
      </c>
    </row>
    <row r="8120" spans="1:25" x14ac:dyDescent="0.2">
      <c r="A8120">
        <v>6795</v>
      </c>
      <c r="B8120" t="s">
        <v>11631</v>
      </c>
      <c r="C8120" t="s">
        <v>18</v>
      </c>
      <c r="D8120" t="s">
        <v>11640</v>
      </c>
      <c r="E8120" t="s">
        <v>11641</v>
      </c>
      <c r="F8120" t="s">
        <v>31</v>
      </c>
      <c r="G8120" t="s">
        <v>17</v>
      </c>
      <c r="J8120" t="b">
        <v>0</v>
      </c>
      <c r="K8120" t="b">
        <v>0</v>
      </c>
      <c r="L8120" t="b">
        <v>0</v>
      </c>
      <c r="M8120" t="str">
        <f>HYPERLINK("https://arizona.app.box.com/file/386265502638")</f>
        <v>https://arizona.app.box.com/file/386265502638</v>
      </c>
    </row>
    <row r="8122" spans="1:25" x14ac:dyDescent="0.2">
      <c r="A8122" s="2">
        <v>6874</v>
      </c>
      <c r="B8122" s="2" t="s">
        <v>11642</v>
      </c>
      <c r="C8122" s="2" t="s">
        <v>13</v>
      </c>
      <c r="D8122" s="2" t="s">
        <v>7879</v>
      </c>
      <c r="E8122" s="2" t="s">
        <v>11643</v>
      </c>
      <c r="F8122" s="2" t="s">
        <v>78</v>
      </c>
      <c r="G8122" s="2" t="s">
        <v>24</v>
      </c>
      <c r="H8122" s="2"/>
      <c r="I8122" s="2"/>
      <c r="J8122" s="2"/>
      <c r="K8122" s="2"/>
      <c r="L8122" s="2"/>
      <c r="M8122" s="2"/>
      <c r="N8122" s="2"/>
      <c r="O8122" s="2"/>
      <c r="P8122" s="2"/>
      <c r="Q8122" s="2"/>
      <c r="R8122" s="2"/>
      <c r="S8122" s="2"/>
      <c r="T8122" s="2"/>
      <c r="U8122" s="2"/>
      <c r="V8122" s="2"/>
      <c r="W8122" s="2"/>
      <c r="X8122" s="2"/>
      <c r="Y8122" s="2"/>
    </row>
    <row r="8123" spans="1:25" x14ac:dyDescent="0.2">
      <c r="A8123">
        <v>6875</v>
      </c>
      <c r="B8123" t="s">
        <v>11642</v>
      </c>
      <c r="C8123" t="s">
        <v>18</v>
      </c>
      <c r="D8123" t="s">
        <v>7879</v>
      </c>
      <c r="E8123" t="s">
        <v>6609</v>
      </c>
      <c r="F8123" t="s">
        <v>78</v>
      </c>
      <c r="G8123" t="s">
        <v>24</v>
      </c>
      <c r="J8123" t="b">
        <v>1</v>
      </c>
      <c r="K8123" t="b">
        <v>1</v>
      </c>
      <c r="L8123" t="b">
        <v>1</v>
      </c>
      <c r="M8123" t="str">
        <f>HYPERLINK("https://arizona.app.box.com/file/389267847540")</f>
        <v>https://arizona.app.box.com/file/389267847540</v>
      </c>
      <c r="N8123" t="str">
        <f>HYPERLINK("https://arizona.app.box.com/file/389154632505")</f>
        <v>https://arizona.app.box.com/file/389154632505</v>
      </c>
    </row>
    <row r="8124" spans="1:25" x14ac:dyDescent="0.2">
      <c r="A8124">
        <v>6876</v>
      </c>
      <c r="B8124" t="s">
        <v>11642</v>
      </c>
      <c r="C8124" t="s">
        <v>18</v>
      </c>
      <c r="D8124" t="s">
        <v>11644</v>
      </c>
      <c r="E8124" t="s">
        <v>11645</v>
      </c>
      <c r="F8124" t="s">
        <v>78</v>
      </c>
      <c r="G8124" t="s">
        <v>24</v>
      </c>
      <c r="J8124" t="b">
        <v>1</v>
      </c>
      <c r="K8124" t="b">
        <v>1</v>
      </c>
      <c r="L8124" t="b">
        <v>1</v>
      </c>
      <c r="M8124" t="str">
        <f>HYPERLINK("https://arizona.app.box.com/file/389177695873")</f>
        <v>https://arizona.app.box.com/file/389177695873</v>
      </c>
      <c r="N8124" t="str">
        <f>HYPERLINK("https://arizona.app.box.com/file/386216987184")</f>
        <v>https://arizona.app.box.com/file/386216987184</v>
      </c>
    </row>
    <row r="8125" spans="1:25" x14ac:dyDescent="0.2">
      <c r="A8125">
        <v>6877</v>
      </c>
      <c r="B8125" t="s">
        <v>11642</v>
      </c>
      <c r="C8125" t="s">
        <v>18</v>
      </c>
      <c r="D8125" t="s">
        <v>5792</v>
      </c>
      <c r="E8125" t="s">
        <v>5793</v>
      </c>
      <c r="F8125" t="s">
        <v>78</v>
      </c>
      <c r="G8125" t="s">
        <v>24</v>
      </c>
      <c r="J8125" t="b">
        <v>0</v>
      </c>
      <c r="K8125" t="b">
        <v>0</v>
      </c>
      <c r="L8125" t="b">
        <v>0</v>
      </c>
      <c r="M8125" t="str">
        <f>HYPERLINK("https://arizona.app.box.com/file/389166526895")</f>
        <v>https://arizona.app.box.com/file/389166526895</v>
      </c>
      <c r="N8125" t="str">
        <f>HYPERLINK("https://arizona.app.box.com/file/386225755331")</f>
        <v>https://arizona.app.box.com/file/386225755331</v>
      </c>
    </row>
    <row r="8126" spans="1:25" x14ac:dyDescent="0.2">
      <c r="A8126">
        <v>6878</v>
      </c>
      <c r="B8126" t="s">
        <v>11642</v>
      </c>
      <c r="C8126" t="s">
        <v>18</v>
      </c>
      <c r="D8126" t="s">
        <v>5787</v>
      </c>
      <c r="E8126" t="s">
        <v>2203</v>
      </c>
      <c r="F8126" t="s">
        <v>78</v>
      </c>
      <c r="G8126" t="s">
        <v>24</v>
      </c>
      <c r="J8126" t="b">
        <v>0</v>
      </c>
      <c r="K8126" t="b">
        <v>0</v>
      </c>
      <c r="L8126" t="b">
        <v>0</v>
      </c>
      <c r="M8126" t="str">
        <f>HYPERLINK("https://arizona.app.box.com/file/389175639770")</f>
        <v>https://arizona.app.box.com/file/389175639770</v>
      </c>
      <c r="N8126" t="str">
        <f>HYPERLINK("https://arizona.app.box.com/file/386213231857")</f>
        <v>https://arizona.app.box.com/file/386213231857</v>
      </c>
    </row>
    <row r="8127" spans="1:25" x14ac:dyDescent="0.2">
      <c r="A8127">
        <v>6879</v>
      </c>
      <c r="B8127" t="s">
        <v>11642</v>
      </c>
      <c r="C8127" t="s">
        <v>18</v>
      </c>
      <c r="D8127" t="s">
        <v>11646</v>
      </c>
      <c r="E8127" t="s">
        <v>11647</v>
      </c>
      <c r="F8127" t="s">
        <v>151</v>
      </c>
      <c r="G8127" t="s">
        <v>24</v>
      </c>
      <c r="J8127" t="b">
        <v>0</v>
      </c>
      <c r="K8127" t="b">
        <v>0</v>
      </c>
      <c r="L8127" t="b">
        <v>0</v>
      </c>
    </row>
  </sheetData>
  <hyperlinks>
    <hyperlink ref="M649" r:id="rId1" xr:uid="{0F5CE60A-D3EA-4B28-85E5-F01EA7EA0A84}"/>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Title Alignment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2019-09-24T12:50:38Z</dcterms:created>
  <dcterms:modified xsi:type="dcterms:W3CDTF">2019-09-30T18:28:30Z</dcterms:modified>
</cp:coreProperties>
</file>