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0fcb0db259d8c/Учеба/8 сем/Диплом/Asmodeus_app/"/>
    </mc:Choice>
  </mc:AlternateContent>
  <xr:revisionPtr revIDLastSave="10" documentId="8_{AB9F124D-7DF1-4A0A-A345-B3126B3AB9C1}" xr6:coauthVersionLast="45" xr6:coauthVersionMax="45" xr10:uidLastSave="{236766FF-BF24-4999-82BB-18585487DE1E}"/>
  <bookViews>
    <workbookView xWindow="-120" yWindow="-120" windowWidth="29040" windowHeight="17790" activeTab="1" xr2:uid="{9081C0D5-F263-4436-A1EC-F2864DB23757}"/>
  </bookViews>
  <sheets>
    <sheet name="ЭКО" sheetId="1" r:id="rId1"/>
    <sheet name="График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2" l="1"/>
  <c r="B38" i="2"/>
  <c r="C3" i="2"/>
  <c r="B3" i="2"/>
  <c r="C4" i="2"/>
  <c r="B4" i="2"/>
  <c r="C2" i="2"/>
  <c r="B2" i="2"/>
  <c r="C51" i="1" l="1"/>
  <c r="C50" i="1"/>
  <c r="C49" i="1"/>
  <c r="E47" i="1"/>
  <c r="D47" i="1"/>
  <c r="F46" i="1"/>
  <c r="F47" i="1" s="1"/>
  <c r="G47" i="1" s="1"/>
  <c r="G46" i="1"/>
  <c r="E46" i="1"/>
  <c r="D46" i="1"/>
  <c r="D45" i="1"/>
  <c r="D44" i="1"/>
  <c r="E42" i="1"/>
  <c r="F42" i="1"/>
  <c r="G42" i="1"/>
  <c r="D42" i="1"/>
  <c r="G41" i="1"/>
  <c r="F41" i="1"/>
  <c r="E41" i="1"/>
  <c r="D41" i="1"/>
  <c r="E40" i="1"/>
  <c r="F40" i="1"/>
  <c r="G40" i="1"/>
  <c r="D40" i="1"/>
  <c r="D38" i="1"/>
  <c r="F38" i="1"/>
  <c r="G38" i="1"/>
  <c r="E38" i="1"/>
  <c r="E39" i="1"/>
  <c r="F39" i="1"/>
  <c r="G39" i="1"/>
  <c r="D39" i="1"/>
  <c r="F36" i="1"/>
  <c r="G36" i="1" s="1"/>
  <c r="E36" i="1"/>
  <c r="C32" i="1"/>
  <c r="C33" i="1"/>
  <c r="C34" i="1"/>
  <c r="C31" i="1"/>
  <c r="C30" i="1"/>
  <c r="C29" i="1"/>
  <c r="C28" i="1"/>
  <c r="C24" i="1" l="1"/>
  <c r="C23" i="1"/>
  <c r="C21" i="1"/>
  <c r="C20" i="1"/>
  <c r="C15" i="1"/>
  <c r="C13" i="1"/>
  <c r="C12" i="1"/>
  <c r="C14" i="1" s="1"/>
  <c r="C11" i="1"/>
  <c r="E9" i="1"/>
  <c r="E8" i="1"/>
  <c r="E7" i="1"/>
  <c r="E4" i="1"/>
  <c r="E5" i="1"/>
  <c r="E6" i="1"/>
  <c r="E3" i="1"/>
  <c r="C16" i="1" l="1"/>
  <c r="C25" i="1" s="1"/>
  <c r="C22" i="1"/>
  <c r="C17" i="1" l="1"/>
  <c r="C26" i="1" s="1"/>
</calcChain>
</file>

<file path=xl/sharedStrings.xml><?xml version="1.0" encoding="utf-8"?>
<sst xmlns="http://schemas.openxmlformats.org/spreadsheetml/2006/main" count="76" uniqueCount="53">
  <si>
    <t>Расчет основной заработной платы</t>
  </si>
  <si>
    <t>Должность</t>
  </si>
  <si>
    <t>Месячная тарифная ставка, руб.</t>
  </si>
  <si>
    <t>Дневная тарифная ставка, руб.</t>
  </si>
  <si>
    <t>Плановый фонд рабочего времени, дн.</t>
  </si>
  <si>
    <t>Сумма осн. Заработной платы исполнителей, руб.</t>
  </si>
  <si>
    <t>Руководитель проекта</t>
  </si>
  <si>
    <t>Дизайнер</t>
  </si>
  <si>
    <t>Инженер программист</t>
  </si>
  <si>
    <t>Тестировшик</t>
  </si>
  <si>
    <t>Основная заработная плата</t>
  </si>
  <si>
    <t>Премия(20%)</t>
  </si>
  <si>
    <t>Итого с учетом премии(Зо)</t>
  </si>
  <si>
    <t>Дополнительная заработная плата =</t>
  </si>
  <si>
    <t>%</t>
  </si>
  <si>
    <t>=</t>
  </si>
  <si>
    <t>Отчисления в фонд социальной защиты населения и на обязательное страхование =</t>
  </si>
  <si>
    <t xml:space="preserve"> </t>
  </si>
  <si>
    <t>Накладные расходы =</t>
  </si>
  <si>
    <t xml:space="preserve">Общая сумма расходов по всем статьям сметы (С_р) на ПО </t>
  </si>
  <si>
    <t>Машинное время</t>
  </si>
  <si>
    <t>Стоимость машино-часа</t>
  </si>
  <si>
    <t>дня</t>
  </si>
  <si>
    <t>руб</t>
  </si>
  <si>
    <t>количество часов работы в день</t>
  </si>
  <si>
    <t>ч</t>
  </si>
  <si>
    <t>Затраты на сопровождение и адаптацию</t>
  </si>
  <si>
    <t xml:space="preserve">Общая сумма на разработку </t>
  </si>
  <si>
    <t>Наименование затрат</t>
  </si>
  <si>
    <t>Условное обозначение</t>
  </si>
  <si>
    <t>Сумма, руб</t>
  </si>
  <si>
    <t>Основная заработная плата команды разработчиков</t>
  </si>
  <si>
    <t>Дополнительная заработная плата команды разработчиков</t>
  </si>
  <si>
    <t>Отчисления на социальные нужды</t>
  </si>
  <si>
    <t>Накладные расходы</t>
  </si>
  <si>
    <t>Полная себестоимость</t>
  </si>
  <si>
    <t>t=</t>
  </si>
  <si>
    <t>Един. Изм.</t>
  </si>
  <si>
    <t>Усл. Обоз.</t>
  </si>
  <si>
    <t>Результат</t>
  </si>
  <si>
    <t>1. Прирост чистой прибыли</t>
  </si>
  <si>
    <t>2. Прирост амортизационных отчислений</t>
  </si>
  <si>
    <t>3. Прирост результата</t>
  </si>
  <si>
    <t>4. Коэффициент дисконтирования</t>
  </si>
  <si>
    <t>5. Результат с учетом фактора времени</t>
  </si>
  <si>
    <t>Инвестиции</t>
  </si>
  <si>
    <t>6. Инвестиции в разработку ПО</t>
  </si>
  <si>
    <t>7. Инвестиции с учетом времени</t>
  </si>
  <si>
    <t>8.Чистый дисконтированный доход по годам</t>
  </si>
  <si>
    <t>9. ЧДД нарастающий итогом</t>
  </si>
  <si>
    <t>прочее</t>
  </si>
  <si>
    <t>Работа на проекте</t>
  </si>
  <si>
    <t>обучение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</si>
</sst>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top" wrapText="1"/>
    </xf>
    <xf numFmtId="2" fontId="1" fillId="0" borderId="0" xfId="0" applyNumberFormat="1" applyFont="1"/>
    <xf numFmtId="0" fontId="0" fillId="0" borderId="0" xfId="0" applyAlignment="1">
      <alignment horizontal="right"/>
    </xf>
    <xf numFmtId="2" fontId="2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3" xfId="0" applyNumberFormat="1" applyFont="1" applyBorder="1"/>
    <xf numFmtId="0" fontId="1" fillId="0" borderId="8" xfId="0" applyFont="1" applyBorder="1"/>
    <xf numFmtId="0" fontId="1" fillId="0" borderId="9" xfId="0" applyFont="1" applyBorder="1"/>
    <xf numFmtId="2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2" fontId="1" fillId="0" borderId="14" xfId="0" applyNumberFormat="1" applyFont="1" applyBorder="1"/>
    <xf numFmtId="0" fontId="1" fillId="0" borderId="3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После внедрения системы подбора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Графики!$B$2:$B$4</c:f>
              <c:numCache>
                <c:formatCode>0.00</c:formatCode>
                <c:ptCount val="3"/>
                <c:pt idx="0">
                  <c:v>180</c:v>
                </c:pt>
                <c:pt idx="1">
                  <c:v>136.80000000000001</c:v>
                </c:pt>
                <c:pt idx="2">
                  <c:v>257.39999999999998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4E01-AB9D-F7D3B93E4A06}"/>
            </c:ext>
          </c:extLst>
        </c:ser>
        <c:ser>
          <c:idx val="1"/>
          <c:order val="1"/>
          <c:tx>
            <c:v>До внедрения системы подбора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Графики!$C$2:$C$4</c:f>
              <c:numCache>
                <c:formatCode>0.00</c:formatCode>
                <c:ptCount val="3"/>
                <c:pt idx="0">
                  <c:v>90</c:v>
                </c:pt>
                <c:pt idx="1">
                  <c:v>165.52800000000002</c:v>
                </c:pt>
                <c:pt idx="2">
                  <c:v>175.03199999999998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7-4E01-AB9D-F7D3B93E4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019040"/>
        <c:axId val="1167416656"/>
      </c:barChart>
      <c:catAx>
        <c:axId val="11680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Категории затрат времени на обучение, где</a:t>
                </a:r>
              </a:p>
              <a:p>
                <a:pPr algn="l">
                  <a:defRPr/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Самообучение</a:t>
                </a:r>
              </a:p>
              <a:p>
                <a:pPr algn="l">
                  <a:defRPr/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 Обучение в компании другими сотрудниками</a:t>
                </a:r>
              </a:p>
              <a:p>
                <a:pPr algn="l">
                  <a:defRPr/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Обучение для получение сертификатов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416656"/>
        <c:crosses val="autoZero"/>
        <c:auto val="0"/>
        <c:lblAlgn val="ctr"/>
        <c:lblOffset val="100"/>
        <c:noMultiLvlLbl val="0"/>
      </c:catAx>
      <c:valAx>
        <c:axId val="11674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Затраты рабочего времени </a:t>
                </a:r>
              </a:p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на обучение,мин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0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Графики!$B$41:$B$43</c:f>
              <c:strCache>
                <c:ptCount val="3"/>
                <c:pt idx="0">
                  <c:v>Работа на проекте</c:v>
                </c:pt>
                <c:pt idx="1">
                  <c:v>обучение</c:v>
                </c:pt>
                <c:pt idx="2">
                  <c:v>прочее</c:v>
                </c:pt>
              </c:strCache>
            </c:strRef>
          </c:cat>
          <c:val>
            <c:numRef>
              <c:f>Графики!$B$38:$B$40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2-4F7B-863A-049F08782B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1162050</xdr:rowOff>
    </xdr:from>
    <xdr:to>
      <xdr:col>6</xdr:col>
      <xdr:colOff>466725</xdr:colOff>
      <xdr:row>3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1C596DB-23D5-4064-9B87-E15A55AA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140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219075</xdr:colOff>
      <xdr:row>2</xdr:row>
      <xdr:rowOff>161925</xdr:rowOff>
    </xdr:from>
    <xdr:to>
      <xdr:col>6</xdr:col>
      <xdr:colOff>466725</xdr:colOff>
      <xdr:row>4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CB013C-25FE-4158-99E1-5DCCE59C1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5906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3</xdr:row>
      <xdr:rowOff>228600</xdr:rowOff>
    </xdr:from>
    <xdr:to>
      <xdr:col>6</xdr:col>
      <xdr:colOff>352425</xdr:colOff>
      <xdr:row>5</xdr:row>
      <xdr:rowOff>47625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1603CFE-D664-4BC2-98E0-57F48168E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847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485775</xdr:colOff>
      <xdr:row>9</xdr:row>
      <xdr:rowOff>9525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71A75E3-DF55-465A-9D71-BC29C256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357187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171450</xdr:colOff>
      <xdr:row>19</xdr:row>
      <xdr:rowOff>228600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EA1BC95-0291-44DD-A0FA-3853CF5F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74009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171450</xdr:colOff>
      <xdr:row>20</xdr:row>
      <xdr:rowOff>238125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BD16E25-0E43-4B68-AD16-06A94B2D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8124825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219075</xdr:colOff>
      <xdr:row>21</xdr:row>
      <xdr:rowOff>228600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0ACC6AF-7F30-4D46-86F9-4FC8A2DA8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0868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190500</xdr:colOff>
      <xdr:row>22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68B3397-6AF1-4A3D-9C65-0330C27C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5726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180975</xdr:colOff>
      <xdr:row>23</xdr:row>
      <xdr:rowOff>228600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28A83E4-B573-4F32-803A-CD6E51ABC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8202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228600</xdr:colOff>
      <xdr:row>24</xdr:row>
      <xdr:rowOff>228600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DA4C314-F13E-4454-B7C9-3342C05F8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06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180975</xdr:colOff>
      <xdr:row>25</xdr:row>
      <xdr:rowOff>228600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99D36DC-D58D-4ED8-B7F5-5CEFF84C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7918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180975</xdr:colOff>
      <xdr:row>27</xdr:row>
      <xdr:rowOff>228600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31CE09D-952F-4978-84AA-F8EAB77FA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27760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228600</xdr:colOff>
      <xdr:row>28</xdr:row>
      <xdr:rowOff>228600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A24486E-41C6-40E8-8661-06B94A3E5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51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180975</xdr:colOff>
      <xdr:row>30</xdr:row>
      <xdr:rowOff>228600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EBC2C574-2CAE-4F4C-A8AB-5725B8BD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9919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190500</xdr:colOff>
      <xdr:row>31</xdr:row>
      <xdr:rowOff>228600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8493152-7965-4FBD-9714-0647D298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223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190500</xdr:colOff>
      <xdr:row>32</xdr:row>
      <xdr:rowOff>228600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2F96FF11-7E63-4062-8CF8-DF8E244B8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2468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190500</xdr:colOff>
      <xdr:row>33</xdr:row>
      <xdr:rowOff>228600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A868037-EC41-41F1-BEAF-F03635110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27063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114300</xdr:colOff>
      <xdr:row>29</xdr:row>
      <xdr:rowOff>228600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88FC1F9-93F3-452A-B160-B314239D7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75385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361950</xdr:colOff>
      <xdr:row>49</xdr:row>
      <xdr:rowOff>9525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AF1B7ACC-9F77-4EEC-9B2D-EA2C0AEB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8678525"/>
          <a:ext cx="3619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219075</xdr:colOff>
      <xdr:row>49</xdr:row>
      <xdr:rowOff>228600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91F1CA54-C422-48B2-8A21-53B172187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89166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280146</xdr:colOff>
      <xdr:row>0</xdr:row>
      <xdr:rowOff>138111</xdr:rowOff>
    </xdr:from>
    <xdr:to>
      <xdr:col>20</xdr:col>
      <xdr:colOff>575422</xdr:colOff>
      <xdr:row>34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BA807B-973E-44D1-8995-13CD154BB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154480</xdr:colOff>
      <xdr:row>38</xdr:row>
      <xdr:rowOff>158801</xdr:rowOff>
    </xdr:from>
    <xdr:to>
      <xdr:col>20</xdr:col>
      <xdr:colOff>372995</xdr:colOff>
      <xdr:row>67</xdr:row>
      <xdr:rowOff>68034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EF8D6E-31F3-4CA7-AF48-CF9020D4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137A-388B-4C9E-83AA-83DEF5FF5946}">
  <dimension ref="A1:I55"/>
  <sheetViews>
    <sheetView topLeftCell="A34" workbookViewId="0">
      <selection activeCell="C51" sqref="C51"/>
    </sheetView>
  </sheetViews>
  <sheetFormatPr defaultRowHeight="18.75" x14ac:dyDescent="0.3"/>
  <cols>
    <col min="1" max="1" width="28.5703125" style="6" customWidth="1"/>
    <col min="2" max="2" width="18.28515625" style="6" customWidth="1"/>
    <col min="3" max="4" width="18" style="6" customWidth="1"/>
    <col min="5" max="5" width="18.42578125" style="6" customWidth="1"/>
    <col min="6" max="6" width="19.5703125" style="6" customWidth="1"/>
    <col min="7" max="7" width="27.5703125" style="6" customWidth="1"/>
    <col min="8" max="8" width="11" style="6" bestFit="1" customWidth="1"/>
    <col min="9" max="16384" width="9.140625" style="6"/>
  </cols>
  <sheetData>
    <row r="1" spans="1:9" x14ac:dyDescent="0.3">
      <c r="A1" s="37" t="s">
        <v>0</v>
      </c>
      <c r="B1" s="37"/>
      <c r="C1" s="37"/>
      <c r="D1" s="37"/>
      <c r="E1" s="37"/>
    </row>
    <row r="2" spans="1:9" ht="93.7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9" x14ac:dyDescent="0.3">
      <c r="A3" s="9" t="s">
        <v>6</v>
      </c>
      <c r="B3" s="10">
        <v>3200</v>
      </c>
      <c r="C3" s="10">
        <v>160</v>
      </c>
      <c r="D3" s="10">
        <v>10</v>
      </c>
      <c r="E3" s="11">
        <f>D3*C3</f>
        <v>1600</v>
      </c>
      <c r="G3" s="8" t="s">
        <v>15</v>
      </c>
      <c r="H3" s="6">
        <v>20</v>
      </c>
      <c r="I3" s="6" t="s">
        <v>14</v>
      </c>
    </row>
    <row r="4" spans="1:9" x14ac:dyDescent="0.3">
      <c r="A4" s="9" t="s">
        <v>7</v>
      </c>
      <c r="B4" s="10">
        <v>2200</v>
      </c>
      <c r="C4" s="10">
        <v>100</v>
      </c>
      <c r="D4" s="10">
        <v>12</v>
      </c>
      <c r="E4" s="11">
        <f t="shared" ref="E4:E6" si="0">D4*C4</f>
        <v>1200</v>
      </c>
      <c r="G4" s="8" t="s">
        <v>15</v>
      </c>
      <c r="H4" s="6">
        <v>35</v>
      </c>
      <c r="I4" s="6" t="s">
        <v>14</v>
      </c>
    </row>
    <row r="5" spans="1:9" x14ac:dyDescent="0.3">
      <c r="A5" s="9" t="s">
        <v>8</v>
      </c>
      <c r="B5" s="10">
        <v>1200</v>
      </c>
      <c r="C5" s="10">
        <v>60</v>
      </c>
      <c r="D5" s="10">
        <v>46</v>
      </c>
      <c r="E5" s="11">
        <f t="shared" si="0"/>
        <v>2760</v>
      </c>
      <c r="G5" s="8" t="s">
        <v>15</v>
      </c>
      <c r="H5" s="6">
        <v>100</v>
      </c>
      <c r="I5" s="6" t="s">
        <v>14</v>
      </c>
    </row>
    <row r="6" spans="1:9" ht="37.5" x14ac:dyDescent="0.3">
      <c r="A6" s="9" t="s">
        <v>9</v>
      </c>
      <c r="B6" s="10">
        <v>1000</v>
      </c>
      <c r="C6" s="10">
        <v>50</v>
      </c>
      <c r="D6" s="10">
        <v>5</v>
      </c>
      <c r="E6" s="11">
        <f t="shared" si="0"/>
        <v>250</v>
      </c>
      <c r="G6" s="7" t="s">
        <v>21</v>
      </c>
      <c r="H6" s="6">
        <v>1</v>
      </c>
      <c r="I6" s="6" t="s">
        <v>23</v>
      </c>
    </row>
    <row r="7" spans="1:9" ht="37.5" x14ac:dyDescent="0.3">
      <c r="A7" s="38" t="s">
        <v>10</v>
      </c>
      <c r="B7" s="38"/>
      <c r="C7" s="38"/>
      <c r="D7" s="38"/>
      <c r="E7" s="11">
        <f>SUM(E3:E6)</f>
        <v>5810</v>
      </c>
      <c r="G7" s="7" t="s">
        <v>21</v>
      </c>
      <c r="H7" s="6">
        <v>73</v>
      </c>
      <c r="I7" s="6" t="s">
        <v>22</v>
      </c>
    </row>
    <row r="8" spans="1:9" ht="37.5" x14ac:dyDescent="0.3">
      <c r="A8" s="38" t="s">
        <v>11</v>
      </c>
      <c r="B8" s="38"/>
      <c r="C8" s="38"/>
      <c r="D8" s="38"/>
      <c r="E8" s="11">
        <f>E7*0.2</f>
        <v>1162</v>
      </c>
      <c r="G8" s="7" t="s">
        <v>24</v>
      </c>
      <c r="H8" s="6">
        <v>8</v>
      </c>
      <c r="I8" s="6" t="s">
        <v>25</v>
      </c>
    </row>
    <row r="9" spans="1:9" x14ac:dyDescent="0.3">
      <c r="A9" s="38" t="s">
        <v>12</v>
      </c>
      <c r="B9" s="38"/>
      <c r="C9" s="38"/>
      <c r="D9" s="38"/>
      <c r="E9" s="11">
        <f>E7+E8</f>
        <v>6972</v>
      </c>
      <c r="G9" s="6" t="s">
        <v>17</v>
      </c>
      <c r="H9" s="6">
        <v>20</v>
      </c>
      <c r="I9" s="6" t="s">
        <v>14</v>
      </c>
    </row>
    <row r="11" spans="1:9" x14ac:dyDescent="0.3">
      <c r="A11" s="39" t="s">
        <v>13</v>
      </c>
      <c r="B11" s="39"/>
      <c r="C11" s="12">
        <f>(E9*H3)/100</f>
        <v>1394.4</v>
      </c>
    </row>
    <row r="12" spans="1:9" ht="63.75" customHeight="1" x14ac:dyDescent="0.3">
      <c r="A12" s="33" t="s">
        <v>16</v>
      </c>
      <c r="B12" s="33"/>
      <c r="C12" s="12">
        <f>( ( E9+C11 ) * H4 )/100</f>
        <v>2928.24</v>
      </c>
    </row>
    <row r="13" spans="1:9" x14ac:dyDescent="0.3">
      <c r="A13" s="39" t="s">
        <v>18</v>
      </c>
      <c r="B13" s="39"/>
      <c r="C13" s="12">
        <f>E9 *H5/100</f>
        <v>6972</v>
      </c>
    </row>
    <row r="14" spans="1:9" ht="30" customHeight="1" x14ac:dyDescent="0.3">
      <c r="A14" s="40" t="s">
        <v>19</v>
      </c>
      <c r="B14" s="40"/>
      <c r="C14" s="12">
        <f>E9+C11+C12+C13+C15</f>
        <v>18850.64</v>
      </c>
    </row>
    <row r="15" spans="1:9" x14ac:dyDescent="0.3">
      <c r="A15" s="39" t="s">
        <v>20</v>
      </c>
      <c r="B15" s="39"/>
      <c r="C15" s="3">
        <f>H6*H7*H8</f>
        <v>584</v>
      </c>
    </row>
    <row r="16" spans="1:9" ht="37.5" customHeight="1" x14ac:dyDescent="0.3">
      <c r="A16" s="33" t="s">
        <v>26</v>
      </c>
      <c r="B16" s="33"/>
      <c r="C16" s="13">
        <f>C14*H9/100</f>
        <v>3770.1279999999997</v>
      </c>
    </row>
    <row r="17" spans="1:5" x14ac:dyDescent="0.3">
      <c r="A17" s="39" t="s">
        <v>27</v>
      </c>
      <c r="B17" s="39"/>
      <c r="C17" s="13">
        <f>C14+C16</f>
        <v>22620.768</v>
      </c>
    </row>
    <row r="18" spans="1:5" ht="19.5" thickBot="1" x14ac:dyDescent="0.35"/>
    <row r="19" spans="1:5" ht="38.25" thickBot="1" x14ac:dyDescent="0.35">
      <c r="A19" s="1" t="s">
        <v>28</v>
      </c>
      <c r="B19" s="2" t="s">
        <v>29</v>
      </c>
      <c r="C19" s="2" t="s">
        <v>30</v>
      </c>
    </row>
    <row r="20" spans="1:5" ht="57" thickBot="1" x14ac:dyDescent="0.35">
      <c r="A20" s="14" t="s">
        <v>31</v>
      </c>
      <c r="B20" s="15"/>
      <c r="C20" s="18">
        <f>E9</f>
        <v>6972</v>
      </c>
    </row>
    <row r="21" spans="1:5" ht="75.75" thickBot="1" x14ac:dyDescent="0.35">
      <c r="A21" s="14" t="s">
        <v>32</v>
      </c>
      <c r="B21" s="15"/>
      <c r="C21" s="19">
        <f>C11</f>
        <v>1394.4</v>
      </c>
    </row>
    <row r="22" spans="1:5" ht="38.25" thickBot="1" x14ac:dyDescent="0.35">
      <c r="A22" s="14" t="s">
        <v>33</v>
      </c>
      <c r="B22" s="15"/>
      <c r="C22" s="19">
        <f>C12</f>
        <v>2928.24</v>
      </c>
    </row>
    <row r="23" spans="1:5" ht="19.5" thickBot="1" x14ac:dyDescent="0.35">
      <c r="A23" s="14" t="s">
        <v>20</v>
      </c>
      <c r="B23" s="15"/>
      <c r="C23" s="19">
        <f>C15</f>
        <v>584</v>
      </c>
    </row>
    <row r="24" spans="1:5" ht="19.5" thickBot="1" x14ac:dyDescent="0.35">
      <c r="A24" s="14" t="s">
        <v>34</v>
      </c>
      <c r="B24" s="15"/>
      <c r="C24" s="19">
        <f>C13</f>
        <v>6972</v>
      </c>
    </row>
    <row r="25" spans="1:5" ht="57" thickBot="1" x14ac:dyDescent="0.35">
      <c r="A25" s="14" t="s">
        <v>26</v>
      </c>
      <c r="B25" s="15"/>
      <c r="C25" s="19">
        <f>C16</f>
        <v>3770.1279999999997</v>
      </c>
    </row>
    <row r="26" spans="1:5" ht="19.5" thickBot="1" x14ac:dyDescent="0.35">
      <c r="A26" s="14" t="s">
        <v>35</v>
      </c>
      <c r="B26" s="15"/>
      <c r="C26" s="19">
        <f>C17</f>
        <v>22620.768</v>
      </c>
    </row>
    <row r="28" spans="1:5" x14ac:dyDescent="0.3">
      <c r="B28" s="17" t="s">
        <v>15</v>
      </c>
      <c r="C28" s="16">
        <f xml:space="preserve"> 1.5 * ( 3* 25 - 1.5 *25 )* 1.2 * 1.346</f>
        <v>90.855000000000004</v>
      </c>
    </row>
    <row r="29" spans="1:5" x14ac:dyDescent="0.3">
      <c r="B29" s="17" t="s">
        <v>15</v>
      </c>
      <c r="C29" s="16">
        <f xml:space="preserve"> 90.86*252</f>
        <v>22896.720000000001</v>
      </c>
    </row>
    <row r="30" spans="1:5" x14ac:dyDescent="0.3">
      <c r="B30" s="17" t="s">
        <v>15</v>
      </c>
      <c r="C30" s="16">
        <f>20 * 22620.77 / 100</f>
        <v>4524.1540000000005</v>
      </c>
    </row>
    <row r="31" spans="1:5" x14ac:dyDescent="0.3">
      <c r="B31"/>
      <c r="C31" s="16">
        <f>1/(1 + 10/100)^(E31-1)</f>
        <v>1</v>
      </c>
      <c r="D31" s="6" t="s">
        <v>36</v>
      </c>
      <c r="E31" s="6">
        <v>1</v>
      </c>
    </row>
    <row r="32" spans="1:5" x14ac:dyDescent="0.3">
      <c r="B32"/>
      <c r="C32" s="16">
        <f t="shared" ref="C32:C34" si="1">1/(1 + 10/100)^(E32-1)</f>
        <v>0.90909090909090906</v>
      </c>
      <c r="D32" s="6" t="s">
        <v>36</v>
      </c>
      <c r="E32" s="6">
        <v>2</v>
      </c>
    </row>
    <row r="33" spans="1:8" x14ac:dyDescent="0.3">
      <c r="B33"/>
      <c r="C33" s="16">
        <f t="shared" si="1"/>
        <v>0.82644628099173545</v>
      </c>
      <c r="D33" s="6" t="s">
        <v>36</v>
      </c>
      <c r="E33" s="6">
        <v>3</v>
      </c>
    </row>
    <row r="34" spans="1:8" x14ac:dyDescent="0.3">
      <c r="B34"/>
      <c r="C34" s="16">
        <f t="shared" si="1"/>
        <v>0.75131480090157754</v>
      </c>
      <c r="D34" s="6" t="s">
        <v>36</v>
      </c>
      <c r="E34" s="6">
        <v>4</v>
      </c>
    </row>
    <row r="35" spans="1:8" ht="19.5" thickBot="1" x14ac:dyDescent="0.35">
      <c r="C35" s="16"/>
    </row>
    <row r="36" spans="1:8" x14ac:dyDescent="0.3">
      <c r="A36" s="21"/>
      <c r="B36" s="22" t="s">
        <v>37</v>
      </c>
      <c r="C36" s="23" t="s">
        <v>38</v>
      </c>
      <c r="D36" s="22">
        <v>2021</v>
      </c>
      <c r="E36" s="22">
        <f>D36+1</f>
        <v>2022</v>
      </c>
      <c r="F36" s="22">
        <f t="shared" ref="F36:G36" si="2">E36+1</f>
        <v>2023</v>
      </c>
      <c r="G36" s="24">
        <f t="shared" si="2"/>
        <v>2024</v>
      </c>
    </row>
    <row r="37" spans="1:8" x14ac:dyDescent="0.3">
      <c r="A37" s="34" t="s">
        <v>39</v>
      </c>
      <c r="B37" s="35"/>
      <c r="C37" s="35"/>
      <c r="D37" s="35"/>
      <c r="E37" s="35"/>
      <c r="F37" s="35"/>
      <c r="G37" s="36"/>
    </row>
    <row r="38" spans="1:8" ht="37.5" x14ac:dyDescent="0.3">
      <c r="A38" s="25" t="s">
        <v>40</v>
      </c>
      <c r="B38" s="28" t="s">
        <v>23</v>
      </c>
      <c r="C38" s="20"/>
      <c r="D38" s="10">
        <f>C29/2</f>
        <v>11448.36</v>
      </c>
      <c r="E38" s="10">
        <f>$C$29</f>
        <v>22896.720000000001</v>
      </c>
      <c r="F38" s="10">
        <f t="shared" ref="F38:G38" si="3">$C$29</f>
        <v>22896.720000000001</v>
      </c>
      <c r="G38" s="10">
        <f t="shared" si="3"/>
        <v>22896.720000000001</v>
      </c>
    </row>
    <row r="39" spans="1:8" ht="56.25" x14ac:dyDescent="0.3">
      <c r="A39" s="25" t="s">
        <v>41</v>
      </c>
      <c r="B39" s="28" t="s">
        <v>23</v>
      </c>
      <c r="C39" s="20"/>
      <c r="D39" s="10">
        <f>$C$30</f>
        <v>4524.1540000000005</v>
      </c>
      <c r="E39" s="10">
        <f t="shared" ref="E39:G39" si="4">$C$30</f>
        <v>4524.1540000000005</v>
      </c>
      <c r="F39" s="10">
        <f t="shared" si="4"/>
        <v>4524.1540000000005</v>
      </c>
      <c r="G39" s="10">
        <f t="shared" si="4"/>
        <v>4524.1540000000005</v>
      </c>
    </row>
    <row r="40" spans="1:8" x14ac:dyDescent="0.3">
      <c r="A40" s="25" t="s">
        <v>42</v>
      </c>
      <c r="B40" s="28" t="s">
        <v>23</v>
      </c>
      <c r="C40" s="20"/>
      <c r="D40" s="10">
        <f>D39+D38</f>
        <v>15972.514000000001</v>
      </c>
      <c r="E40" s="10">
        <f t="shared" ref="E40:G40" si="5">E39+E38</f>
        <v>27420.874000000003</v>
      </c>
      <c r="F40" s="10">
        <f t="shared" si="5"/>
        <v>27420.874000000003</v>
      </c>
      <c r="G40" s="10">
        <f t="shared" si="5"/>
        <v>27420.874000000003</v>
      </c>
    </row>
    <row r="41" spans="1:8" ht="37.5" x14ac:dyDescent="0.3">
      <c r="A41" s="25" t="s">
        <v>43</v>
      </c>
      <c r="B41" s="28" t="s">
        <v>23</v>
      </c>
      <c r="C41" s="20"/>
      <c r="D41" s="10">
        <f>C31</f>
        <v>1</v>
      </c>
      <c r="E41" s="10">
        <f>C32</f>
        <v>0.90909090909090906</v>
      </c>
      <c r="F41" s="10">
        <f>C33</f>
        <v>0.82644628099173545</v>
      </c>
      <c r="G41" s="29">
        <f>C34</f>
        <v>0.75131480090157754</v>
      </c>
    </row>
    <row r="42" spans="1:8" ht="37.5" x14ac:dyDescent="0.3">
      <c r="A42" s="25" t="s">
        <v>44</v>
      </c>
      <c r="B42" s="28" t="s">
        <v>23</v>
      </c>
      <c r="C42" s="20"/>
      <c r="D42" s="10">
        <f>D40*D41</f>
        <v>15972.514000000001</v>
      </c>
      <c r="E42" s="10">
        <f t="shared" ref="E42:G42" si="6">E40*E41</f>
        <v>24928.067272727276</v>
      </c>
      <c r="F42" s="10">
        <f t="shared" si="6"/>
        <v>22661.879338842977</v>
      </c>
      <c r="G42" s="10">
        <f t="shared" si="6"/>
        <v>20601.708489857247</v>
      </c>
    </row>
    <row r="43" spans="1:8" x14ac:dyDescent="0.3">
      <c r="A43" s="34" t="s">
        <v>45</v>
      </c>
      <c r="B43" s="35"/>
      <c r="C43" s="35"/>
      <c r="D43" s="35"/>
      <c r="E43" s="35"/>
      <c r="F43" s="35"/>
      <c r="G43" s="36"/>
    </row>
    <row r="44" spans="1:8" ht="37.5" x14ac:dyDescent="0.3">
      <c r="A44" s="25" t="s">
        <v>46</v>
      </c>
      <c r="B44" s="28" t="s">
        <v>23</v>
      </c>
      <c r="C44" s="20"/>
      <c r="D44" s="10">
        <f>C26</f>
        <v>22620.768</v>
      </c>
      <c r="E44" s="28"/>
      <c r="F44" s="28"/>
      <c r="G44" s="30"/>
    </row>
    <row r="45" spans="1:8" ht="37.5" x14ac:dyDescent="0.3">
      <c r="A45" s="25" t="s">
        <v>47</v>
      </c>
      <c r="B45" s="28" t="s">
        <v>23</v>
      </c>
      <c r="C45" s="20"/>
      <c r="D45" s="10">
        <f>C26</f>
        <v>22620.768</v>
      </c>
      <c r="E45" s="28"/>
      <c r="F45" s="28"/>
      <c r="G45" s="30"/>
      <c r="H45" s="16"/>
    </row>
    <row r="46" spans="1:8" ht="56.25" x14ac:dyDescent="0.3">
      <c r="A46" s="25" t="s">
        <v>48</v>
      </c>
      <c r="B46" s="28" t="s">
        <v>23</v>
      </c>
      <c r="C46" s="20"/>
      <c r="D46" s="10">
        <f>D42-$D$44</f>
        <v>-6648.253999999999</v>
      </c>
      <c r="E46" s="10">
        <f>E42-D44</f>
        <v>2307.2992727272758</v>
      </c>
      <c r="F46" s="10">
        <f t="shared" ref="F46:G46" si="7">F42-E44</f>
        <v>22661.879338842977</v>
      </c>
      <c r="G46" s="10">
        <f t="shared" si="7"/>
        <v>20601.708489857247</v>
      </c>
    </row>
    <row r="47" spans="1:8" ht="38.25" thickBot="1" x14ac:dyDescent="0.35">
      <c r="A47" s="26" t="s">
        <v>49</v>
      </c>
      <c r="B47" s="28" t="s">
        <v>23</v>
      </c>
      <c r="C47" s="27"/>
      <c r="D47" s="31">
        <f>D42-D45</f>
        <v>-6648.253999999999</v>
      </c>
      <c r="E47" s="31">
        <f>D47+E46</f>
        <v>-4340.9547272727232</v>
      </c>
      <c r="F47" s="31">
        <f t="shared" ref="F47:G47" si="8">E47+F46</f>
        <v>18320.924611570255</v>
      </c>
      <c r="G47" s="31">
        <f t="shared" si="8"/>
        <v>38922.633101427506</v>
      </c>
    </row>
    <row r="48" spans="1:8" x14ac:dyDescent="0.3">
      <c r="C48" s="16"/>
    </row>
    <row r="49" spans="2:3" x14ac:dyDescent="0.3">
      <c r="B49"/>
      <c r="C49" s="16">
        <f>SUM(D38:G38)/4</f>
        <v>20034.63</v>
      </c>
    </row>
    <row r="50" spans="2:3" ht="19.5" thickBot="1" x14ac:dyDescent="0.35">
      <c r="B50"/>
      <c r="C50" s="32">
        <f>C49/D44</f>
        <v>0.88567417339676535</v>
      </c>
    </row>
    <row r="51" spans="2:3" x14ac:dyDescent="0.3">
      <c r="C51" s="16">
        <f>SUM(D46:G46)</f>
        <v>38922.633101427506</v>
      </c>
    </row>
    <row r="52" spans="2:3" x14ac:dyDescent="0.3">
      <c r="C52" s="16"/>
    </row>
    <row r="53" spans="2:3" x14ac:dyDescent="0.3">
      <c r="C53" s="16"/>
    </row>
    <row r="54" spans="2:3" x14ac:dyDescent="0.3">
      <c r="C54" s="16"/>
    </row>
    <row r="55" spans="2:3" x14ac:dyDescent="0.3">
      <c r="C55" s="16"/>
    </row>
  </sheetData>
  <mergeCells count="13">
    <mergeCell ref="A12:B12"/>
    <mergeCell ref="A37:G37"/>
    <mergeCell ref="A43:G43"/>
    <mergeCell ref="A1:E1"/>
    <mergeCell ref="A7:D7"/>
    <mergeCell ref="A8:D8"/>
    <mergeCell ref="A9:D9"/>
    <mergeCell ref="A11:B11"/>
    <mergeCell ref="A13:B13"/>
    <mergeCell ref="A14:B14"/>
    <mergeCell ref="A15:B15"/>
    <mergeCell ref="A16:B16"/>
    <mergeCell ref="A17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9B28-7367-408A-B131-1E1763DD4442}">
  <dimension ref="B2:C43"/>
  <sheetViews>
    <sheetView tabSelected="1" zoomScale="70" zoomScaleNormal="70" workbookViewId="0">
      <selection activeCell="B38" sqref="B38"/>
    </sheetView>
  </sheetViews>
  <sheetFormatPr defaultRowHeight="15" x14ac:dyDescent="0.25"/>
  <sheetData>
    <row r="2" spans="2:3" x14ac:dyDescent="0.25">
      <c r="B2" s="41">
        <f xml:space="preserve"> 3*60</f>
        <v>180</v>
      </c>
      <c r="C2" s="41">
        <f>1.5 * 60</f>
        <v>90</v>
      </c>
    </row>
    <row r="3" spans="2:3" x14ac:dyDescent="0.25">
      <c r="B3" s="41">
        <f>B2 - B2*0.24</f>
        <v>136.80000000000001</v>
      </c>
      <c r="C3" s="41">
        <f>B3+ B3*0.21</f>
        <v>165.52800000000002</v>
      </c>
    </row>
    <row r="4" spans="2:3" x14ac:dyDescent="0.25">
      <c r="B4" s="41">
        <f>B2 +B2*0.43</f>
        <v>257.39999999999998</v>
      </c>
      <c r="C4" s="41">
        <f>B4 - B4 * 0.32</f>
        <v>175.03199999999998</v>
      </c>
    </row>
    <row r="5" spans="2:3" x14ac:dyDescent="0.25">
      <c r="B5" s="41"/>
      <c r="C5" s="41"/>
    </row>
    <row r="6" spans="2:3" x14ac:dyDescent="0.25">
      <c r="B6" s="41"/>
      <c r="C6" s="41"/>
    </row>
    <row r="38" spans="2:2" x14ac:dyDescent="0.25">
      <c r="B38">
        <f xml:space="preserve"> 20</f>
        <v>20</v>
      </c>
    </row>
    <row r="39" spans="2:2" x14ac:dyDescent="0.25">
      <c r="B39">
        <f>B38 +10</f>
        <v>30</v>
      </c>
    </row>
    <row r="40" spans="2:2" x14ac:dyDescent="0.25">
      <c r="B40">
        <v>50</v>
      </c>
    </row>
    <row r="41" spans="2:2" x14ac:dyDescent="0.25">
      <c r="B41" t="s">
        <v>51</v>
      </c>
    </row>
    <row r="42" spans="2:2" x14ac:dyDescent="0.25">
      <c r="B42" t="s">
        <v>52</v>
      </c>
    </row>
    <row r="43" spans="2:2" x14ac:dyDescent="0.25">
      <c r="B43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ЭКО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Красовский</dc:creator>
  <cp:lastModifiedBy>Егор Красовский</cp:lastModifiedBy>
  <dcterms:created xsi:type="dcterms:W3CDTF">2021-05-11T11:52:02Z</dcterms:created>
  <dcterms:modified xsi:type="dcterms:W3CDTF">2021-05-20T11:49:50Z</dcterms:modified>
</cp:coreProperties>
</file>