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egor_lipchinskiy_sas_com/Documents/Downloads/Timesheets/"/>
    </mc:Choice>
  </mc:AlternateContent>
  <xr:revisionPtr revIDLastSave="8" documentId="13_ncr:1_{C66F05EE-6E99-4866-AD5A-50A0D955526D}" xr6:coauthVersionLast="47" xr6:coauthVersionMax="47" xr10:uidLastSave="{26E02885-EAD8-4CBD-92EF-062046EEB279}"/>
  <bookViews>
    <workbookView xWindow="2660" yWindow="860" windowWidth="20910" windowHeight="13540" xr2:uid="{E2DC0A95-2F39-4905-A287-22F3706F52EC}"/>
  </bookViews>
  <sheets>
    <sheet name="Timesheet" sheetId="1" r:id="rId1"/>
    <sheet name="Sheet2" sheetId="5" state="hidden" r:id="rId2"/>
    <sheet name="ReferenceTables" sheetId="2" r:id="rId3"/>
    <sheet name="Project Definitions" sheetId="4" r:id="rId4"/>
    <sheet name="Sheet1" sheetId="3" state="hidden" r:id="rId5"/>
  </sheets>
  <externalReferences>
    <externalReference r:id="rId6"/>
  </externalReferences>
  <definedNames>
    <definedName name="_xlnm._FilterDatabase" localSheetId="0" hidden="1">Timesheet!$C$24:$G$298</definedName>
    <definedName name="Actual_Total">'[1]Weekly hours Overview Implement'!#REF!</definedName>
    <definedName name="AllocationSplit">WorkSplit[[#Headers],[Resource]]</definedName>
    <definedName name="Expense_Total">'[1]Weekly hours Overview Implement'!#REF!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3" l="1"/>
  <c r="C51" i="2"/>
  <c r="C50" i="2"/>
  <c r="C49" i="2"/>
  <c r="C48" i="2"/>
  <c r="C47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AV10" i="2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C10" i="2"/>
  <c r="AV9" i="2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C9" i="2"/>
  <c r="AV8" i="2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C8" i="2"/>
  <c r="AV7" i="2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C7" i="2"/>
  <c r="AV6" i="2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C6" i="2"/>
  <c r="AV5" i="2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C5" i="2"/>
  <c r="AV4" i="2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C4" i="2"/>
  <c r="C3" i="2"/>
  <c r="C2" i="2"/>
  <c r="A305" i="1"/>
  <c r="A304" i="1"/>
  <c r="A303" i="1"/>
  <c r="A302" i="1"/>
  <c r="A301" i="1"/>
  <c r="A300" i="1"/>
  <c r="A299" i="1"/>
  <c r="D297" i="1"/>
  <c r="A297" i="1" s="1"/>
  <c r="D296" i="1"/>
  <c r="A296" i="1" s="1"/>
  <c r="D295" i="1"/>
  <c r="A295" i="1" s="1"/>
  <c r="D294" i="1"/>
  <c r="A294" i="1" s="1"/>
  <c r="D293" i="1"/>
  <c r="A293" i="1" s="1"/>
  <c r="D292" i="1"/>
  <c r="A292" i="1" s="1"/>
  <c r="D291" i="1"/>
  <c r="A291" i="1" s="1"/>
  <c r="D290" i="1"/>
  <c r="A290" i="1" s="1"/>
  <c r="D289" i="1"/>
  <c r="A289" i="1" s="1"/>
  <c r="D288" i="1"/>
  <c r="A288" i="1" s="1"/>
  <c r="D287" i="1"/>
  <c r="A287" i="1" s="1"/>
  <c r="D286" i="1"/>
  <c r="A286" i="1" s="1"/>
  <c r="D285" i="1"/>
  <c r="A285" i="1" s="1"/>
  <c r="D284" i="1"/>
  <c r="A284" i="1" s="1"/>
  <c r="D283" i="1"/>
  <c r="A283" i="1" s="1"/>
  <c r="D282" i="1"/>
  <c r="A282" i="1" s="1"/>
  <c r="D281" i="1"/>
  <c r="A281" i="1" s="1"/>
  <c r="D280" i="1"/>
  <c r="A280" i="1" s="1"/>
  <c r="D279" i="1"/>
  <c r="A279" i="1" s="1"/>
  <c r="D278" i="1"/>
  <c r="A278" i="1" s="1"/>
  <c r="D277" i="1"/>
  <c r="A277" i="1" s="1"/>
  <c r="D276" i="1"/>
  <c r="A276" i="1" s="1"/>
  <c r="D275" i="1"/>
  <c r="A275" i="1" s="1"/>
  <c r="D274" i="1"/>
  <c r="A274" i="1" s="1"/>
  <c r="D273" i="1"/>
  <c r="A273" i="1" s="1"/>
  <c r="D272" i="1"/>
  <c r="A272" i="1" s="1"/>
  <c r="D271" i="1"/>
  <c r="A271" i="1" s="1"/>
  <c r="D270" i="1"/>
  <c r="A270" i="1" s="1"/>
  <c r="D269" i="1"/>
  <c r="A269" i="1" s="1"/>
  <c r="D268" i="1"/>
  <c r="A268" i="1" s="1"/>
  <c r="D267" i="1"/>
  <c r="A267" i="1" s="1"/>
  <c r="D266" i="1"/>
  <c r="A266" i="1" s="1"/>
  <c r="D265" i="1"/>
  <c r="A265" i="1" s="1"/>
  <c r="D264" i="1"/>
  <c r="A264" i="1" s="1"/>
  <c r="D263" i="1"/>
  <c r="A263" i="1" s="1"/>
  <c r="D262" i="1"/>
  <c r="A262" i="1" s="1"/>
  <c r="D261" i="1"/>
  <c r="A261" i="1" s="1"/>
  <c r="D260" i="1"/>
  <c r="A260" i="1" s="1"/>
  <c r="D259" i="1"/>
  <c r="A259" i="1" s="1"/>
  <c r="D258" i="1"/>
  <c r="A258" i="1" s="1"/>
  <c r="D257" i="1"/>
  <c r="A257" i="1" s="1"/>
  <c r="D256" i="1"/>
  <c r="A256" i="1" s="1"/>
  <c r="D255" i="1"/>
  <c r="A255" i="1" s="1"/>
  <c r="D254" i="1"/>
  <c r="A254" i="1" s="1"/>
  <c r="D253" i="1"/>
  <c r="A253" i="1" s="1"/>
  <c r="D252" i="1"/>
  <c r="A252" i="1" s="1"/>
  <c r="D251" i="1"/>
  <c r="A251" i="1" s="1"/>
  <c r="D250" i="1"/>
  <c r="A250" i="1" s="1"/>
  <c r="D249" i="1"/>
  <c r="A249" i="1" s="1"/>
  <c r="D248" i="1"/>
  <c r="A248" i="1" s="1"/>
  <c r="D247" i="1"/>
  <c r="A247" i="1" s="1"/>
  <c r="D246" i="1"/>
  <c r="A246" i="1" s="1"/>
  <c r="D245" i="1"/>
  <c r="A245" i="1" s="1"/>
  <c r="D244" i="1"/>
  <c r="A244" i="1" s="1"/>
  <c r="D243" i="1"/>
  <c r="A243" i="1" s="1"/>
  <c r="D242" i="1"/>
  <c r="A242" i="1" s="1"/>
  <c r="D241" i="1"/>
  <c r="A241" i="1" s="1"/>
  <c r="D240" i="1"/>
  <c r="A240" i="1" s="1"/>
  <c r="D239" i="1"/>
  <c r="A239" i="1" s="1"/>
  <c r="D238" i="1"/>
  <c r="A238" i="1" s="1"/>
  <c r="D237" i="1"/>
  <c r="A237" i="1" s="1"/>
  <c r="D236" i="1"/>
  <c r="A236" i="1" s="1"/>
  <c r="D235" i="1"/>
  <c r="A235" i="1" s="1"/>
  <c r="D234" i="1"/>
  <c r="A234" i="1" s="1"/>
  <c r="D233" i="1"/>
  <c r="A233" i="1" s="1"/>
  <c r="D232" i="1"/>
  <c r="A232" i="1" s="1"/>
  <c r="D231" i="1"/>
  <c r="A231" i="1" s="1"/>
  <c r="D230" i="1"/>
  <c r="A230" i="1" s="1"/>
  <c r="D229" i="1"/>
  <c r="A229" i="1" s="1"/>
  <c r="D228" i="1"/>
  <c r="A228" i="1" s="1"/>
  <c r="D227" i="1"/>
  <c r="A227" i="1" s="1"/>
  <c r="D226" i="1"/>
  <c r="A226" i="1" s="1"/>
  <c r="D225" i="1"/>
  <c r="A225" i="1" s="1"/>
  <c r="D224" i="1"/>
  <c r="A224" i="1" s="1"/>
  <c r="D223" i="1"/>
  <c r="A223" i="1" s="1"/>
  <c r="D222" i="1"/>
  <c r="A222" i="1" s="1"/>
  <c r="D221" i="1"/>
  <c r="A221" i="1" s="1"/>
  <c r="D220" i="1"/>
  <c r="A220" i="1" s="1"/>
  <c r="D219" i="1"/>
  <c r="A219" i="1" s="1"/>
  <c r="D218" i="1"/>
  <c r="A218" i="1" s="1"/>
  <c r="D217" i="1"/>
  <c r="A217" i="1" s="1"/>
  <c r="D216" i="1"/>
  <c r="A216" i="1" s="1"/>
  <c r="D215" i="1"/>
  <c r="A215" i="1" s="1"/>
  <c r="D214" i="1"/>
  <c r="A214" i="1" s="1"/>
  <c r="D213" i="1"/>
  <c r="A213" i="1" s="1"/>
  <c r="D212" i="1"/>
  <c r="A212" i="1" s="1"/>
  <c r="D211" i="1"/>
  <c r="A211" i="1" s="1"/>
  <c r="D210" i="1"/>
  <c r="A210" i="1" s="1"/>
  <c r="D209" i="1"/>
  <c r="A209" i="1" s="1"/>
  <c r="D208" i="1"/>
  <c r="A208" i="1" s="1"/>
  <c r="D207" i="1"/>
  <c r="A207" i="1" s="1"/>
  <c r="D206" i="1"/>
  <c r="A206" i="1" s="1"/>
  <c r="D205" i="1"/>
  <c r="A205" i="1" s="1"/>
  <c r="D204" i="1"/>
  <c r="A204" i="1" s="1"/>
  <c r="D203" i="1"/>
  <c r="A203" i="1" s="1"/>
  <c r="D202" i="1"/>
  <c r="A202" i="1" s="1"/>
  <c r="D201" i="1"/>
  <c r="A201" i="1" s="1"/>
  <c r="D200" i="1"/>
  <c r="A200" i="1" s="1"/>
  <c r="D199" i="1"/>
  <c r="A199" i="1" s="1"/>
  <c r="D198" i="1"/>
  <c r="A198" i="1" s="1"/>
  <c r="D197" i="1"/>
  <c r="A197" i="1" s="1"/>
  <c r="D196" i="1"/>
  <c r="A196" i="1" s="1"/>
  <c r="D195" i="1"/>
  <c r="A195" i="1" s="1"/>
  <c r="D194" i="1"/>
  <c r="A194" i="1" s="1"/>
  <c r="D193" i="1"/>
  <c r="A193" i="1" s="1"/>
  <c r="D192" i="1"/>
  <c r="A192" i="1" s="1"/>
  <c r="D191" i="1"/>
  <c r="A191" i="1" s="1"/>
  <c r="D190" i="1"/>
  <c r="A190" i="1" s="1"/>
  <c r="D189" i="1"/>
  <c r="A189" i="1" s="1"/>
  <c r="D188" i="1"/>
  <c r="A188" i="1" s="1"/>
  <c r="D187" i="1"/>
  <c r="A187" i="1" s="1"/>
  <c r="D186" i="1"/>
  <c r="A186" i="1" s="1"/>
  <c r="D185" i="1"/>
  <c r="A185" i="1" s="1"/>
  <c r="D184" i="1"/>
  <c r="A184" i="1" s="1"/>
  <c r="D183" i="1"/>
  <c r="A183" i="1" s="1"/>
  <c r="D182" i="1"/>
  <c r="A182" i="1" s="1"/>
  <c r="D181" i="1"/>
  <c r="A181" i="1" s="1"/>
  <c r="D180" i="1"/>
  <c r="A180" i="1" s="1"/>
  <c r="D179" i="1"/>
  <c r="A179" i="1" s="1"/>
  <c r="D178" i="1"/>
  <c r="A178" i="1" s="1"/>
  <c r="D177" i="1"/>
  <c r="A177" i="1" s="1"/>
  <c r="D176" i="1"/>
  <c r="A176" i="1" s="1"/>
  <c r="D175" i="1"/>
  <c r="A175" i="1" s="1"/>
  <c r="D174" i="1"/>
  <c r="A174" i="1" s="1"/>
  <c r="D173" i="1"/>
  <c r="A173" i="1" s="1"/>
  <c r="D172" i="1"/>
  <c r="A172" i="1" s="1"/>
  <c r="D171" i="1"/>
  <c r="A171" i="1" s="1"/>
  <c r="D170" i="1"/>
  <c r="A170" i="1" s="1"/>
  <c r="D169" i="1"/>
  <c r="A169" i="1" s="1"/>
  <c r="D168" i="1"/>
  <c r="A168" i="1" s="1"/>
  <c r="D167" i="1"/>
  <c r="A167" i="1" s="1"/>
  <c r="D166" i="1"/>
  <c r="A166" i="1" s="1"/>
  <c r="D165" i="1"/>
  <c r="A165" i="1" s="1"/>
  <c r="D164" i="1"/>
  <c r="A164" i="1" s="1"/>
  <c r="D163" i="1"/>
  <c r="A163" i="1" s="1"/>
  <c r="D162" i="1"/>
  <c r="A162" i="1" s="1"/>
  <c r="D161" i="1"/>
  <c r="A161" i="1" s="1"/>
  <c r="D160" i="1"/>
  <c r="A160" i="1" s="1"/>
  <c r="D159" i="1"/>
  <c r="A159" i="1" s="1"/>
  <c r="D158" i="1"/>
  <c r="A158" i="1" s="1"/>
  <c r="D157" i="1"/>
  <c r="A157" i="1" s="1"/>
  <c r="D156" i="1"/>
  <c r="A156" i="1" s="1"/>
  <c r="D155" i="1"/>
  <c r="A155" i="1" s="1"/>
  <c r="D154" i="1"/>
  <c r="A154" i="1" s="1"/>
  <c r="D153" i="1"/>
  <c r="A153" i="1" s="1"/>
  <c r="D152" i="1"/>
  <c r="A152" i="1" s="1"/>
  <c r="D151" i="1"/>
  <c r="A151" i="1" s="1"/>
  <c r="D150" i="1"/>
  <c r="A150" i="1" s="1"/>
  <c r="D149" i="1"/>
  <c r="A149" i="1" s="1"/>
  <c r="D148" i="1"/>
  <c r="A148" i="1" s="1"/>
  <c r="D147" i="1"/>
  <c r="A147" i="1" s="1"/>
  <c r="D146" i="1"/>
  <c r="A146" i="1" s="1"/>
  <c r="D145" i="1"/>
  <c r="A145" i="1" s="1"/>
  <c r="D144" i="1"/>
  <c r="A144" i="1" s="1"/>
  <c r="D143" i="1"/>
  <c r="A143" i="1" s="1"/>
  <c r="D142" i="1"/>
  <c r="A142" i="1" s="1"/>
  <c r="D141" i="1"/>
  <c r="A141" i="1" s="1"/>
  <c r="D140" i="1"/>
  <c r="A140" i="1" s="1"/>
  <c r="D139" i="1"/>
  <c r="A139" i="1" s="1"/>
  <c r="D138" i="1"/>
  <c r="A138" i="1" s="1"/>
  <c r="D137" i="1"/>
  <c r="A137" i="1" s="1"/>
  <c r="D136" i="1"/>
  <c r="A136" i="1" s="1"/>
  <c r="D135" i="1"/>
  <c r="A135" i="1" s="1"/>
  <c r="D134" i="1"/>
  <c r="A134" i="1" s="1"/>
  <c r="D133" i="1"/>
  <c r="A133" i="1" s="1"/>
  <c r="D132" i="1"/>
  <c r="A132" i="1" s="1"/>
  <c r="D131" i="1"/>
  <c r="A131" i="1" s="1"/>
  <c r="D130" i="1"/>
  <c r="A130" i="1" s="1"/>
  <c r="D129" i="1"/>
  <c r="A129" i="1" s="1"/>
  <c r="D128" i="1"/>
  <c r="A128" i="1" s="1"/>
  <c r="D127" i="1"/>
  <c r="A127" i="1" s="1"/>
  <c r="D126" i="1"/>
  <c r="A126" i="1" s="1"/>
  <c r="D125" i="1"/>
  <c r="A125" i="1" s="1"/>
  <c r="D124" i="1"/>
  <c r="A124" i="1" s="1"/>
  <c r="D123" i="1"/>
  <c r="A123" i="1" s="1"/>
  <c r="D122" i="1"/>
  <c r="A122" i="1" s="1"/>
  <c r="D121" i="1"/>
  <c r="A121" i="1" s="1"/>
  <c r="D120" i="1"/>
  <c r="A120" i="1" s="1"/>
  <c r="D119" i="1"/>
  <c r="A119" i="1" s="1"/>
  <c r="D118" i="1"/>
  <c r="A118" i="1" s="1"/>
  <c r="D117" i="1"/>
  <c r="A117" i="1" s="1"/>
  <c r="D116" i="1"/>
  <c r="A116" i="1" s="1"/>
  <c r="D115" i="1"/>
  <c r="A115" i="1" s="1"/>
  <c r="D114" i="1"/>
  <c r="A114" i="1" s="1"/>
  <c r="D113" i="1"/>
  <c r="A113" i="1" s="1"/>
  <c r="D112" i="1"/>
  <c r="A112" i="1" s="1"/>
  <c r="D111" i="1"/>
  <c r="A111" i="1" s="1"/>
  <c r="D110" i="1"/>
  <c r="A110" i="1" s="1"/>
  <c r="D109" i="1"/>
  <c r="A109" i="1" s="1"/>
  <c r="D108" i="1"/>
  <c r="A108" i="1" s="1"/>
  <c r="D107" i="1"/>
  <c r="A107" i="1" s="1"/>
  <c r="D106" i="1"/>
  <c r="A106" i="1" s="1"/>
  <c r="D105" i="1"/>
  <c r="A105" i="1" s="1"/>
  <c r="D104" i="1"/>
  <c r="A104" i="1" s="1"/>
  <c r="D103" i="1"/>
  <c r="A103" i="1" s="1"/>
  <c r="D102" i="1"/>
  <c r="A102" i="1" s="1"/>
  <c r="D101" i="1"/>
  <c r="A101" i="1" s="1"/>
  <c r="D100" i="1"/>
  <c r="A100" i="1" s="1"/>
  <c r="D99" i="1"/>
  <c r="A99" i="1" s="1"/>
  <c r="D98" i="1"/>
  <c r="A98" i="1" s="1"/>
  <c r="D97" i="1"/>
  <c r="A97" i="1" s="1"/>
  <c r="D96" i="1"/>
  <c r="A96" i="1" s="1"/>
  <c r="D95" i="1"/>
  <c r="A95" i="1" s="1"/>
  <c r="D94" i="1"/>
  <c r="A94" i="1" s="1"/>
  <c r="D93" i="1"/>
  <c r="A93" i="1" s="1"/>
  <c r="D92" i="1"/>
  <c r="A92" i="1" s="1"/>
  <c r="D91" i="1"/>
  <c r="A91" i="1" s="1"/>
  <c r="D90" i="1"/>
  <c r="A90" i="1" s="1"/>
  <c r="D89" i="1"/>
  <c r="A89" i="1" s="1"/>
  <c r="D88" i="1"/>
  <c r="A88" i="1" s="1"/>
  <c r="D87" i="1"/>
  <c r="A87" i="1" s="1"/>
  <c r="D86" i="1"/>
  <c r="A86" i="1" s="1"/>
  <c r="D85" i="1"/>
  <c r="A85" i="1" s="1"/>
  <c r="D84" i="1"/>
  <c r="A84" i="1" s="1"/>
  <c r="D83" i="1"/>
  <c r="A83" i="1" s="1"/>
  <c r="D82" i="1"/>
  <c r="A82" i="1" s="1"/>
  <c r="D81" i="1"/>
  <c r="A81" i="1" s="1"/>
  <c r="D80" i="1"/>
  <c r="A80" i="1" s="1"/>
  <c r="D79" i="1"/>
  <c r="A79" i="1" s="1"/>
  <c r="D78" i="1"/>
  <c r="A78" i="1" s="1"/>
  <c r="D77" i="1"/>
  <c r="A77" i="1" s="1"/>
  <c r="D76" i="1"/>
  <c r="A76" i="1" s="1"/>
  <c r="D75" i="1"/>
  <c r="A75" i="1" s="1"/>
  <c r="D74" i="1"/>
  <c r="A74" i="1" s="1"/>
  <c r="D73" i="1"/>
  <c r="A73" i="1" s="1"/>
  <c r="D72" i="1"/>
  <c r="A72" i="1" s="1"/>
  <c r="D71" i="1"/>
  <c r="A71" i="1" s="1"/>
  <c r="D70" i="1"/>
  <c r="A70" i="1" s="1"/>
  <c r="D69" i="1"/>
  <c r="A69" i="1" s="1"/>
  <c r="D68" i="1"/>
  <c r="A68" i="1" s="1"/>
  <c r="D67" i="1"/>
  <c r="A67" i="1" s="1"/>
  <c r="D66" i="1"/>
  <c r="A66" i="1" s="1"/>
  <c r="D65" i="1"/>
  <c r="A65" i="1" s="1"/>
  <c r="D64" i="1"/>
  <c r="A64" i="1" s="1"/>
  <c r="D63" i="1"/>
  <c r="A63" i="1" s="1"/>
  <c r="D62" i="1"/>
  <c r="A62" i="1" s="1"/>
  <c r="D61" i="1"/>
  <c r="A61" i="1" s="1"/>
  <c r="D60" i="1"/>
  <c r="A60" i="1" s="1"/>
  <c r="D59" i="1"/>
  <c r="A59" i="1" s="1"/>
  <c r="D58" i="1"/>
  <c r="A58" i="1" s="1"/>
  <c r="D57" i="1"/>
  <c r="A57" i="1" s="1"/>
  <c r="D56" i="1"/>
  <c r="A56" i="1" s="1"/>
  <c r="D55" i="1"/>
  <c r="A55" i="1" s="1"/>
  <c r="D54" i="1"/>
  <c r="A54" i="1" s="1"/>
  <c r="D53" i="1"/>
  <c r="A53" i="1" s="1"/>
  <c r="D52" i="1"/>
  <c r="A52" i="1" s="1"/>
  <c r="D51" i="1"/>
  <c r="A51" i="1" s="1"/>
  <c r="D50" i="1"/>
  <c r="A50" i="1" s="1"/>
  <c r="D49" i="1"/>
  <c r="A49" i="1" s="1"/>
  <c r="D48" i="1"/>
  <c r="A48" i="1" s="1"/>
  <c r="D47" i="1"/>
  <c r="A47" i="1" s="1"/>
  <c r="D46" i="1"/>
  <c r="A46" i="1" s="1"/>
  <c r="D45" i="1"/>
  <c r="A45" i="1" s="1"/>
  <c r="D44" i="1"/>
  <c r="A44" i="1" s="1"/>
  <c r="D43" i="1"/>
  <c r="A43" i="1" s="1"/>
  <c r="D42" i="1"/>
  <c r="A42" i="1" s="1"/>
  <c r="D41" i="1"/>
  <c r="A41" i="1" s="1"/>
  <c r="D40" i="1"/>
  <c r="A40" i="1" s="1"/>
  <c r="D39" i="1"/>
  <c r="A39" i="1" s="1"/>
  <c r="D38" i="1"/>
  <c r="A38" i="1" s="1"/>
  <c r="D37" i="1"/>
  <c r="A37" i="1" s="1"/>
  <c r="D36" i="1"/>
  <c r="A36" i="1" s="1"/>
  <c r="D35" i="1"/>
  <c r="A35" i="1" s="1"/>
  <c r="D34" i="1"/>
  <c r="A34" i="1" s="1"/>
  <c r="D33" i="1"/>
  <c r="A33" i="1" s="1"/>
  <c r="D32" i="1"/>
  <c r="A32" i="1" s="1"/>
  <c r="D31" i="1"/>
  <c r="A31" i="1" s="1"/>
  <c r="D30" i="1"/>
  <c r="A30" i="1" s="1"/>
  <c r="D29" i="1"/>
  <c r="A29" i="1" s="1"/>
  <c r="D28" i="1"/>
  <c r="A28" i="1" s="1"/>
  <c r="D27" i="1"/>
  <c r="A27" i="1" s="1"/>
  <c r="D26" i="1"/>
  <c r="A26" i="1" s="1"/>
  <c r="D25" i="1"/>
  <c r="A25" i="1" s="1"/>
  <c r="E21" i="1"/>
  <c r="E20" i="1"/>
  <c r="E19" i="1"/>
  <c r="E18" i="1"/>
  <c r="E17" i="1"/>
  <c r="E16" i="1"/>
  <c r="E15" i="1"/>
  <c r="E14" i="1"/>
  <c r="B14" i="1" s="1"/>
  <c r="A14" i="1" s="1"/>
  <c r="L13" i="1"/>
  <c r="K13" i="1"/>
  <c r="J13" i="1"/>
  <c r="I13" i="1"/>
  <c r="H13" i="1"/>
  <c r="G13" i="1"/>
  <c r="F13" i="1"/>
  <c r="E8" i="1"/>
  <c r="C12" i="1" l="1" a="1"/>
  <c r="C12" i="1" s="1"/>
  <c r="B18" i="1"/>
  <c r="A18" i="1" s="1"/>
  <c r="B17" i="1"/>
  <c r="A17" i="1" s="1"/>
  <c r="B20" i="1"/>
  <c r="A20" i="1" s="1"/>
  <c r="B21" i="1"/>
  <c r="A21" i="1" s="1"/>
  <c r="BL8" i="2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CG8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BL5" i="2"/>
  <c r="BM5" i="2" s="1"/>
  <c r="F92" i="1" s="1"/>
  <c r="BL9" i="2"/>
  <c r="BM9" i="2" s="1"/>
  <c r="F251" i="1" s="1"/>
  <c r="B16" i="1"/>
  <c r="A16" i="1" s="1"/>
  <c r="B15" i="1"/>
  <c r="A15" i="1" s="1"/>
  <c r="B19" i="1"/>
  <c r="A19" i="1" s="1"/>
  <c r="BL7" i="2"/>
  <c r="BM7" i="2" s="1"/>
  <c r="F167" i="1" s="1"/>
  <c r="BL10" i="2"/>
  <c r="BM10" i="2" s="1"/>
  <c r="F293" i="1" s="1"/>
  <c r="BL4" i="2"/>
  <c r="BM4" i="2" s="1"/>
  <c r="F54" i="1" s="1"/>
  <c r="BL6" i="2"/>
  <c r="BM6" i="2" s="1"/>
  <c r="F129" i="1" s="1"/>
  <c r="F78" i="1" l="1"/>
  <c r="F89" i="1"/>
  <c r="F172" i="1"/>
  <c r="F175" i="1"/>
  <c r="F181" i="1"/>
  <c r="F183" i="1"/>
  <c r="F142" i="1"/>
  <c r="F151" i="1"/>
  <c r="F176" i="1"/>
  <c r="F160" i="1"/>
  <c r="F166" i="1"/>
  <c r="F154" i="1"/>
  <c r="F145" i="1"/>
  <c r="F165" i="1"/>
  <c r="F147" i="1"/>
  <c r="F163" i="1"/>
  <c r="E117" i="1"/>
  <c r="F146" i="1"/>
  <c r="F159" i="1"/>
  <c r="F157" i="1"/>
  <c r="F144" i="1"/>
  <c r="F205" i="1"/>
  <c r="G99" i="1"/>
  <c r="F132" i="1"/>
  <c r="F119" i="1"/>
  <c r="F79" i="1"/>
  <c r="E129" i="1"/>
  <c r="F66" i="1"/>
  <c r="F83" i="1"/>
  <c r="F174" i="1"/>
  <c r="F84" i="1"/>
  <c r="F72" i="1"/>
  <c r="E221" i="1"/>
  <c r="E267" i="1"/>
  <c r="F179" i="1"/>
  <c r="F81" i="1"/>
  <c r="F93" i="1"/>
  <c r="E261" i="1"/>
  <c r="F285" i="1"/>
  <c r="F288" i="1"/>
  <c r="F277" i="1"/>
  <c r="F210" i="1"/>
  <c r="F193" i="1"/>
  <c r="G78" i="1"/>
  <c r="F141" i="1"/>
  <c r="L12" i="1"/>
  <c r="F295" i="1"/>
  <c r="F281" i="1"/>
  <c r="F161" i="1"/>
  <c r="F143" i="1"/>
  <c r="F148" i="1"/>
  <c r="F100" i="1"/>
  <c r="F65" i="1"/>
  <c r="F191" i="1"/>
  <c r="F198" i="1"/>
  <c r="F200" i="1"/>
  <c r="F187" i="1"/>
  <c r="F276" i="1"/>
  <c r="E140" i="1"/>
  <c r="F265" i="1"/>
  <c r="F286" i="1"/>
  <c r="F192" i="1"/>
  <c r="F182" i="1"/>
  <c r="F263" i="1"/>
  <c r="F283" i="1"/>
  <c r="F291" i="1"/>
  <c r="F261" i="1"/>
  <c r="F270" i="1"/>
  <c r="E63" i="1"/>
  <c r="F278" i="1"/>
  <c r="F284" i="1"/>
  <c r="F168" i="1"/>
  <c r="F180" i="1"/>
  <c r="F101" i="1"/>
  <c r="F221" i="1"/>
  <c r="F209" i="1"/>
  <c r="F199" i="1"/>
  <c r="E249" i="1"/>
  <c r="G244" i="1"/>
  <c r="F274" i="1"/>
  <c r="F290" i="1"/>
  <c r="F292" i="1"/>
  <c r="F149" i="1"/>
  <c r="F158" i="1"/>
  <c r="F170" i="1"/>
  <c r="F152" i="1"/>
  <c r="F94" i="1"/>
  <c r="F73" i="1"/>
  <c r="F253" i="1"/>
  <c r="F216" i="1"/>
  <c r="F259" i="1"/>
  <c r="F272" i="1"/>
  <c r="F268" i="1"/>
  <c r="F271" i="1"/>
  <c r="F134" i="1"/>
  <c r="F139" i="1"/>
  <c r="F136" i="1"/>
  <c r="F39" i="1"/>
  <c r="F122" i="1"/>
  <c r="F123" i="1"/>
  <c r="F56" i="1"/>
  <c r="E173" i="1"/>
  <c r="F111" i="1"/>
  <c r="F124" i="1"/>
  <c r="F138" i="1"/>
  <c r="F58" i="1"/>
  <c r="F50" i="1"/>
  <c r="F262" i="1"/>
  <c r="F264" i="1"/>
  <c r="F294" i="1"/>
  <c r="F289" i="1"/>
  <c r="I12" i="1"/>
  <c r="F155" i="1"/>
  <c r="F173" i="1"/>
  <c r="F162" i="1"/>
  <c r="F178" i="1"/>
  <c r="F68" i="1"/>
  <c r="F69" i="1"/>
  <c r="F77" i="1"/>
  <c r="J12" i="1"/>
  <c r="F189" i="1"/>
  <c r="F127" i="1"/>
  <c r="F131" i="1"/>
  <c r="F104" i="1"/>
  <c r="F60" i="1"/>
  <c r="F53" i="1"/>
  <c r="E40" i="1"/>
  <c r="F52" i="1"/>
  <c r="F113" i="1"/>
  <c r="F38" i="1"/>
  <c r="G125" i="1"/>
  <c r="F137" i="1"/>
  <c r="F125" i="1"/>
  <c r="F26" i="1"/>
  <c r="F43" i="1"/>
  <c r="F282" i="1"/>
  <c r="F267" i="1"/>
  <c r="F260" i="1"/>
  <c r="F153" i="1"/>
  <c r="F169" i="1"/>
  <c r="F150" i="1"/>
  <c r="F164" i="1"/>
  <c r="F156" i="1"/>
  <c r="F75" i="1"/>
  <c r="F87" i="1"/>
  <c r="F202" i="1"/>
  <c r="F196" i="1"/>
  <c r="F204" i="1"/>
  <c r="F112" i="1"/>
  <c r="F130" i="1"/>
  <c r="F28" i="1"/>
  <c r="F35" i="1"/>
  <c r="F177" i="1"/>
  <c r="F117" i="1"/>
  <c r="F55" i="1"/>
  <c r="F121" i="1"/>
  <c r="F243" i="1"/>
  <c r="F238" i="1"/>
  <c r="F220" i="1"/>
  <c r="BN4" i="2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F33" i="1"/>
  <c r="F12" i="1"/>
  <c r="F31" i="1"/>
  <c r="F257" i="1"/>
  <c r="E222" i="1"/>
  <c r="E214" i="1"/>
  <c r="H12" i="1"/>
  <c r="F105" i="1"/>
  <c r="F135" i="1"/>
  <c r="F140" i="1"/>
  <c r="F32" i="1"/>
  <c r="F27" i="1"/>
  <c r="F47" i="1"/>
  <c r="F57" i="1"/>
  <c r="F269" i="1"/>
  <c r="F297" i="1"/>
  <c r="F275" i="1"/>
  <c r="F279" i="1"/>
  <c r="F258" i="1"/>
  <c r="BN7" i="2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CG7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F171" i="1"/>
  <c r="F67" i="1"/>
  <c r="F85" i="1"/>
  <c r="F80" i="1"/>
  <c r="F71" i="1"/>
  <c r="F98" i="1"/>
  <c r="F246" i="1"/>
  <c r="F255" i="1"/>
  <c r="F244" i="1"/>
  <c r="F226" i="1"/>
  <c r="F219" i="1"/>
  <c r="F203" i="1"/>
  <c r="F186" i="1"/>
  <c r="F217" i="1"/>
  <c r="F185" i="1"/>
  <c r="F37" i="1"/>
  <c r="F59" i="1"/>
  <c r="F96" i="1"/>
  <c r="F76" i="1"/>
  <c r="F235" i="1"/>
  <c r="F222" i="1"/>
  <c r="F234" i="1"/>
  <c r="F252" i="1"/>
  <c r="F232" i="1"/>
  <c r="F190" i="1"/>
  <c r="F197" i="1"/>
  <c r="BN6" i="2"/>
  <c r="BO6" i="2" s="1"/>
  <c r="BP6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CG6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F118" i="1"/>
  <c r="F115" i="1"/>
  <c r="F106" i="1"/>
  <c r="F103" i="1"/>
  <c r="F109" i="1"/>
  <c r="F29" i="1"/>
  <c r="F36" i="1"/>
  <c r="G284" i="1"/>
  <c r="F116" i="1"/>
  <c r="F114" i="1"/>
  <c r="F107" i="1"/>
  <c r="F126" i="1"/>
  <c r="F40" i="1"/>
  <c r="F42" i="1"/>
  <c r="F34" i="1"/>
  <c r="F63" i="1"/>
  <c r="F44" i="1"/>
  <c r="BN10" i="2"/>
  <c r="BO10" i="2" s="1"/>
  <c r="BP10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CG10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F273" i="1"/>
  <c r="F296" i="1"/>
  <c r="F280" i="1"/>
  <c r="F287" i="1"/>
  <c r="F266" i="1"/>
  <c r="F88" i="1"/>
  <c r="F91" i="1"/>
  <c r="F102" i="1"/>
  <c r="F82" i="1"/>
  <c r="F240" i="1"/>
  <c r="F225" i="1"/>
  <c r="F237" i="1"/>
  <c r="F227" i="1"/>
  <c r="F245" i="1"/>
  <c r="F194" i="1"/>
  <c r="F212" i="1"/>
  <c r="F201" i="1"/>
  <c r="F195" i="1"/>
  <c r="F213" i="1"/>
  <c r="F120" i="1"/>
  <c r="F128" i="1"/>
  <c r="F110" i="1"/>
  <c r="F133" i="1"/>
  <c r="F45" i="1"/>
  <c r="F49" i="1"/>
  <c r="F46" i="1"/>
  <c r="F25" i="1"/>
  <c r="F48" i="1"/>
  <c r="F97" i="1"/>
  <c r="F95" i="1"/>
  <c r="F70" i="1"/>
  <c r="F236" i="1"/>
  <c r="F228" i="1"/>
  <c r="F224" i="1"/>
  <c r="F230" i="1"/>
  <c r="F206" i="1"/>
  <c r="F218" i="1"/>
  <c r="F207" i="1"/>
  <c r="F208" i="1"/>
  <c r="F184" i="1"/>
  <c r="BN9" i="2"/>
  <c r="BO9" i="2" s="1"/>
  <c r="BP9" i="2" s="1"/>
  <c r="BQ9" i="2" s="1"/>
  <c r="BR9" i="2" s="1"/>
  <c r="BS9" i="2" s="1"/>
  <c r="BT9" i="2" s="1"/>
  <c r="BU9" i="2" s="1"/>
  <c r="BV9" i="2" s="1"/>
  <c r="BW9" i="2" s="1"/>
  <c r="BX9" i="2" s="1"/>
  <c r="BY9" i="2" s="1"/>
  <c r="BZ9" i="2" s="1"/>
  <c r="CA9" i="2" s="1"/>
  <c r="CB9" i="2" s="1"/>
  <c r="CC9" i="2" s="1"/>
  <c r="CD9" i="2" s="1"/>
  <c r="CE9" i="2" s="1"/>
  <c r="CF9" i="2" s="1"/>
  <c r="CG9" i="2" s="1"/>
  <c r="CH9" i="2" s="1"/>
  <c r="CI9" i="2" s="1"/>
  <c r="CJ9" i="2" s="1"/>
  <c r="CK9" i="2" s="1"/>
  <c r="CL9" i="2" s="1"/>
  <c r="CM9" i="2" s="1"/>
  <c r="CN9" i="2" s="1"/>
  <c r="CO9" i="2" s="1"/>
  <c r="CP9" i="2" s="1"/>
  <c r="CQ9" i="2" s="1"/>
  <c r="CR9" i="2" s="1"/>
  <c r="CS9" i="2" s="1"/>
  <c r="CT9" i="2" s="1"/>
  <c r="CU9" i="2" s="1"/>
  <c r="K12" i="1"/>
  <c r="F229" i="1"/>
  <c r="F250" i="1"/>
  <c r="F239" i="1"/>
  <c r="F231" i="1"/>
  <c r="F233" i="1"/>
  <c r="F254" i="1"/>
  <c r="F214" i="1"/>
  <c r="F188" i="1"/>
  <c r="F241" i="1"/>
  <c r="F247" i="1"/>
  <c r="F249" i="1"/>
  <c r="F108" i="1"/>
  <c r="F51" i="1"/>
  <c r="F61" i="1"/>
  <c r="F30" i="1"/>
  <c r="F41" i="1"/>
  <c r="F62" i="1"/>
  <c r="BN5" i="2"/>
  <c r="BO5" i="2" s="1"/>
  <c r="BP5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F90" i="1"/>
  <c r="F74" i="1"/>
  <c r="F99" i="1"/>
  <c r="F64" i="1"/>
  <c r="G12" i="1"/>
  <c r="F86" i="1"/>
  <c r="F242" i="1"/>
  <c r="F223" i="1"/>
  <c r="F248" i="1"/>
  <c r="F256" i="1"/>
  <c r="F211" i="1"/>
  <c r="F215" i="1"/>
  <c r="G245" i="1"/>
  <c r="E236" i="1"/>
  <c r="E253" i="1"/>
  <c r="G264" i="1"/>
  <c r="E269" i="1"/>
  <c r="E93" i="1"/>
  <c r="G168" i="1"/>
  <c r="G37" i="1"/>
  <c r="G209" i="1"/>
  <c r="G146" i="1"/>
  <c r="G281" i="1"/>
  <c r="G285" i="1"/>
  <c r="E91" i="1"/>
  <c r="E178" i="1"/>
  <c r="E201" i="1"/>
  <c r="G219" i="1"/>
  <c r="G291" i="1"/>
  <c r="E254" i="1"/>
  <c r="G144" i="1"/>
  <c r="E235" i="1"/>
  <c r="E296" i="1"/>
  <c r="G47" i="1"/>
  <c r="G26" i="1"/>
  <c r="E37" i="1"/>
  <c r="E30" i="1"/>
  <c r="E64" i="1"/>
  <c r="G102" i="1"/>
  <c r="E168" i="1"/>
  <c r="E231" i="1"/>
  <c r="E268" i="1"/>
  <c r="G44" i="1"/>
  <c r="E126" i="1"/>
  <c r="E150" i="1"/>
  <c r="E206" i="1"/>
  <c r="E35" i="1"/>
  <c r="G100" i="1"/>
  <c r="G199" i="1"/>
  <c r="G254" i="1"/>
  <c r="G77" i="1"/>
  <c r="G148" i="1"/>
  <c r="G207" i="1"/>
  <c r="G80" i="1"/>
  <c r="E166" i="1"/>
  <c r="G255" i="1"/>
  <c r="G76" i="1"/>
  <c r="G120" i="1"/>
  <c r="E238" i="1"/>
  <c r="G149" i="1"/>
  <c r="G247" i="1"/>
  <c r="G279" i="1"/>
  <c r="G92" i="1"/>
  <c r="E160" i="1"/>
  <c r="E239" i="1"/>
  <c r="E181" i="1"/>
  <c r="E285" i="1"/>
  <c r="E212" i="1"/>
  <c r="E281" i="1"/>
  <c r="E175" i="1"/>
  <c r="E164" i="1"/>
  <c r="E130" i="1"/>
  <c r="G217" i="1"/>
  <c r="G188" i="1"/>
  <c r="G259" i="1"/>
  <c r="E270" i="1"/>
  <c r="G53" i="1"/>
  <c r="G116" i="1"/>
  <c r="G280" i="1"/>
  <c r="E223" i="1"/>
  <c r="E260" i="1"/>
  <c r="G103" i="1"/>
  <c r="G118" i="1"/>
  <c r="E247" i="1"/>
  <c r="G45" i="1"/>
  <c r="G38" i="1"/>
  <c r="E69" i="1"/>
  <c r="G109" i="1"/>
  <c r="G183" i="1"/>
  <c r="G242" i="1"/>
  <c r="G274" i="1"/>
  <c r="G52" i="1"/>
  <c r="G126" i="1"/>
  <c r="G150" i="1"/>
  <c r="G206" i="1"/>
  <c r="E43" i="1"/>
  <c r="E100" i="1"/>
  <c r="E199" i="1"/>
  <c r="E251" i="1"/>
  <c r="E110" i="1"/>
  <c r="E148" i="1"/>
  <c r="E207" i="1"/>
  <c r="E87" i="1"/>
  <c r="G166" i="1"/>
  <c r="E252" i="1"/>
  <c r="E76" i="1"/>
  <c r="G127" i="1"/>
  <c r="G238" i="1"/>
  <c r="E149" i="1"/>
  <c r="E244" i="1"/>
  <c r="E276" i="1"/>
  <c r="E92" i="1"/>
  <c r="G175" i="1"/>
  <c r="G297" i="1"/>
  <c r="E189" i="1"/>
  <c r="E156" i="1"/>
  <c r="E220" i="1"/>
  <c r="E286" i="1"/>
  <c r="G250" i="1"/>
  <c r="G104" i="1"/>
  <c r="E197" i="1"/>
  <c r="G34" i="1"/>
  <c r="G29" i="1"/>
  <c r="G89" i="1"/>
  <c r="G253" i="1"/>
  <c r="G202" i="1"/>
  <c r="G61" i="1"/>
  <c r="G25" i="1"/>
  <c r="E133" i="1"/>
  <c r="G119" i="1"/>
  <c r="E151" i="1"/>
  <c r="E255" i="1"/>
  <c r="E167" i="1"/>
  <c r="E190" i="1"/>
  <c r="G212" i="1"/>
  <c r="E83" i="1"/>
  <c r="E227" i="1"/>
  <c r="E70" i="1"/>
  <c r="E170" i="1"/>
  <c r="E60" i="1"/>
  <c r="G229" i="1"/>
  <c r="E80" i="1"/>
  <c r="G241" i="1"/>
  <c r="G180" i="1"/>
  <c r="G171" i="1"/>
  <c r="G260" i="1"/>
  <c r="E152" i="1"/>
  <c r="E262" i="1"/>
  <c r="E297" i="1"/>
  <c r="E56" i="1"/>
  <c r="E48" i="1"/>
  <c r="E45" i="1"/>
  <c r="E38" i="1"/>
  <c r="G69" i="1"/>
  <c r="E109" i="1"/>
  <c r="E183" i="1"/>
  <c r="E242" i="1"/>
  <c r="E271" i="1"/>
  <c r="G60" i="1"/>
  <c r="G133" i="1"/>
  <c r="G165" i="1"/>
  <c r="G223" i="1"/>
  <c r="E51" i="1"/>
  <c r="G112" i="1"/>
  <c r="G215" i="1"/>
  <c r="G263" i="1"/>
  <c r="G110" i="1"/>
  <c r="G151" i="1"/>
  <c r="G218" i="1"/>
  <c r="G96" i="1"/>
  <c r="G200" i="1"/>
  <c r="G258" i="1"/>
  <c r="E94" i="1"/>
  <c r="G159" i="1"/>
  <c r="E118" i="1"/>
  <c r="G167" i="1"/>
  <c r="G282" i="1"/>
  <c r="E248" i="1"/>
  <c r="E228" i="1"/>
  <c r="E52" i="1"/>
  <c r="E105" i="1"/>
  <c r="G74" i="1"/>
  <c r="E81" i="1"/>
  <c r="G187" i="1"/>
  <c r="E171" i="1"/>
  <c r="G54" i="1"/>
  <c r="E198" i="1"/>
  <c r="E71" i="1"/>
  <c r="E59" i="1"/>
  <c r="G117" i="1"/>
  <c r="E200" i="1"/>
  <c r="E159" i="1"/>
  <c r="E279" i="1"/>
  <c r="E66" i="1"/>
  <c r="E34" i="1"/>
  <c r="G237" i="1"/>
  <c r="E103" i="1"/>
  <c r="G268" i="1"/>
  <c r="E31" i="1"/>
  <c r="G46" i="1"/>
  <c r="G248" i="1"/>
  <c r="E165" i="1"/>
  <c r="E215" i="1"/>
  <c r="E218" i="1"/>
  <c r="G94" i="1"/>
  <c r="G111" i="1"/>
  <c r="E155" i="1"/>
  <c r="E194" i="1"/>
  <c r="G137" i="1"/>
  <c r="E137" i="1"/>
  <c r="E88" i="1"/>
  <c r="E77" i="1"/>
  <c r="G72" i="1"/>
  <c r="E68" i="1"/>
  <c r="G73" i="1"/>
  <c r="G178" i="1"/>
  <c r="E89" i="1"/>
  <c r="E123" i="1"/>
  <c r="E217" i="1"/>
  <c r="E96" i="1"/>
  <c r="G251" i="1"/>
  <c r="G87" i="1"/>
  <c r="G201" i="1"/>
  <c r="G122" i="1"/>
  <c r="E250" i="1"/>
  <c r="E136" i="1"/>
  <c r="G275" i="1"/>
  <c r="E187" i="1"/>
  <c r="G205" i="1"/>
  <c r="G276" i="1"/>
  <c r="G194" i="1"/>
  <c r="G273" i="1"/>
  <c r="G31" i="1"/>
  <c r="E61" i="1"/>
  <c r="E53" i="1"/>
  <c r="E54" i="1"/>
  <c r="E46" i="1"/>
  <c r="E25" i="1"/>
  <c r="E116" i="1"/>
  <c r="G198" i="1"/>
  <c r="E245" i="1"/>
  <c r="E277" i="1"/>
  <c r="G79" i="1"/>
  <c r="G140" i="1"/>
  <c r="G176" i="1"/>
  <c r="G234" i="1"/>
  <c r="E67" i="1"/>
  <c r="G173" i="1"/>
  <c r="E202" i="1"/>
  <c r="G292" i="1"/>
  <c r="G39" i="1"/>
  <c r="E84" i="1"/>
  <c r="E62" i="1"/>
  <c r="G63" i="1"/>
  <c r="G55" i="1"/>
  <c r="G85" i="1"/>
  <c r="E157" i="1"/>
  <c r="G214" i="1"/>
  <c r="E259" i="1"/>
  <c r="E289" i="1"/>
  <c r="E86" i="1"/>
  <c r="G143" i="1"/>
  <c r="G191" i="1"/>
  <c r="G240" i="1"/>
  <c r="G93" i="1"/>
  <c r="G184" i="1"/>
  <c r="G232" i="1"/>
  <c r="G272" i="1"/>
  <c r="E124" i="1"/>
  <c r="G192" i="1"/>
  <c r="E78" i="1"/>
  <c r="G141" i="1"/>
  <c r="G216" i="1"/>
  <c r="G278" i="1"/>
  <c r="G108" i="1"/>
  <c r="G208" i="1"/>
  <c r="G132" i="1"/>
  <c r="E230" i="1"/>
  <c r="G270" i="1"/>
  <c r="G70" i="1"/>
  <c r="G152" i="1"/>
  <c r="G222" i="1"/>
  <c r="E280" i="1"/>
  <c r="E229" i="1"/>
  <c r="E213" i="1"/>
  <c r="G190" i="1"/>
  <c r="E208" i="1"/>
  <c r="E224" i="1"/>
  <c r="G86" i="1"/>
  <c r="E204" i="1"/>
  <c r="E205" i="1"/>
  <c r="G160" i="1"/>
  <c r="G256" i="1"/>
  <c r="G174" i="1"/>
  <c r="E216" i="1"/>
  <c r="G224" i="1"/>
  <c r="E263" i="1"/>
  <c r="E73" i="1"/>
  <c r="G81" i="1"/>
  <c r="G157" i="1"/>
  <c r="G62" i="1"/>
  <c r="G196" i="1"/>
  <c r="G294" i="1"/>
  <c r="G228" i="1"/>
  <c r="G261" i="1"/>
  <c r="E75" i="1"/>
  <c r="G265" i="1"/>
  <c r="E147" i="1"/>
  <c r="E50" i="1"/>
  <c r="E288" i="1"/>
  <c r="G230" i="1"/>
  <c r="E210" i="1"/>
  <c r="G266" i="1"/>
  <c r="G36" i="1"/>
  <c r="E127" i="1"/>
  <c r="E138" i="1"/>
  <c r="G105" i="1"/>
  <c r="G161" i="1"/>
  <c r="E209" i="1"/>
  <c r="G71" i="1"/>
  <c r="G189" i="1"/>
  <c r="E196" i="1"/>
  <c r="G142" i="1"/>
  <c r="E174" i="1"/>
  <c r="E192" i="1"/>
  <c r="E240" i="1"/>
  <c r="E102" i="1"/>
  <c r="E26" i="1"/>
  <c r="G177" i="1"/>
  <c r="E131" i="1"/>
  <c r="E188" i="1"/>
  <c r="E272" i="1"/>
  <c r="E142" i="1"/>
  <c r="G182" i="1"/>
  <c r="E108" i="1"/>
  <c r="G210" i="1"/>
  <c r="G158" i="1"/>
  <c r="E232" i="1"/>
  <c r="E234" i="1"/>
  <c r="G295" i="1"/>
  <c r="G68" i="1"/>
  <c r="G84" i="1"/>
  <c r="G288" i="1"/>
  <c r="G162" i="1"/>
  <c r="G128" i="1"/>
  <c r="E128" i="1"/>
  <c r="E72" i="1"/>
  <c r="G115" i="1"/>
  <c r="E258" i="1"/>
  <c r="E145" i="1"/>
  <c r="E293" i="1"/>
  <c r="E273" i="1"/>
  <c r="E180" i="1"/>
  <c r="E264" i="1"/>
  <c r="E74" i="1"/>
  <c r="E182" i="1"/>
  <c r="E101" i="1"/>
  <c r="E141" i="1"/>
  <c r="E158" i="1"/>
  <c r="E226" i="1"/>
  <c r="E191" i="1"/>
  <c r="G271" i="1"/>
  <c r="G64" i="1"/>
  <c r="E47" i="1"/>
  <c r="G252" i="1"/>
  <c r="G243" i="1"/>
  <c r="G33" i="1"/>
  <c r="G32" i="1"/>
  <c r="G130" i="1"/>
  <c r="E211" i="1"/>
  <c r="E90" i="1"/>
  <c r="E27" i="1"/>
  <c r="E265" i="1"/>
  <c r="E256" i="1"/>
  <c r="E132" i="1"/>
  <c r="G134" i="1"/>
  <c r="G226" i="1"/>
  <c r="G262" i="1"/>
  <c r="E39" i="1"/>
  <c r="G221" i="1"/>
  <c r="G296" i="1"/>
  <c r="E120" i="1"/>
  <c r="G75" i="1"/>
  <c r="G88" i="1"/>
  <c r="E294" i="1"/>
  <c r="E44" i="1"/>
  <c r="G225" i="1"/>
  <c r="E172" i="1"/>
  <c r="E284" i="1"/>
  <c r="G101" i="1"/>
  <c r="G136" i="1"/>
  <c r="E176" i="1"/>
  <c r="E55" i="1"/>
  <c r="G203" i="1"/>
  <c r="E257" i="1"/>
  <c r="E237" i="1"/>
  <c r="G239" i="1"/>
  <c r="G290" i="1"/>
  <c r="E125" i="1"/>
  <c r="E275" i="1"/>
  <c r="E134" i="1"/>
  <c r="G124" i="1"/>
  <c r="E184" i="1"/>
  <c r="E143" i="1"/>
  <c r="G231" i="1"/>
  <c r="G30" i="1"/>
  <c r="G286" i="1"/>
  <c r="G287" i="1"/>
  <c r="E193" i="1"/>
  <c r="G179" i="1"/>
  <c r="E104" i="1"/>
  <c r="E111" i="1"/>
  <c r="E36" i="1"/>
  <c r="E41" i="1"/>
  <c r="E112" i="1"/>
  <c r="G235" i="1"/>
  <c r="G283" i="1"/>
  <c r="E144" i="1"/>
  <c r="G164" i="1"/>
  <c r="G236" i="1"/>
  <c r="G135" i="1"/>
  <c r="G267" i="1"/>
  <c r="G138" i="1"/>
  <c r="E290" i="1"/>
  <c r="E135" i="1"/>
  <c r="E278" i="1"/>
  <c r="G131" i="1"/>
  <c r="E225" i="1"/>
  <c r="G65" i="1"/>
  <c r="E79" i="1"/>
  <c r="E85" i="1"/>
  <c r="G91" i="1"/>
  <c r="G82" i="1"/>
  <c r="E115" i="1"/>
  <c r="G197" i="1"/>
  <c r="G28" i="1"/>
  <c r="E203" i="1"/>
  <c r="G233" i="1"/>
  <c r="E295" i="1"/>
  <c r="G41" i="1"/>
  <c r="E163" i="1"/>
  <c r="E185" i="1"/>
  <c r="G156" i="1"/>
  <c r="G90" i="1"/>
  <c r="G147" i="1"/>
  <c r="G129" i="1"/>
  <c r="G50" i="1"/>
  <c r="G145" i="1"/>
  <c r="E121" i="1"/>
  <c r="E49" i="1"/>
  <c r="E169" i="1"/>
  <c r="G169" i="1"/>
  <c r="G249" i="1"/>
  <c r="G155" i="1"/>
  <c r="E122" i="1"/>
  <c r="G113" i="1"/>
  <c r="E243" i="1"/>
  <c r="E139" i="1"/>
  <c r="G121" i="1"/>
  <c r="E82" i="1"/>
  <c r="E283" i="1"/>
  <c r="G98" i="1"/>
  <c r="G220" i="1"/>
  <c r="E287" i="1"/>
  <c r="E32" i="1"/>
  <c r="E274" i="1"/>
  <c r="G66" i="1"/>
  <c r="G49" i="1"/>
  <c r="G185" i="1"/>
  <c r="G27" i="1"/>
  <c r="E177" i="1"/>
  <c r="G67" i="1"/>
  <c r="G153" i="1"/>
  <c r="E107" i="1"/>
  <c r="E58" i="1"/>
  <c r="G139" i="1"/>
  <c r="G43" i="1"/>
  <c r="G48" i="1"/>
  <c r="G56" i="1"/>
  <c r="G246" i="1"/>
  <c r="E246" i="1"/>
  <c r="E146" i="1"/>
  <c r="G257" i="1"/>
  <c r="E119" i="1"/>
  <c r="E154" i="1"/>
  <c r="G211" i="1"/>
  <c r="E266" i="1"/>
  <c r="G213" i="1"/>
  <c r="E291" i="1"/>
  <c r="G170" i="1"/>
  <c r="E57" i="1"/>
  <c r="G227" i="1"/>
  <c r="G83" i="1"/>
  <c r="E195" i="1"/>
  <c r="G59" i="1"/>
  <c r="G172" i="1"/>
  <c r="G95" i="1"/>
  <c r="G123" i="1"/>
  <c r="G293" i="1"/>
  <c r="E186" i="1"/>
  <c r="G277" i="1"/>
  <c r="E28" i="1"/>
  <c r="E42" i="1"/>
  <c r="E98" i="1"/>
  <c r="E33" i="1"/>
  <c r="E241" i="1"/>
  <c r="E153" i="1"/>
  <c r="E113" i="1"/>
  <c r="E233" i="1"/>
  <c r="G97" i="1"/>
  <c r="G58" i="1"/>
  <c r="E106" i="1"/>
  <c r="G154" i="1"/>
  <c r="G204" i="1"/>
  <c r="G269" i="1"/>
  <c r="G193" i="1"/>
  <c r="E292" i="1"/>
  <c r="G163" i="1"/>
  <c r="G35" i="1"/>
  <c r="E179" i="1"/>
  <c r="E282" i="1"/>
  <c r="G195" i="1"/>
  <c r="G57" i="1"/>
  <c r="G107" i="1"/>
  <c r="E95" i="1"/>
  <c r="G114" i="1"/>
  <c r="G181" i="1"/>
  <c r="G186" i="1"/>
  <c r="E161" i="1"/>
  <c r="G289" i="1"/>
  <c r="G42" i="1"/>
  <c r="E114" i="1"/>
  <c r="E99" i="1"/>
  <c r="E162" i="1"/>
  <c r="E65" i="1"/>
  <c r="E97" i="1"/>
  <c r="E219" i="1"/>
  <c r="G40" i="1"/>
  <c r="G51" i="1"/>
  <c r="G106" i="1"/>
  <c r="G298" i="1" l="1"/>
  <c r="C11" i="1" s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<sst xmlns="http://schemas.openxmlformats.org/spreadsheetml/2006/main" count="813" uniqueCount="259">
  <si>
    <t>ABN AMRO - FRAAI Project 2022
Weekly Hours 2022</t>
  </si>
  <si>
    <t>Name</t>
  </si>
  <si>
    <t>JODUPI EXTCO Johan du Pisanie</t>
  </si>
  <si>
    <t>Year</t>
  </si>
  <si>
    <t>Week</t>
  </si>
  <si>
    <t>only with approval of PO</t>
  </si>
  <si>
    <t>Monday</t>
  </si>
  <si>
    <t>Tuesday</t>
  </si>
  <si>
    <t>Wednesday</t>
  </si>
  <si>
    <t>Thursday</t>
  </si>
  <si>
    <t>Friday</t>
  </si>
  <si>
    <t>Saturday</t>
  </si>
  <si>
    <t>Sunday</t>
  </si>
  <si>
    <t>Workstream (please select)</t>
  </si>
  <si>
    <t>Project (please select)</t>
  </si>
  <si>
    <t>Replicon Reference</t>
  </si>
  <si>
    <t>Model Monitoring</t>
  </si>
  <si>
    <t>P2- Risk Services</t>
  </si>
  <si>
    <t>Model Run</t>
  </si>
  <si>
    <t>P1 - Proofing Points</t>
  </si>
  <si>
    <t>P1 - Alfam FP</t>
  </si>
  <si>
    <t>P1 - Support AAGH HE</t>
  </si>
  <si>
    <t>Management &amp; Support</t>
  </si>
  <si>
    <t>Project</t>
  </si>
  <si>
    <t>Project Type</t>
  </si>
  <si>
    <t xml:space="preserve">Streams </t>
  </si>
  <si>
    <t>Date</t>
  </si>
  <si>
    <t>Hours</t>
  </si>
  <si>
    <t>ABNAMRO-0026-02 P1 - AAHG Additional 2022</t>
  </si>
  <si>
    <t>ABNAMRO-0026-03 P1 - Alfam FP (CTM Part)</t>
  </si>
  <si>
    <t>ABNAMRO-0026-04 P1 - Alfam FP</t>
  </si>
  <si>
    <t>ABNAMRO-0026-05 P1 - Alfam TM</t>
  </si>
  <si>
    <t>ABNAMRO-0026-06 P4 - Azure</t>
  </si>
  <si>
    <t>ABNAMRO-0026-07 P4 - Basel IV</t>
  </si>
  <si>
    <t>ABNAMRO-0026-08 DRP FP</t>
  </si>
  <si>
    <t>ABNAMRO-0026-09 Exchange Layer FP</t>
  </si>
  <si>
    <t>ABNAMRO-0026-11 P1 - Proofing Points</t>
  </si>
  <si>
    <t>ABNAMRO-0026-12 P1 - Support AAGH HE</t>
  </si>
  <si>
    <t>ABNAMRO-0026-13 P2- Risk Services</t>
  </si>
  <si>
    <t>ABNAMRO-0026-14 P1 AAHG 2022 Remediation</t>
  </si>
  <si>
    <t>ABNAMRO-0026-15 Support (Infra., Release, Deployment)</t>
  </si>
  <si>
    <t>TOTAL</t>
  </si>
  <si>
    <t>P1 - AAHG Additional 2022</t>
  </si>
  <si>
    <t>P1 - Alfam FP (CTM Part)</t>
  </si>
  <si>
    <t>P1 - Alfam TM</t>
  </si>
  <si>
    <t>P4 - Azure</t>
  </si>
  <si>
    <t>P4 - Basel IV</t>
  </si>
  <si>
    <t>DRP FP</t>
  </si>
  <si>
    <t>Exchange Layer FP</t>
  </si>
  <si>
    <t>P1 AAHG 2022 Remediation</t>
  </si>
  <si>
    <t>Support (Infra., Release, Deployment)</t>
  </si>
  <si>
    <t>Resource</t>
  </si>
  <si>
    <t>Work Stream</t>
  </si>
  <si>
    <t>Resource Work Stream</t>
  </si>
  <si>
    <t>Allocation</t>
  </si>
  <si>
    <t>Support HE</t>
  </si>
  <si>
    <t>Risk Services</t>
  </si>
  <si>
    <t>Worstream 2</t>
  </si>
  <si>
    <t>P1 - AAHG Additional 20222</t>
  </si>
  <si>
    <t>P1 - Alfam FP (CTM Part)3</t>
  </si>
  <si>
    <t>P1 - Alfam FP4</t>
  </si>
  <si>
    <t>P1 - Alfam TM5</t>
  </si>
  <si>
    <t>P4 - Azure6</t>
  </si>
  <si>
    <t>P4 - Basel IV7</t>
  </si>
  <si>
    <t>DRP FP8</t>
  </si>
  <si>
    <t>Exchange Layer FP9</t>
  </si>
  <si>
    <t>P1 - Proofing Points10</t>
  </si>
  <si>
    <t>Support HE11</t>
  </si>
  <si>
    <t>Risk Services12</t>
  </si>
  <si>
    <t>P1 AAHG 2022 Remediation13</t>
  </si>
  <si>
    <t>Support (Infra., Release, Deployment)14</t>
  </si>
  <si>
    <t>Workstream</t>
  </si>
  <si>
    <t>Replicon Line</t>
  </si>
  <si>
    <t>Replicon Line w/code</t>
  </si>
  <si>
    <t>Project2</t>
  </si>
  <si>
    <t>WeekNo.</t>
  </si>
  <si>
    <t>Consultant</t>
  </si>
  <si>
    <t>USER ID</t>
  </si>
  <si>
    <t>EMPTYPE</t>
  </si>
  <si>
    <t>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</si>
  <si>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</si>
  <si>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</si>
  <si>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</si>
  <si>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</si>
  <si>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</si>
  <si>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</si>
  <si>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</si>
  <si>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</si>
  <si>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</si>
  <si>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</si>
  <si>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</si>
  <si>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</si>
  <si>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</si>
  <si>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</si>
  <si>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</si>
  <si>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</si>
  <si>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</si>
  <si>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</si>
  <si>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</si>
  <si>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</si>
  <si>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</si>
  <si>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</si>
  <si>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</si>
  <si>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</si>
  <si>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</si>
  <si>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</si>
  <si>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</si>
  <si>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</si>
  <si>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</si>
  <si>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</si>
  <si>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</si>
  <si>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</si>
  <si>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</si>
  <si>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</si>
  <si>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</si>
  <si>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</si>
  <si>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</si>
  <si>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</si>
  <si>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</si>
  <si>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</si>
  <si>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</si>
  <si>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</si>
  <si>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</si>
  <si>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</si>
  <si>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</si>
  <si>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</si>
  <si>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</si>
  <si>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</si>
  <si>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</si>
  <si>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</si>
  <si>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</si>
  <si>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</si>
  <si>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</si>
  <si>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Workstream no.</t>
  </si>
  <si>
    <t>Abishek Chopra</t>
  </si>
  <si>
    <t>Credit Risk</t>
  </si>
  <si>
    <t>SNLACH EXTCO Abishek Chopra</t>
  </si>
  <si>
    <t>SNLACH</t>
  </si>
  <si>
    <t xml:space="preserve">EXTCO </t>
  </si>
  <si>
    <t>Adam Pollachi</t>
  </si>
  <si>
    <t>IFRS9</t>
  </si>
  <si>
    <t>Data Lineage</t>
  </si>
  <si>
    <t>SSAAPO CNSCOS Adam Pollacchi</t>
  </si>
  <si>
    <t>SSAAPO</t>
  </si>
  <si>
    <t>CNSCOS</t>
  </si>
  <si>
    <t>Adam Pollacchi</t>
  </si>
  <si>
    <t>Risk on Demand Services</t>
  </si>
  <si>
    <t>Data Quality Management</t>
  </si>
  <si>
    <t>Allison Lin</t>
  </si>
  <si>
    <t>Exchange Layer</t>
  </si>
  <si>
    <t>SNLAKU EXTCO Anish Kumar</t>
  </si>
  <si>
    <t>SNLAKU</t>
  </si>
  <si>
    <t>EXTCO</t>
  </si>
  <si>
    <t>Anish Kumar</t>
  </si>
  <si>
    <t>Model Lifecycle</t>
  </si>
  <si>
    <t>SNLANW EXTCO Anno Wierenga</t>
  </si>
  <si>
    <t>SNLANW</t>
  </si>
  <si>
    <t>Anno Wierenga</t>
  </si>
  <si>
    <t>Anish Kumar Pandey</t>
  </si>
  <si>
    <t>IT VET</t>
  </si>
  <si>
    <t>Bas Altorf</t>
  </si>
  <si>
    <t>Model Development</t>
  </si>
  <si>
    <t>SNLBHA EXTCO Bassim Hammoud</t>
  </si>
  <si>
    <t>SNLBHA</t>
  </si>
  <si>
    <t>Bassim Hammoud</t>
  </si>
  <si>
    <t>Darragh Gallagher</t>
  </si>
  <si>
    <t xml:space="preserve">ICICO </t>
  </si>
  <si>
    <t>Dave Grieves</t>
  </si>
  <si>
    <t>Manangement &amp; Support</t>
  </si>
  <si>
    <t>Viya Reporting</t>
  </si>
  <si>
    <t>SNL116</t>
  </si>
  <si>
    <t>David Estreich</t>
  </si>
  <si>
    <t>Release Management</t>
  </si>
  <si>
    <t>EGLIPC EXTCO Egor Lipchinskiy</t>
  </si>
  <si>
    <t>EGLIPC</t>
  </si>
  <si>
    <t>Egor Lipchinskiy</t>
  </si>
  <si>
    <t>Test Management</t>
  </si>
  <si>
    <t>SNLFAF EXTCO Fabio Franco</t>
  </si>
  <si>
    <t>SNLFAF</t>
  </si>
  <si>
    <t>Fabio Franco</t>
  </si>
  <si>
    <t>Change Management</t>
  </si>
  <si>
    <t>SNL018 ICICO Frank Eckhausen</t>
  </si>
  <si>
    <t>SNL018</t>
  </si>
  <si>
    <t>Frank Eckhausen</t>
  </si>
  <si>
    <t>Henrik Hjollund</t>
  </si>
  <si>
    <t>Orchestration</t>
  </si>
  <si>
    <t>SNLHUL CNSCOS Hubert Lanting</t>
  </si>
  <si>
    <t>SNLHUL</t>
  </si>
  <si>
    <t>Hubert Lanting</t>
  </si>
  <si>
    <t>João Alves</t>
  </si>
  <si>
    <t>JODUPI</t>
  </si>
  <si>
    <t>Johan du Pisanie</t>
  </si>
  <si>
    <t>Madhava Reddy</t>
  </si>
  <si>
    <t>Marek Kardach</t>
  </si>
  <si>
    <t>SUKMMA EXTCO Matteo Maguolo</t>
  </si>
  <si>
    <t>SUKMMA</t>
  </si>
  <si>
    <t>Matteo Maguolo</t>
  </si>
  <si>
    <t>Max Covtun</t>
  </si>
  <si>
    <t>Nathan Desmidt</t>
  </si>
  <si>
    <t>Nuno Grunho</t>
  </si>
  <si>
    <t xml:space="preserve">Marek Kardach </t>
  </si>
  <si>
    <t>PORNUZ</t>
  </si>
  <si>
    <t>Nuno Zuzarte</t>
  </si>
  <si>
    <t>Pamela Makhaye</t>
  </si>
  <si>
    <t>SNL345 ICICO Pedro Redondo</t>
  </si>
  <si>
    <t>SNL345</t>
  </si>
  <si>
    <t>Pedro Redondo</t>
  </si>
  <si>
    <t>Pedro Rodrigues</t>
  </si>
  <si>
    <t>SNLPES CNSCOP Peter Schram</t>
  </si>
  <si>
    <t>SNLPES</t>
  </si>
  <si>
    <t>CNSCOP</t>
  </si>
  <si>
    <t>Peter Schram</t>
  </si>
  <si>
    <t>pradev EXTCO Praveen Devalapalli</t>
  </si>
  <si>
    <t>pradev</t>
  </si>
  <si>
    <t>Praveen Devalapalli</t>
  </si>
  <si>
    <t>snlrdp EXTCO Rheta du Preez</t>
  </si>
  <si>
    <t>snlrdp</t>
  </si>
  <si>
    <t>Rheta du Preez</t>
  </si>
  <si>
    <t xml:space="preserve">Nuno Zuarte </t>
  </si>
  <si>
    <t>Seda Secilmis</t>
  </si>
  <si>
    <t>Smain Abdelmoumeni</t>
  </si>
  <si>
    <t>SNLSTC EXTCO Steven Cox</t>
  </si>
  <si>
    <t>SNLSTC</t>
  </si>
  <si>
    <t>Steven Cox</t>
  </si>
  <si>
    <t xml:space="preserve">Pedro Redondo </t>
  </si>
  <si>
    <t>Ramcharan Vakkalagadda</t>
  </si>
  <si>
    <t xml:space="preserve">Wolfgang Micheler </t>
  </si>
  <si>
    <t>Descrip+A1:B18tion</t>
  </si>
  <si>
    <t>New requirements for mortgages not included in the original DoD</t>
  </si>
  <si>
    <t>Includes decoupled risk related work such as model centralisation, model governance and model monitoring, risk on demand services</t>
  </si>
  <si>
    <t>All work related to the 12 proofing points (budget only allocated for January and February):</t>
  </si>
  <si>
    <t>All activities related to Azure migration including Exchange Layer.</t>
  </si>
  <si>
    <t>All activities related to project management, test management and release management up to QA for ALFAM</t>
  </si>
  <si>
    <t>All workstream build activities for ALFAM (DC1-5) excluding Exchange Layer.</t>
  </si>
  <si>
    <t>All activities related to support on higher ABN environments (work required on any environment higher than QA)</t>
  </si>
  <si>
    <t>Support (Infra., Release,Deployment)</t>
  </si>
  <si>
    <t>IT vet activities related to release and deployment</t>
  </si>
  <si>
    <t>Defects resolution and work to complete requirements outstanding from the stage 4 definition of done</t>
  </si>
  <si>
    <t>All exchange layer activities including ALFAM.</t>
  </si>
  <si>
    <t>Decoupled Basel IV implementation</t>
  </si>
  <si>
    <t>Work related to the DRP.</t>
  </si>
  <si>
    <t>Alfam support on higher environments (higher than QA)</t>
  </si>
  <si>
    <t>Q3</t>
  </si>
  <si>
    <t>Maintenance and support</t>
  </si>
  <si>
    <t>Support for when we are in PROD for drop 5. Will only be used in future (Q4 onwards)</t>
  </si>
  <si>
    <t>Drop 5</t>
  </si>
  <si>
    <t>1ABNAMRO-0021-04 FRAAI DRP 2021DRP</t>
  </si>
  <si>
    <t>1ABNAMRO-0021-04 FRAAI DRP 2021FRAAI DRP 2021</t>
  </si>
  <si>
    <t>PORNUZ EXTCO Nuno Zuzarte</t>
  </si>
  <si>
    <t>SNL116 ICICO David Estreich</t>
  </si>
  <si>
    <t>SPLMRA EXTCO Marek Kardach</t>
  </si>
  <si>
    <t>SPLMRA</t>
  </si>
  <si>
    <t>PORPER</t>
  </si>
  <si>
    <t>PORPER EXTCO Pedro Rodriques</t>
  </si>
  <si>
    <t>SEBROW EXTCO Sean Browne</t>
  </si>
  <si>
    <t>SEBROW</t>
  </si>
  <si>
    <t>Sean Browne</t>
  </si>
  <si>
    <t>ABNAMRO-0026-16 FRAAI 2.0</t>
  </si>
  <si>
    <t>FRAAI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</si>
</sst>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0" tint="-0.34998626667073579"/>
      <name val="Calibri"/>
      <family val="2"/>
    </font>
    <font>
      <sz val="11"/>
      <color theme="0" tint="-0.3499862666707357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0" fillId="4" borderId="1" xfId="0" applyFill="1" applyBorder="1" applyAlignment="1">
      <alignment horizontal="left"/>
    </xf>
    <xf numFmtId="164" fontId="0" fillId="3" borderId="1" xfId="0" applyNumberFormat="1" applyFill="1" applyBorder="1"/>
    <xf numFmtId="9" fontId="0" fillId="0" borderId="0" xfId="1" applyFont="1"/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6" xfId="0" applyFill="1" applyBorder="1" applyAlignment="1">
      <alignment horizontal="left"/>
    </xf>
    <xf numFmtId="0" fontId="4" fillId="8" borderId="1" xfId="0" applyFont="1" applyFill="1" applyBorder="1"/>
    <xf numFmtId="0" fontId="0" fillId="0" borderId="1" xfId="0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0" xfId="0" applyFill="1"/>
    <xf numFmtId="0" fontId="0" fillId="3" borderId="17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164" fontId="0" fillId="3" borderId="17" xfId="0" applyNumberFormat="1" applyFill="1" applyBorder="1"/>
    <xf numFmtId="0" fontId="0" fillId="3" borderId="10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6" xfId="0" applyFont="1" applyFill="1" applyBorder="1"/>
    <xf numFmtId="0" fontId="4" fillId="3" borderId="1" xfId="0" applyFont="1" applyFill="1" applyBorder="1"/>
    <xf numFmtId="165" fontId="5" fillId="7" borderId="20" xfId="3" applyNumberFormat="1" applyFont="1" applyFill="1" applyBorder="1" applyAlignment="1">
      <alignment vertical="center"/>
    </xf>
    <xf numFmtId="164" fontId="0" fillId="7" borderId="20" xfId="0" applyNumberFormat="1" applyFill="1" applyBorder="1" applyAlignment="1">
      <alignment horizontal="left" vertical="top"/>
    </xf>
    <xf numFmtId="165" fontId="10" fillId="8" borderId="20" xfId="3" applyNumberFormat="1" applyFont="1" applyFill="1" applyBorder="1" applyAlignment="1">
      <alignment vertical="center"/>
    </xf>
    <xf numFmtId="0" fontId="8" fillId="7" borderId="0" xfId="0" applyFont="1" applyFill="1"/>
    <xf numFmtId="0" fontId="4" fillId="8" borderId="13" xfId="0" applyFont="1" applyFill="1" applyBorder="1"/>
    <xf numFmtId="0" fontId="5" fillId="7" borderId="5" xfId="0" applyFont="1" applyFill="1" applyBorder="1"/>
    <xf numFmtId="0" fontId="0" fillId="7" borderId="11" xfId="0" applyFill="1" applyBorder="1"/>
    <xf numFmtId="0" fontId="0" fillId="7" borderId="13" xfId="0" applyFill="1" applyBorder="1"/>
    <xf numFmtId="0" fontId="0" fillId="7" borderId="22" xfId="0" applyFill="1" applyBorder="1"/>
    <xf numFmtId="165" fontId="1" fillId="7" borderId="20" xfId="3" applyNumberFormat="1" applyFont="1" applyFill="1" applyBorder="1"/>
    <xf numFmtId="2" fontId="9" fillId="7" borderId="10" xfId="0" applyNumberFormat="1" applyFont="1" applyFill="1" applyBorder="1"/>
    <xf numFmtId="165" fontId="1" fillId="7" borderId="26" xfId="3" applyNumberFormat="1" applyFont="1" applyFill="1" applyBorder="1"/>
    <xf numFmtId="2" fontId="9" fillId="7" borderId="27" xfId="0" applyNumberFormat="1" applyFont="1" applyFill="1" applyBorder="1"/>
    <xf numFmtId="2" fontId="9" fillId="8" borderId="10" xfId="0" applyNumberFormat="1" applyFont="1" applyFill="1" applyBorder="1"/>
    <xf numFmtId="0" fontId="0" fillId="9" borderId="1" xfId="0" applyFill="1" applyBorder="1" applyProtection="1">
      <protection hidden="1"/>
    </xf>
    <xf numFmtId="0" fontId="4" fillId="8" borderId="24" xfId="0" applyFont="1" applyFill="1" applyBorder="1" applyProtection="1">
      <protection hidden="1"/>
    </xf>
    <xf numFmtId="0" fontId="4" fillId="8" borderId="12" xfId="0" applyFont="1" applyFill="1" applyBorder="1" applyProtection="1">
      <protection hidden="1"/>
    </xf>
    <xf numFmtId="14" fontId="4" fillId="8" borderId="1" xfId="0" applyNumberFormat="1" applyFont="1" applyFill="1" applyBorder="1" applyProtection="1">
      <protection hidden="1"/>
    </xf>
    <xf numFmtId="0" fontId="0" fillId="10" borderId="1" xfId="0" applyFill="1" applyBorder="1" applyProtection="1">
      <protection locked="0"/>
    </xf>
    <xf numFmtId="0" fontId="0" fillId="10" borderId="25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" xfId="0" applyBorder="1" applyProtection="1">
      <protection locked="0"/>
    </xf>
    <xf numFmtId="0" fontId="0" fillId="5" borderId="12" xfId="0" applyFill="1" applyBorder="1" applyAlignment="1" applyProtection="1">
      <alignment horizontal="left"/>
      <protection locked="0"/>
    </xf>
    <xf numFmtId="0" fontId="0" fillId="5" borderId="23" xfId="0" applyFill="1" applyBorder="1" applyAlignment="1" applyProtection="1">
      <alignment horizontal="left"/>
      <protection locked="0"/>
    </xf>
    <xf numFmtId="0" fontId="5" fillId="7" borderId="0" xfId="0" applyFont="1" applyFill="1" applyAlignment="1" applyProtection="1">
      <alignment horizontal="left"/>
      <protection hidden="1"/>
    </xf>
    <xf numFmtId="0" fontId="0" fillId="8" borderId="1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8" borderId="25" xfId="0" applyFill="1" applyBorder="1" applyProtection="1">
      <protection locked="0"/>
    </xf>
    <xf numFmtId="0" fontId="0" fillId="8" borderId="15" xfId="0" applyFill="1" applyBorder="1" applyProtection="1">
      <protection locked="0"/>
    </xf>
    <xf numFmtId="0" fontId="4" fillId="3" borderId="1" xfId="0" applyFont="1" applyFill="1" applyBorder="1" applyAlignment="1" applyProtection="1">
      <alignment horizontal="right" vertical="center"/>
      <protection hidden="1"/>
    </xf>
    <xf numFmtId="0" fontId="4" fillId="8" borderId="1" xfId="0" applyFont="1" applyFill="1" applyBorder="1" applyAlignment="1" applyProtection="1">
      <alignment horizontal="right" vertical="center"/>
      <protection hidden="1"/>
    </xf>
    <xf numFmtId="0" fontId="4" fillId="8" borderId="14" xfId="0" applyFont="1" applyFill="1" applyBorder="1" applyAlignment="1" applyProtection="1">
      <alignment horizontal="right" vertical="center"/>
      <protection hidden="1"/>
    </xf>
    <xf numFmtId="0" fontId="11" fillId="7" borderId="0" xfId="0" applyFont="1" applyFill="1" applyAlignment="1">
      <alignment horizontal="left"/>
    </xf>
    <xf numFmtId="14" fontId="4" fillId="8" borderId="14" xfId="0" applyNumberFormat="1" applyFont="1" applyFill="1" applyBorder="1" applyProtection="1">
      <protection hidden="1"/>
    </xf>
    <xf numFmtId="0" fontId="12" fillId="0" borderId="0" xfId="0" applyFont="1" applyAlignment="1">
      <alignment vertical="center" wrapText="1"/>
    </xf>
    <xf numFmtId="0" fontId="13" fillId="11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2" fontId="9" fillId="8" borderId="28" xfId="0" applyNumberFormat="1" applyFont="1" applyFill="1" applyBorder="1"/>
    <xf numFmtId="0" fontId="9" fillId="7" borderId="5" xfId="0" applyFont="1" applyFill="1" applyBorder="1"/>
    <xf numFmtId="14" fontId="1" fillId="7" borderId="19" xfId="3" applyNumberFormat="1" applyFont="1" applyFill="1" applyBorder="1" applyAlignment="1">
      <alignment horizontal="left"/>
    </xf>
    <xf numFmtId="2" fontId="9" fillId="7" borderId="29" xfId="0" applyNumberFormat="1" applyFont="1" applyFill="1" applyBorder="1"/>
    <xf numFmtId="165" fontId="1" fillId="7" borderId="18" xfId="3" applyNumberFormat="1" applyFont="1" applyFill="1" applyBorder="1"/>
    <xf numFmtId="165" fontId="1" fillId="7" borderId="30" xfId="3" applyNumberFormat="1" applyFont="1" applyFill="1" applyBorder="1"/>
    <xf numFmtId="14" fontId="1" fillId="7" borderId="21" xfId="3" applyNumberFormat="1" applyFont="1" applyFill="1" applyBorder="1" applyAlignment="1">
      <alignment horizontal="left"/>
    </xf>
    <xf numFmtId="2" fontId="9" fillId="7" borderId="31" xfId="0" applyNumberFormat="1" applyFont="1" applyFill="1" applyBorder="1"/>
    <xf numFmtId="165" fontId="5" fillId="7" borderId="30" xfId="3" applyNumberFormat="1" applyFont="1" applyFill="1" applyBorder="1"/>
    <xf numFmtId="165" fontId="1" fillId="8" borderId="18" xfId="3" applyNumberFormat="1" applyFont="1" applyFill="1" applyBorder="1"/>
    <xf numFmtId="14" fontId="1" fillId="8" borderId="19" xfId="3" applyNumberFormat="1" applyFont="1" applyFill="1" applyBorder="1" applyAlignment="1">
      <alignment horizontal="left"/>
    </xf>
    <xf numFmtId="2" fontId="9" fillId="8" borderId="29" xfId="0" applyNumberFormat="1" applyFont="1" applyFill="1" applyBorder="1"/>
    <xf numFmtId="14" fontId="1" fillId="8" borderId="21" xfId="3" applyNumberFormat="1" applyFont="1" applyFill="1" applyBorder="1" applyAlignment="1">
      <alignment horizontal="left"/>
    </xf>
    <xf numFmtId="2" fontId="9" fillId="8" borderId="31" xfId="0" applyNumberFormat="1" applyFont="1" applyFill="1" applyBorder="1"/>
    <xf numFmtId="164" fontId="0" fillId="8" borderId="20" xfId="0" applyNumberFormat="1" applyFill="1" applyBorder="1" applyAlignment="1">
      <alignment horizontal="left" vertical="top"/>
    </xf>
    <xf numFmtId="165" fontId="10" fillId="8" borderId="30" xfId="3" applyNumberFormat="1" applyFont="1" applyFill="1" applyBorder="1"/>
    <xf numFmtId="165" fontId="10" fillId="8" borderId="20" xfId="3" applyNumberFormat="1" applyFont="1" applyFill="1" applyBorder="1"/>
    <xf numFmtId="165" fontId="1" fillId="8" borderId="0" xfId="3" applyNumberFormat="1" applyFont="1" applyFill="1" applyBorder="1"/>
    <xf numFmtId="165" fontId="5" fillId="7" borderId="26" xfId="3" applyNumberFormat="1" applyFont="1" applyFill="1" applyBorder="1" applyAlignment="1">
      <alignment vertical="center"/>
    </xf>
    <xf numFmtId="164" fontId="0" fillId="7" borderId="26" xfId="0" applyNumberFormat="1" applyFill="1" applyBorder="1" applyAlignment="1">
      <alignment horizontal="left" vertical="top"/>
    </xf>
    <xf numFmtId="0" fontId="0" fillId="0" borderId="32" xfId="0" applyBorder="1"/>
    <xf numFmtId="165" fontId="5" fillId="7" borderId="33" xfId="3" applyNumberFormat="1" applyFont="1" applyFill="1" applyBorder="1"/>
    <xf numFmtId="0" fontId="5" fillId="0" borderId="32" xfId="0" applyFont="1" applyBorder="1"/>
    <xf numFmtId="165" fontId="1" fillId="7" borderId="34" xfId="3" applyNumberFormat="1" applyFont="1" applyFill="1" applyBorder="1"/>
    <xf numFmtId="0" fontId="5" fillId="0" borderId="35" xfId="0" applyFont="1" applyBorder="1"/>
    <xf numFmtId="165" fontId="1" fillId="8" borderId="32" xfId="3" applyNumberFormat="1" applyFont="1" applyFill="1" applyBorder="1"/>
    <xf numFmtId="165" fontId="10" fillId="8" borderId="33" xfId="3" applyNumberFormat="1" applyFont="1" applyFill="1" applyBorder="1"/>
    <xf numFmtId="0" fontId="10" fillId="8" borderId="32" xfId="0" applyFont="1" applyFill="1" applyBorder="1"/>
    <xf numFmtId="165" fontId="1" fillId="8" borderId="34" xfId="3" applyNumberFormat="1" applyFont="1" applyFill="1" applyBorder="1"/>
    <xf numFmtId="0" fontId="0" fillId="5" borderId="36" xfId="0" applyFill="1" applyBorder="1" applyAlignment="1">
      <alignment horizontal="left"/>
    </xf>
    <xf numFmtId="0" fontId="0" fillId="5" borderId="37" xfId="0" applyFill="1" applyBorder="1"/>
    <xf numFmtId="2" fontId="4" fillId="5" borderId="38" xfId="0" applyNumberFormat="1" applyFont="1" applyFill="1" applyBorder="1"/>
    <xf numFmtId="0" fontId="4" fillId="5" borderId="37" xfId="0" applyFont="1" applyFill="1" applyBorder="1"/>
    <xf numFmtId="165" fontId="1" fillId="7" borderId="32" xfId="3" applyNumberFormat="1" applyFont="1" applyFill="1" applyBorder="1"/>
    <xf numFmtId="165" fontId="1" fillId="7" borderId="0" xfId="3" applyNumberFormat="1" applyFont="1" applyFill="1" applyBorder="1"/>
    <xf numFmtId="2" fontId="9" fillId="7" borderId="28" xfId="0" applyNumberFormat="1" applyFont="1" applyFill="1" applyBorder="1"/>
    <xf numFmtId="0" fontId="10" fillId="8" borderId="35" xfId="0" applyFont="1" applyFill="1" applyBorder="1"/>
    <xf numFmtId="165" fontId="10" fillId="8" borderId="26" xfId="3" applyNumberFormat="1" applyFont="1" applyFill="1" applyBorder="1" applyAlignment="1">
      <alignment vertical="center"/>
    </xf>
    <xf numFmtId="165" fontId="10" fillId="8" borderId="26" xfId="3" applyNumberFormat="1" applyFont="1" applyFill="1" applyBorder="1"/>
    <xf numFmtId="164" fontId="0" fillId="8" borderId="26" xfId="0" applyNumberFormat="1" applyFill="1" applyBorder="1" applyAlignment="1">
      <alignment horizontal="left" vertical="top"/>
    </xf>
    <xf numFmtId="2" fontId="9" fillId="8" borderId="27" xfId="0" applyNumberFormat="1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7" borderId="7" xfId="2" applyFont="1" applyFill="1" applyBorder="1" applyAlignment="1">
      <alignment horizontal="left"/>
    </xf>
    <xf numFmtId="0" fontId="3" fillId="7" borderId="8" xfId="2" applyFont="1" applyFill="1" applyBorder="1" applyAlignment="1">
      <alignment horizontal="left"/>
    </xf>
    <xf numFmtId="0" fontId="3" fillId="7" borderId="9" xfId="2" applyFont="1" applyFill="1" applyBorder="1" applyAlignment="1">
      <alignment horizontal="left"/>
    </xf>
    <xf numFmtId="0" fontId="3" fillId="7" borderId="2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3" fillId="7" borderId="4" xfId="2" applyFont="1" applyFill="1" applyBorder="1" applyAlignment="1">
      <alignment horizontal="left"/>
    </xf>
  </cellXfs>
  <cellStyles count="4">
    <cellStyle name="Comma" xfId="3" builtinId="3"/>
    <cellStyle name="Neutral" xfId="2" builtinId="28"/>
    <cellStyle name="Normal" xfId="0" builtinId="0"/>
    <cellStyle name="Percent" xfId="1" builtinId="5"/>
  </cellStyles>
  <dxfs count="574"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double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85725</xdr:rowOff>
    </xdr:from>
    <xdr:to>
      <xdr:col>2</xdr:col>
      <xdr:colOff>2190289</xdr:colOff>
      <xdr:row>4</xdr:row>
      <xdr:rowOff>95067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1DA8F-D776-4FEA-A308-640739AA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90790" cy="735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238125</xdr:rowOff>
    </xdr:from>
    <xdr:to>
      <xdr:col>16</xdr:col>
      <xdr:colOff>15360</xdr:colOff>
      <xdr:row>19</xdr:row>
      <xdr:rowOff>73710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2ADE52-106C-4E0F-AA50-BD4939F7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5240" y="238125"/>
          <a:ext cx="14287620" cy="467428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sasoffice365.sharepoint.com/sites/ABNAmroProjectTeam-ABNProjectManagementOffice/Shared%20Documents/ABN%20Project%20Management%20Office/03%20Program%20Forecast%20(P.%20Controlling)/01%202022%20-%20Planning%20files/WKSAS%20FRAAI%20Timesheet%20IvG%20v20220223.xlsx?CBDE2967" TargetMode="External"/><Relationship Id="rId1" Type="http://schemas.openxmlformats.org/officeDocument/2006/relationships/externalLinkPath" Target="file:///\\CBDE2967\WKSAS%20FRAAI%20Timesheet%20IvG%20v202202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Hours Report ABN"/>
      <sheetName val="Project Definitions"/>
      <sheetName val="Actual Time Sum 2"/>
      <sheetName val="Actual Time Sum"/>
      <sheetName val="Data for IvGPiv"/>
      <sheetName val="Weekly Hours ABN vOLD"/>
      <sheetName val="2 Pivot Weekly"/>
      <sheetName val="3 Weekly PRJ Order, 100%WS"/>
      <sheetName val="Scenario Planner (jan)"/>
      <sheetName val="Weekly hours Overview Implement"/>
      <sheetName val="Piv Total Days (jan)"/>
      <sheetName val="Scenario Planner Revenue(jan))"/>
      <sheetName val="Piv Total Revenue (jan)"/>
      <sheetName val="Piv Total Revenue (jan detail)"/>
      <sheetName val="Jan Actual"/>
      <sheetName val="REP18.02"/>
      <sheetName val="Plan V Actual"/>
      <sheetName val="S.Plan Forecast"/>
      <sheetName val="Feedback"/>
      <sheetName val="Maandrapportage"/>
      <sheetName val="Sheet2"/>
      <sheetName val="Techni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BE8B-5E0C-44D0-A79A-87AFB9519373}" name="WorkSplit" displayName="WorkSplit" ref="A1:AE51" totalsRowShown="0" dataDxfId="87" dataCellStyle="Percent">
  <autoFilter ref="A1:AE51" xr:uid="{09BD7BD8-4822-49E9-A5B0-8E5B13A43522}"/>
  <tableColumns count="31">
    <tableColumn id="1" xr3:uid="{6A8600F5-C498-4F82-9ABD-B1B588817B8F}" name="Resource"/>
    <tableColumn id="2" xr3:uid="{ABC80F1E-0838-42B4-B07B-99BBDA8A48B4}" name="Work Stream"/>
    <tableColumn id="3" xr3:uid="{921AF2A2-9B6D-4DEF-AE69-D0A811882FAA}" name="Resource Work Stream">
      <calculatedColumnFormula>_xlfn.CONCAT(A2," ",B2)</calculatedColumnFormula>
    </tableColumn>
    <tableColumn id="4" xr3:uid="{F15D86CE-3AC4-4000-ABD1-7DEF3C2E1DE9}" name="Allocation" dataDxfId="86" dataCellStyle="Percent"/>
    <tableColumn id="5" xr3:uid="{0A0500EE-5A79-433D-AF82-0B2D74D371A6}" name="P1 - AAHG Additional 2022" dataDxfId="85" dataCellStyle="Percent"/>
    <tableColumn id="14" xr3:uid="{DA2459DD-42C7-4803-83CD-E3DF3D8000E7}" name="P1 - Alfam FP (CTM Part)" dataDxfId="84" dataCellStyle="Percent"/>
    <tableColumn id="15" xr3:uid="{EDB56892-B697-4923-A13B-C17440B9E5BE}" name="P1 - Alfam FP" dataDxfId="83" dataCellStyle="Percent"/>
    <tableColumn id="36" xr3:uid="{2EB05721-BC8C-4D14-ABA4-1442D808F86F}" name="P1 - Alfam TM" dataDxfId="82" dataCellStyle="Percent"/>
    <tableColumn id="37" xr3:uid="{2051A038-F883-46B8-9688-057F4BF838AF}" name="P4 - Azure" dataDxfId="81" dataCellStyle="Percent"/>
    <tableColumn id="38" xr3:uid="{4ACDBA2D-83CB-4A8A-922C-720F357DEB77}" name="P4 - Basel IV" dataDxfId="80" dataCellStyle="Percent"/>
    <tableColumn id="39" xr3:uid="{CDD9748B-ACEB-4337-9A48-F30C222A5B6E}" name="DRP FP" dataDxfId="79" dataCellStyle="Percent"/>
    <tableColumn id="40" xr3:uid="{9BDCBAAE-B213-47DB-AB10-C97A7BD10C69}" name="Exchange Layer FP" dataDxfId="78" dataCellStyle="Percent"/>
    <tableColumn id="42" xr3:uid="{F99BE2F1-FAE0-4A8C-8F97-A2A242035C07}" name="P1 - Proofing Points" dataDxfId="77" dataCellStyle="Percent"/>
    <tableColumn id="41" xr3:uid="{5672D7D3-20C9-4E51-AD2C-57EB5FA696CA}" name="Support HE" dataDxfId="76" dataCellStyle="Percent"/>
    <tableColumn id="6" xr3:uid="{F4B2C91C-7D53-4BC9-84C2-35A0D4EC83C1}" name="Risk Services" dataDxfId="75" dataCellStyle="Percent"/>
    <tableColumn id="7" xr3:uid="{6C24835C-2BD0-420A-912A-F31EA5DA579A}" name="P1 AAHG 2022 Remediation" dataDxfId="74" dataCellStyle="Percent"/>
    <tableColumn id="8" xr3:uid="{5F654C05-F660-476A-AE46-94213CD347FC}" name="Support (Infra., Release, Deployment)" dataDxfId="73" dataCellStyle="Percent"/>
    <tableColumn id="43" xr3:uid="{87BB543D-6ADD-42A3-9809-6C8291333456}" name="Worstream 2" dataDxfId="72" dataCellStyle="Percent"/>
    <tableColumn id="9" xr3:uid="{D1A2A88B-AA63-45D3-AE72-CF1047B99B91}" name="P1 - AAHG Additional 20222" dataDxfId="71" dataCellStyle="Percent"/>
    <tableColumn id="10" xr3:uid="{29AFF060-1BC4-45BC-A1AC-E3B81D549F81}" name="P1 - Alfam FP (CTM Part)3" dataDxfId="70" dataCellStyle="Percent"/>
    <tableColumn id="11" xr3:uid="{E3AE6D88-9CF6-4601-8041-AFDB08AA1D95}" name="P1 - Alfam FP4" dataDxfId="69" dataCellStyle="Percent"/>
    <tableColumn id="12" xr3:uid="{9AAA38E7-158D-47C6-B5FD-E5185F0390D7}" name="P1 - Alfam TM5" dataDxfId="68" dataCellStyle="Percent"/>
    <tableColumn id="13" xr3:uid="{D292ABF5-5365-495F-87DF-C9B5F16EFF38}" name="P4 - Azure6" dataDxfId="67" dataCellStyle="Percent"/>
    <tableColumn id="16" xr3:uid="{39FC17D7-BDB2-472E-AB44-7EC5E4EAF809}" name="P4 - Basel IV7" dataDxfId="66" dataCellStyle="Percent"/>
    <tableColumn id="17" xr3:uid="{8574C0CC-2D96-40C0-8A7F-7665243F0F57}" name="DRP FP8" dataDxfId="65" dataCellStyle="Percent"/>
    <tableColumn id="18" xr3:uid="{8BE79E50-B110-42D6-B86D-C5A95FC78160}" name="Exchange Layer FP9" dataDxfId="64" dataCellStyle="Percent"/>
    <tableColumn id="19" xr3:uid="{65AE85DF-B66C-4F99-87DE-D5BE487DEEB2}" name="P1 - Proofing Points10" dataDxfId="63" dataCellStyle="Percent"/>
    <tableColumn id="20" xr3:uid="{72E5E503-CEC4-4D6F-8F81-10F759E96F9D}" name="Support HE11" dataDxfId="62" dataCellStyle="Percent"/>
    <tableColumn id="21" xr3:uid="{EB4507DC-FB58-4D53-AE1E-C76D9B7489C3}" name="Risk Services12" dataDxfId="61" dataCellStyle="Percent"/>
    <tableColumn id="22" xr3:uid="{E94011E4-07F6-4374-A312-48B46B27BEAA}" name="P1 AAHG 2022 Remediation13" dataDxfId="60" dataCellStyle="Percent"/>
    <tableColumn id="23" xr3:uid="{A01F29CD-69FF-4ED7-A294-B2FA61A551B3}" name="Support (Infra., Release, Deployment)14" dataDxfId="59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F9277-E5BE-495A-95DF-4D48A8238F0B}" name="Workstream" displayName="Workstream" ref="AG1:AG19" totalsRowShown="0">
  <autoFilter ref="AG1:AG19" xr:uid="{73EF8297-B97B-40B6-B968-C9D5131F364C}"/>
  <tableColumns count="1">
    <tableColumn id="1" xr3:uid="{55C1E891-C245-454A-9636-E13A815DF432}" name="Workstrea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1CD57-D5D3-4E0D-8E3E-FA765AE03BFC}" name="Project_Replicon" displayName="Project_Replicon" ref="AI1:AL16" totalsRowShown="0">
  <autoFilter ref="AI1:AL16" xr:uid="{5A45CD5F-CE3A-4AE2-94B8-B4A1FDB14266}"/>
  <tableColumns count="4">
    <tableColumn id="1" xr3:uid="{D2B4F610-FAD4-4BA0-B695-D2E175A5BFDF}" name="Project"/>
    <tableColumn id="2" xr3:uid="{4277CDA6-C994-4FA7-81E0-18FC0FF33124}" name="Replicon Line"/>
    <tableColumn id="4" xr3:uid="{37E40EC6-2B49-498F-9CD8-36C531E2CB8E}" name="Replicon Line w/code" dataDxfId="58"/>
    <tableColumn id="3" xr3:uid="{D1ECFC9C-8963-4673-AD1B-78DFE44EF31F}" name="Project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ED6B15-3E29-4D76-BEE8-6AA74D747F78}" name="WeekNo" displayName="WeekNo" ref="AN1:AN54" totalsRowShown="0">
  <autoFilter ref="AN1:AN54" xr:uid="{DD79F7A3-9CEA-49B2-92A3-F5FEC408D8FC}"/>
  <tableColumns count="1">
    <tableColumn id="1" xr3:uid="{671409E5-C2E7-4D58-B5FA-688C24061B11}" name="WeekNo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B07702-2FD2-4772-A6B3-74B22BF06E7E}" name="WeekRef" displayName="WeekRef" ref="AU1:CU10" totalsRowShown="0" headerRowDxfId="57" dataDxfId="55" headerRowBorderDxfId="56" tableBorderDxfId="54" totalsRowBorderDxfId="53">
  <autoFilter ref="AU1:CU10" xr:uid="{941FE1A4-C0FA-4BDE-9BA0-67C6868D5223}"/>
  <tableColumns count="53">
    <tableColumn id="1" xr3:uid="{84D716E5-DACC-4395-8FFA-6ECEC225C411}" name="Week 1" dataDxfId="52">
      <calculatedColumnFormula>AU1+1</calculatedColumnFormula>
    </tableColumn>
    <tableColumn id="2" xr3:uid="{8FBF2769-D852-4861-B540-F0249BA0F4AD}" name="Week 2" dataDxfId="51">
      <calculatedColumnFormula>AV1+1</calculatedColumnFormula>
    </tableColumn>
    <tableColumn id="3" xr3:uid="{7F2EE0B4-88EE-48E8-A965-11A5AFE08E26}" name="Week 3" dataDxfId="50">
      <calculatedColumnFormula>AW1+1</calculatedColumnFormula>
    </tableColumn>
    <tableColumn id="4" xr3:uid="{636461F1-88B4-49FD-AE8F-34EBB58C7580}" name="Week 4" dataDxfId="49">
      <calculatedColumnFormula>AX1+1</calculatedColumnFormula>
    </tableColumn>
    <tableColumn id="5" xr3:uid="{13C57B31-2160-4F82-AE4A-4A8586C7089C}" name="Week 5" dataDxfId="48">
      <calculatedColumnFormula>AY1+1</calculatedColumnFormula>
    </tableColumn>
    <tableColumn id="6" xr3:uid="{B85A9A75-3B3E-4151-9EA5-8CD570D724E4}" name="Week 6" dataDxfId="47">
      <calculatedColumnFormula>AZ1+1</calculatedColumnFormula>
    </tableColumn>
    <tableColumn id="7" xr3:uid="{DB79D7F5-FFB1-45C2-A07E-07EC364DCB48}" name="Week 7" dataDxfId="46">
      <calculatedColumnFormula>BA1+1</calculatedColumnFormula>
    </tableColumn>
    <tableColumn id="8" xr3:uid="{3659CBAE-9E37-4FBD-A9A2-9A95F6CED985}" name="Week 8" dataDxfId="45">
      <calculatedColumnFormula>BB1+1</calculatedColumnFormula>
    </tableColumn>
    <tableColumn id="9" xr3:uid="{7A7502FE-6748-406A-A6FA-C5CE2EEC80EE}" name="Week 9" dataDxfId="44">
      <calculatedColumnFormula>BC1+1</calculatedColumnFormula>
    </tableColumn>
    <tableColumn id="10" xr3:uid="{B36F1D71-C6CA-4F60-AE7B-C180E84CCA00}" name="Week 10" dataDxfId="43">
      <calculatedColumnFormula>BD1+1</calculatedColumnFormula>
    </tableColumn>
    <tableColumn id="11" xr3:uid="{F16DCFB7-A4B6-4AA4-98B6-8B5C820137B8}" name="Week 11" dataDxfId="42">
      <calculatedColumnFormula>BE1+1</calculatedColumnFormula>
    </tableColumn>
    <tableColumn id="12" xr3:uid="{58195029-BA99-46D8-95BE-83F43A8358D1}" name="Week 12" dataDxfId="41">
      <calculatedColumnFormula>BF1+1</calculatedColumnFormula>
    </tableColumn>
    <tableColumn id="13" xr3:uid="{AB618D71-4703-4D25-A9E4-BC75C2982DB5}" name="Week 13" dataDxfId="40">
      <calculatedColumnFormula>BG1+1</calculatedColumnFormula>
    </tableColumn>
    <tableColumn id="14" xr3:uid="{34D6A7FB-7406-411C-A23B-874B246FF046}" name="Week 14" dataDxfId="39">
      <calculatedColumnFormula>BH1+1</calculatedColumnFormula>
    </tableColumn>
    <tableColumn id="15" xr3:uid="{3E02E0F3-E07B-4680-8009-71FE3EEE3889}" name="Week 15" dataDxfId="38">
      <calculatedColumnFormula>BI1+1</calculatedColumnFormula>
    </tableColumn>
    <tableColumn id="16" xr3:uid="{34E3402C-E4A1-4ECE-9E02-8296C61EF449}" name="Week 16" dataDxfId="37">
      <calculatedColumnFormula>BJ1+1</calculatedColumnFormula>
    </tableColumn>
    <tableColumn id="17" xr3:uid="{C3B901C7-7C47-4DA3-8F8C-1BA4E3E3168C}" name="Week 17" dataDxfId="36">
      <calculatedColumnFormula>BK1+1</calculatedColumnFormula>
    </tableColumn>
    <tableColumn id="18" xr3:uid="{9F666BB5-57DC-449D-A8BE-7D86D65C581D}" name="Week 18" dataDxfId="35">
      <calculatedColumnFormula>BL1+1</calculatedColumnFormula>
    </tableColumn>
    <tableColumn id="19" xr3:uid="{12DCA219-CB05-4EF5-A01D-3ABB0A5CF105}" name="Week 19" dataDxfId="34">
      <calculatedColumnFormula>BM1+1</calculatedColumnFormula>
    </tableColumn>
    <tableColumn id="20" xr3:uid="{E5884E13-0E50-4C8C-BD50-121FB793D8C1}" name="Week 20" dataDxfId="33">
      <calculatedColumnFormula>BN1+1</calculatedColumnFormula>
    </tableColumn>
    <tableColumn id="21" xr3:uid="{F89BE517-798E-4E64-8D86-34D44A0DD321}" name="Week 21" dataDxfId="32">
      <calculatedColumnFormula>BO1+1</calculatedColumnFormula>
    </tableColumn>
    <tableColumn id="22" xr3:uid="{40BBE42B-F1A7-43C3-898B-EC4B7177BE41}" name="Week 22" dataDxfId="31">
      <calculatedColumnFormula>BP1+1</calculatedColumnFormula>
    </tableColumn>
    <tableColumn id="23" xr3:uid="{37CF31DA-4B32-4C73-BF8F-7EB49FA37FEE}" name="Week 23" dataDxfId="30">
      <calculatedColumnFormula>BQ1+1</calculatedColumnFormula>
    </tableColumn>
    <tableColumn id="24" xr3:uid="{77E66CCA-C467-4126-8328-B41F68C790E9}" name="Week 24" dataDxfId="29">
      <calculatedColumnFormula>BR1+1</calculatedColumnFormula>
    </tableColumn>
    <tableColumn id="25" xr3:uid="{811E138B-6229-4D96-9165-AF52A51D433D}" name="Week 25" dataDxfId="28">
      <calculatedColumnFormula>BS1+1</calculatedColumnFormula>
    </tableColumn>
    <tableColumn id="26" xr3:uid="{5D59F46D-C1D9-4D7C-A8D9-506E1CB904E7}" name="Week 26" dataDxfId="27">
      <calculatedColumnFormula>BT1+1</calculatedColumnFormula>
    </tableColumn>
    <tableColumn id="27" xr3:uid="{9BB98052-90BC-4390-A9EF-6894A5D1A58E}" name="Week 27" dataDxfId="26">
      <calculatedColumnFormula>BU1+1</calculatedColumnFormula>
    </tableColumn>
    <tableColumn id="28" xr3:uid="{B26D05A9-D6D1-445E-B338-78E63AC4CE36}" name="Week 28" dataDxfId="25">
      <calculatedColumnFormula>BV1+1</calculatedColumnFormula>
    </tableColumn>
    <tableColumn id="29" xr3:uid="{1406B003-E4BE-4FB1-9344-D8311F4666AA}" name="Week 29" dataDxfId="24">
      <calculatedColumnFormula>BW1+1</calculatedColumnFormula>
    </tableColumn>
    <tableColumn id="30" xr3:uid="{DEB5E670-DB77-4776-96CC-C23AB8DB915B}" name="Week 30" dataDxfId="23">
      <calculatedColumnFormula>BX1+1</calculatedColumnFormula>
    </tableColumn>
    <tableColumn id="31" xr3:uid="{2E892E8D-0ADA-4F3A-AAB5-C746977D5D02}" name="Week 31" dataDxfId="22">
      <calculatedColumnFormula>BY1+1</calculatedColumnFormula>
    </tableColumn>
    <tableColumn id="32" xr3:uid="{67D022F7-70B2-40AD-A6A8-F5FB924DCE70}" name="Week 32" dataDxfId="21">
      <calculatedColumnFormula>BZ1+1</calculatedColumnFormula>
    </tableColumn>
    <tableColumn id="33" xr3:uid="{244F8DF6-178B-4E3C-8B52-E0FD18E9D7A2}" name="Week 33" dataDxfId="20">
      <calculatedColumnFormula>CA1+1</calculatedColumnFormula>
    </tableColumn>
    <tableColumn id="34" xr3:uid="{C2179339-BDAD-4FBF-AA88-99ADC442FB69}" name="Week 34" dataDxfId="19">
      <calculatedColumnFormula>CB1+1</calculatedColumnFormula>
    </tableColumn>
    <tableColumn id="35" xr3:uid="{4F68F48B-5D14-4357-B7E4-38FAB6BB4E57}" name="Week 35" dataDxfId="18">
      <calculatedColumnFormula>CC1+1</calculatedColumnFormula>
    </tableColumn>
    <tableColumn id="36" xr3:uid="{B0658760-3F04-4FFC-9D27-7F36FCCEF3F3}" name="Week 36" dataDxfId="17">
      <calculatedColumnFormula>CD1+1</calculatedColumnFormula>
    </tableColumn>
    <tableColumn id="37" xr3:uid="{656D8B3C-5BC4-45AF-A86D-28DE212922AA}" name="Week 37" dataDxfId="16">
      <calculatedColumnFormula>CE1+1</calculatedColumnFormula>
    </tableColumn>
    <tableColumn id="38" xr3:uid="{B03A6FA0-4C30-4040-B0CF-137C038B0248}" name="Week 38" dataDxfId="15">
      <calculatedColumnFormula>CF1+1</calculatedColumnFormula>
    </tableColumn>
    <tableColumn id="39" xr3:uid="{9446300C-B98C-487F-BD49-8AA7BD23BC4B}" name="Week 39" dataDxfId="14">
      <calculatedColumnFormula>CG1+1</calculatedColumnFormula>
    </tableColumn>
    <tableColumn id="40" xr3:uid="{B48FC509-8397-4AB1-A284-0AA8E5E0DB4A}" name="Week 40" dataDxfId="13">
      <calculatedColumnFormula>CH1+1</calculatedColumnFormula>
    </tableColumn>
    <tableColumn id="41" xr3:uid="{06C6B102-8E1D-41DC-814D-49438C634D39}" name="Week 41" dataDxfId="12">
      <calculatedColumnFormula>CI1+1</calculatedColumnFormula>
    </tableColumn>
    <tableColumn id="42" xr3:uid="{A2F620E2-9573-4396-ACED-412E95AC5B5F}" name="Week 42" dataDxfId="11">
      <calculatedColumnFormula>CJ1+1</calculatedColumnFormula>
    </tableColumn>
    <tableColumn id="43" xr3:uid="{29FC5A5B-1734-4D6F-BF38-A4A8CAD41AA7}" name="Week 43" dataDxfId="10">
      <calculatedColumnFormula>CK1+1</calculatedColumnFormula>
    </tableColumn>
    <tableColumn id="44" xr3:uid="{EB0A91D0-279A-450E-97E6-D96FB336C176}" name="Week 44" dataDxfId="9">
      <calculatedColumnFormula>CL1+1</calculatedColumnFormula>
    </tableColumn>
    <tableColumn id="45" xr3:uid="{A32F36C0-3F62-4D1E-926C-C16333D8D599}" name="Week 45" dataDxfId="8">
      <calculatedColumnFormula>CM1+1</calculatedColumnFormula>
    </tableColumn>
    <tableColumn id="46" xr3:uid="{1915FDE6-850F-4E33-BAE1-EA382F86FED3}" name="Week 46" dataDxfId="7">
      <calculatedColumnFormula>CN1+1</calculatedColumnFormula>
    </tableColumn>
    <tableColumn id="47" xr3:uid="{E52B9356-4105-4C3C-B837-2D685CE054F4}" name="Week 47" dataDxfId="6">
      <calculatedColumnFormula>CO1+1</calculatedColumnFormula>
    </tableColumn>
    <tableColumn id="48" xr3:uid="{6445A4E0-687B-441C-BCE1-5F6084687895}" name="Week 48" dataDxfId="5">
      <calculatedColumnFormula>CP1+1</calculatedColumnFormula>
    </tableColumn>
    <tableColumn id="49" xr3:uid="{6C20C6E5-D435-4138-B182-4328AFEC4A38}" name="Week 49" dataDxfId="4">
      <calculatedColumnFormula>CQ1+1</calculatedColumnFormula>
    </tableColumn>
    <tableColumn id="50" xr3:uid="{D9B9208A-1B83-4CDF-BC86-312E1E2B6282}" name="Week 50" dataDxfId="3">
      <calculatedColumnFormula>CR1+1</calculatedColumnFormula>
    </tableColumn>
    <tableColumn id="51" xr3:uid="{C3D3B4A1-D278-45F6-BEFB-3A0092EAFFCE}" name="Week 51" dataDxfId="2">
      <calculatedColumnFormula>CS1+1</calculatedColumnFormula>
    </tableColumn>
    <tableColumn id="52" xr3:uid="{2BCD0FC2-4908-4833-92DC-3AA3EF5AD933}" name="Week 52" dataDxfId="1">
      <calculatedColumnFormula>CT1+1</calculatedColumnFormula>
    </tableColumn>
    <tableColumn id="53" xr3:uid="{5BAABE90-32E7-4D96-86CD-853FDA4DEB5C}" name="Week 53" dataDxfId="0">
      <calculatedColumnFormula>CU1+1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64DD9-19F6-4B30-943C-3845DECC3A9D}" name="WorkstreamNo" displayName="WorkstreamNo" ref="CW1:CW4" totalsRowShown="0">
  <autoFilter ref="CW1:CW4" xr:uid="{7628D214-3130-430B-A857-48EB368FAACD}"/>
  <tableColumns count="1">
    <tableColumn id="1" xr3:uid="{24769CC0-8BB8-4DF0-A708-8EE60AF24928}" name="Workstream no.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F036E2-0EA9-40F5-B750-DECCCFBF3FB5}" name="Name7" displayName="Name7" ref="AP1:AS22" totalsRowShown="0">
  <autoFilter ref="AP1:AS22" xr:uid="{3EF036E2-0EA9-40F5-B750-DECCCFBF3FB5}"/>
  <tableColumns count="4">
    <tableColumn id="1" xr3:uid="{181D71CE-A03A-4A69-99D6-F2B471265D10}" name="Consultant"/>
    <tableColumn id="2" xr3:uid="{991DE49E-903B-42B9-8A3A-94C3864CA1FE}" name="USER ID"/>
    <tableColumn id="3" xr3:uid="{8CDCB585-1250-4C73-8779-F5E6DCD6CE19}" name="EMPTYPE"/>
    <tableColumn id="4" xr3:uid="{EA856F91-E959-4901-8412-EA67D049B91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D81F-BC9F-4A9E-AF5C-452BFB3C44CC}">
  <sheetPr>
    <tabColor theme="9" tint="0.79998168889431442"/>
  </sheetPr>
  <dimension ref="A1:W323"/>
  <sheetViews>
    <sheetView tabSelected="1" topLeftCell="D1" zoomScaleNormal="100" workbookViewId="0">
      <selection activeCell="I14" sqref="I14"/>
    </sheetView>
  </sheetViews>
  <sheetFormatPr defaultColWidth="5.453125" defaultRowHeight="14.5" outlineLevelRow="1" x14ac:dyDescent="0.35"/>
  <cols>
    <col min="1" max="1" width="89.1796875" hidden="1" customWidth="1"/>
    <col min="2" max="2" width="3.81640625" customWidth="1"/>
    <col min="3" max="3" width="47.1796875" customWidth="1"/>
    <col min="4" max="4" width="27.453125" customWidth="1"/>
    <col min="5" max="5" width="53.26953125" bestFit="1" customWidth="1"/>
    <col min="6" max="13" width="17.54296875" customWidth="1"/>
  </cols>
  <sheetData>
    <row r="1" spans="1:23" ht="14.5" customHeight="1" x14ac:dyDescent="0.35">
      <c r="B1" s="106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5" customHeight="1" x14ac:dyDescent="0.35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.5" customHeight="1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.5" customHeight="1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.5" customHeight="1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7.75" customHeigh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.5" customHeight="1" thickBot="1" x14ac:dyDescent="0.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.5" customHeight="1" x14ac:dyDescent="0.35">
      <c r="B8" s="7"/>
      <c r="C8" s="31" t="s">
        <v>1</v>
      </c>
      <c r="D8" s="47" t="s">
        <v>173</v>
      </c>
      <c r="E8" s="49" t="e">
        <f>VLOOKUP(D8,#REF!,4,FALSE)</f>
        <v>#REF!</v>
      </c>
      <c r="F8" s="8"/>
      <c r="G8" s="8"/>
      <c r="H8" s="8"/>
      <c r="I8" s="8"/>
      <c r="J8" s="8"/>
      <c r="K8" s="8"/>
      <c r="L8" s="8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4.5" customHeight="1" x14ac:dyDescent="0.35">
      <c r="B9" s="7"/>
      <c r="C9" s="32" t="s">
        <v>3</v>
      </c>
      <c r="D9" s="21">
        <v>2022</v>
      </c>
      <c r="E9" s="8"/>
      <c r="F9" s="8"/>
      <c r="G9" s="8"/>
      <c r="H9" s="8"/>
      <c r="I9" s="8"/>
      <c r="J9" s="8"/>
      <c r="K9" s="8"/>
      <c r="L9" s="8"/>
      <c r="M9" s="9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5" customHeight="1" thickBot="1" x14ac:dyDescent="0.4">
      <c r="B10" s="7"/>
      <c r="C10" s="33" t="s">
        <v>4</v>
      </c>
      <c r="D10" s="48">
        <v>21</v>
      </c>
      <c r="E10" s="8"/>
      <c r="F10" s="8"/>
      <c r="G10" s="8"/>
      <c r="H10" s="8"/>
      <c r="I10" s="8"/>
      <c r="J10" s="8"/>
      <c r="K10" s="57" t="s">
        <v>5</v>
      </c>
      <c r="L10" s="57"/>
      <c r="M10" s="9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x14ac:dyDescent="0.35">
      <c r="B11" s="12"/>
      <c r="C11" s="115" t="str" cm="1">
        <f t="array" ref="C11">_xlfn.IFNA(_xlfn.IFS(G298&gt;40,"Please Ensure that any additional hours are approved by your PMO",K13&gt;0,"Please ensure your PMO has approved weekend work",L13&gt;0,"Please ensure your PMO has approved weekend work"),"")</f>
        <v/>
      </c>
      <c r="D11" s="116"/>
      <c r="E11" s="117"/>
      <c r="F11" s="40" t="s">
        <v>6</v>
      </c>
      <c r="G11" s="40" t="s">
        <v>7</v>
      </c>
      <c r="H11" s="40" t="s">
        <v>8</v>
      </c>
      <c r="I11" s="40" t="s">
        <v>9</v>
      </c>
      <c r="J11" s="40" t="s">
        <v>10</v>
      </c>
      <c r="K11" s="40" t="s">
        <v>11</v>
      </c>
      <c r="L11" s="41" t="s">
        <v>12</v>
      </c>
      <c r="M11" s="13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" thickBot="1" x14ac:dyDescent="0.4">
      <c r="B12" s="12"/>
      <c r="C12" s="112" t="str" cm="1">
        <f t="array" ref="C12">_xlfn.IFS(F13&gt;8,"Please Ensure that any additional hours are approved by your PMO",G13&gt;8,"Please Ensure that any additional hours are approved by your PMO",H13&gt;8,"Please Ensure that any additional hours are approved by your PMO",I13&gt;8,"Please Ensure that any additional hours are approved by your PMO",J13&gt;8,"Please Ensure that any additional hours are approved by your PMO",F13&lt;=8,"",G13&lt;=8,"",H13&lt;=8,"",I13&lt;=8,"",J13&lt;=8,"",K13&gt;0,"Please ensure your PMO has approved weekend work",L13&gt;0,"Please ensure your PMO has approved weekend work")</f>
        <v/>
      </c>
      <c r="D12" s="113"/>
      <c r="E12" s="114"/>
      <c r="F12" s="42">
        <f>IFERROR(HLOOKUP($D$10,ReferenceTables!$AU$3:$CU$10,2,FALSE),"")</f>
        <v>44704</v>
      </c>
      <c r="G12" s="42">
        <f>IFERROR(HLOOKUP($D$10,ReferenceTables!$AU$3:$CU$10,3,FALSE),"")</f>
        <v>44705</v>
      </c>
      <c r="H12" s="42">
        <f>IFERROR(HLOOKUP($D$10,ReferenceTables!$AU$3:$CU$10,4,FALSE),"")</f>
        <v>44706</v>
      </c>
      <c r="I12" s="42">
        <f>IFERROR(HLOOKUP($D$10,ReferenceTables!$AU$3:$CU$10,5,FALSE),"")</f>
        <v>44707</v>
      </c>
      <c r="J12" s="42">
        <f>IFERROR(HLOOKUP($D$10,ReferenceTables!$AU$3:$CU$10,6,FALSE),"")</f>
        <v>44708</v>
      </c>
      <c r="K12" s="42">
        <f>IFERROR(HLOOKUP($D$10,ReferenceTables!$AU$3:$CU$10,7,FALSE),"")</f>
        <v>44709</v>
      </c>
      <c r="L12" s="58">
        <f>IFERROR(HLOOKUP($D$10,ReferenceTables!$AU$3:$CU$10,8,FALSE),"")</f>
        <v>44710</v>
      </c>
      <c r="M12" s="13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x14ac:dyDescent="0.35">
      <c r="B13" s="30"/>
      <c r="C13" s="29" t="s">
        <v>13</v>
      </c>
      <c r="D13" s="10" t="s">
        <v>14</v>
      </c>
      <c r="E13" s="10" t="s">
        <v>15</v>
      </c>
      <c r="F13" s="54">
        <f t="shared" ref="F13:L13" si="0">SUM(F14:F21)</f>
        <v>8</v>
      </c>
      <c r="G13" s="54">
        <f t="shared" si="0"/>
        <v>8</v>
      </c>
      <c r="H13" s="54">
        <f t="shared" si="0"/>
        <v>8</v>
      </c>
      <c r="I13" s="54">
        <f t="shared" si="0"/>
        <v>0</v>
      </c>
      <c r="J13" s="54">
        <f t="shared" si="0"/>
        <v>8</v>
      </c>
      <c r="K13" s="55">
        <f t="shared" si="0"/>
        <v>0</v>
      </c>
      <c r="L13" s="56">
        <f t="shared" si="0"/>
        <v>0</v>
      </c>
      <c r="M13" s="13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35">
      <c r="A14" t="str">
        <f t="shared" ref="A14:A21" si="1">_xlfn.CONCAT(B14,E14,D14)</f>
        <v>1ABNAMRO-0026-07 P4 - Basel IVP4 - Basel IV</v>
      </c>
      <c r="B14" s="30">
        <f>COUNTIF($E$14:E14,E14)</f>
        <v>1</v>
      </c>
      <c r="C14" s="45" t="s">
        <v>135</v>
      </c>
      <c r="D14" s="46" t="s">
        <v>46</v>
      </c>
      <c r="E14" s="39" t="str">
        <f>_xlfn.IFNA(VLOOKUP(D14,Project_Replicon[#All],3,FALSE),"")</f>
        <v>ABNAMRO-0026-07 P4 - Basel IV</v>
      </c>
      <c r="F14" s="43">
        <v>8</v>
      </c>
      <c r="G14" s="43">
        <v>8</v>
      </c>
      <c r="H14" s="43">
        <v>8</v>
      </c>
      <c r="I14" s="43">
        <v>0</v>
      </c>
      <c r="J14" s="43">
        <v>8</v>
      </c>
      <c r="K14" s="50"/>
      <c r="L14" s="51"/>
      <c r="M14" s="13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x14ac:dyDescent="0.35">
      <c r="A15" t="str">
        <f t="shared" si="1"/>
        <v>1</v>
      </c>
      <c r="B15" s="30">
        <f>COUNTIF($E$14:E15,E15)</f>
        <v>1</v>
      </c>
      <c r="C15" s="45"/>
      <c r="D15" s="46"/>
      <c r="E15" s="39" t="str">
        <f>_xlfn.IFNA(VLOOKUP(D15,Project_Replicon[#All],3,FALSE),"")</f>
        <v/>
      </c>
      <c r="F15" s="43"/>
      <c r="G15" s="43"/>
      <c r="H15" s="43"/>
      <c r="I15" s="43"/>
      <c r="J15" s="43"/>
      <c r="K15" s="50"/>
      <c r="L15" s="51"/>
      <c r="M15" s="13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35">
      <c r="A16" t="str">
        <f t="shared" si="1"/>
        <v>2</v>
      </c>
      <c r="B16" s="30">
        <f>COUNTIF($E$14:E16,E16)</f>
        <v>2</v>
      </c>
      <c r="C16" s="45"/>
      <c r="D16" s="46"/>
      <c r="E16" s="39" t="str">
        <f>_xlfn.IFNA(VLOOKUP(D16,Project_Replicon[#All],3,FALSE),"")</f>
        <v/>
      </c>
      <c r="F16" s="43"/>
      <c r="G16" s="43"/>
      <c r="H16" s="43"/>
      <c r="I16" s="43"/>
      <c r="J16" s="43"/>
      <c r="K16" s="50"/>
      <c r="L16" s="51"/>
      <c r="M16" s="13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35">
      <c r="A17" t="str">
        <f>_xlfn.CONCAT(B17,E17,D17)</f>
        <v>3</v>
      </c>
      <c r="B17" s="30">
        <f>COUNTIF($E$14:E17,E17)</f>
        <v>3</v>
      </c>
      <c r="C17" s="45"/>
      <c r="D17" s="46"/>
      <c r="E17" s="39" t="str">
        <f>_xlfn.IFNA(VLOOKUP(D17,Project_Replicon[#All],3,FALSE),"")</f>
        <v/>
      </c>
      <c r="F17" s="43"/>
      <c r="G17" s="43"/>
      <c r="H17" s="43"/>
      <c r="I17" s="43"/>
      <c r="J17" s="43"/>
      <c r="K17" s="50"/>
      <c r="L17" s="51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35">
      <c r="A18" t="str">
        <f>_xlfn.CONCAT(B18,E18,D18)</f>
        <v>4</v>
      </c>
      <c r="B18" s="30">
        <f>COUNTIF($E$14:E18,E18)</f>
        <v>4</v>
      </c>
      <c r="C18" s="45"/>
      <c r="D18" s="46"/>
      <c r="E18" s="39" t="str">
        <f>_xlfn.IFNA(VLOOKUP(D18,Project_Replicon[#All],3,FALSE),"")</f>
        <v/>
      </c>
      <c r="F18" s="43"/>
      <c r="G18" s="43"/>
      <c r="H18" s="43"/>
      <c r="I18" s="43"/>
      <c r="J18" s="43"/>
      <c r="K18" s="50"/>
      <c r="L18" s="51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35">
      <c r="A19" t="str">
        <f>_xlfn.CONCAT(B19,E19,D19)</f>
        <v>5</v>
      </c>
      <c r="B19" s="30">
        <f>COUNTIF($E$14:E19,E19)</f>
        <v>5</v>
      </c>
      <c r="C19" s="45"/>
      <c r="D19" s="46"/>
      <c r="E19" s="39" t="str">
        <f>_xlfn.IFNA(VLOOKUP(D19,Project_Replicon[#All],3,FALSE),"")</f>
        <v/>
      </c>
      <c r="F19" s="43"/>
      <c r="G19" s="43"/>
      <c r="H19" s="43"/>
      <c r="I19" s="43"/>
      <c r="J19" s="43"/>
      <c r="K19" s="50"/>
      <c r="L19" s="51"/>
      <c r="M19" s="13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35">
      <c r="A20" t="str">
        <f>_xlfn.CONCAT(B20,E20,D20)</f>
        <v>6</v>
      </c>
      <c r="B20" s="30">
        <f>COUNTIF($E$14:E20,E20)</f>
        <v>6</v>
      </c>
      <c r="C20" s="45"/>
      <c r="D20" s="46"/>
      <c r="E20" s="39" t="str">
        <f>_xlfn.IFNA(VLOOKUP(D20,Project_Replicon[#All],3,FALSE),"")</f>
        <v/>
      </c>
      <c r="F20" s="43"/>
      <c r="G20" s="43"/>
      <c r="H20" s="43"/>
      <c r="I20" s="43"/>
      <c r="J20" s="43"/>
      <c r="K20" s="50"/>
      <c r="L20" s="51"/>
      <c r="M20" s="13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" thickBot="1" x14ac:dyDescent="0.4">
      <c r="A21" t="str">
        <f t="shared" si="1"/>
        <v>7</v>
      </c>
      <c r="B21" s="30">
        <f>COUNTIF($E$14:E21,E21)</f>
        <v>7</v>
      </c>
      <c r="C21" s="45"/>
      <c r="D21" s="46"/>
      <c r="E21" s="39" t="str">
        <f>_xlfn.IFNA(VLOOKUP(D21,Project_Replicon[#All],3,FALSE),"")</f>
        <v/>
      </c>
      <c r="F21" s="44"/>
      <c r="G21" s="44"/>
      <c r="H21" s="44"/>
      <c r="I21" s="44"/>
      <c r="J21" s="44"/>
      <c r="K21" s="52"/>
      <c r="L21" s="53"/>
      <c r="M21" s="13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hidden="1" outlineLevel="1" x14ac:dyDescent="0.35">
      <c r="B22" s="1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3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hidden="1" outlineLevel="1" x14ac:dyDescent="0.35">
      <c r="B23" s="12"/>
      <c r="C23" s="16"/>
      <c r="D23" s="16"/>
      <c r="E23" s="16"/>
      <c r="F23" s="16"/>
      <c r="G23" s="16"/>
      <c r="H23" s="16"/>
      <c r="I23" s="28"/>
      <c r="J23" s="16"/>
      <c r="K23" s="16"/>
      <c r="L23" s="16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idden="1" outlineLevel="1" x14ac:dyDescent="0.35">
      <c r="B24" s="12"/>
      <c r="C24" s="22" t="s">
        <v>23</v>
      </c>
      <c r="D24" s="23" t="s">
        <v>24</v>
      </c>
      <c r="E24" s="24" t="s">
        <v>25</v>
      </c>
      <c r="F24" s="24" t="s">
        <v>26</v>
      </c>
      <c r="G24" s="24" t="s">
        <v>27</v>
      </c>
      <c r="H24" s="16"/>
      <c r="I24" s="28"/>
      <c r="J24" s="16"/>
      <c r="K24" s="16"/>
      <c r="L24" s="16"/>
      <c r="M24" s="13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idden="1" outlineLevel="1" x14ac:dyDescent="0.35">
      <c r="A25" t="str">
        <f t="shared" ref="A25:A119" si="2">_xlfn.CONCAT(B25,C25,D25)</f>
        <v>1ABNAMRO-0026-16 FRAAI 2.0FRAAI 2.0</v>
      </c>
      <c r="B25" s="30">
        <v>1</v>
      </c>
      <c r="C25" s="85" t="s">
        <v>257</v>
      </c>
      <c r="D25" s="69" t="str">
        <f>VLOOKUP(C25,Project_Replicon[[#All],[Replicon Line w/code]:[Project2]],2,FALSE)</f>
        <v>FRAAI 2.0</v>
      </c>
      <c r="E25" s="69" t="str">
        <f>_xlfn.IFNA(VLOOKUP(A25,$A$14:$C$21,3,FALSE),"")</f>
        <v/>
      </c>
      <c r="F25" s="67">
        <f>HLOOKUP($D$10,ReferenceTables!$AU$3:$CU$10,2,FALSE)</f>
        <v>44704</v>
      </c>
      <c r="G25" s="68" t="str">
        <f>_xlfn.IFNA(VLOOKUP(A25,$A$14:$L$21,6,FALSE),"")</f>
        <v/>
      </c>
      <c r="H25" s="16"/>
      <c r="I25" s="16"/>
      <c r="J25" s="16"/>
      <c r="K25" s="16"/>
      <c r="L25" s="16"/>
      <c r="M25" s="13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idden="1" outlineLevel="1" x14ac:dyDescent="0.35">
      <c r="A26" t="e">
        <f t="shared" si="2"/>
        <v>#N/A</v>
      </c>
      <c r="B26" s="30">
        <v>2</v>
      </c>
      <c r="C26" s="86" t="s">
        <v>28</v>
      </c>
      <c r="D26" s="73" t="e">
        <f>VLOOKUP(C26,Project_Replicon[[#All],[Replicon Line w/code]:[Project2]],2,FALSE)</f>
        <v>#N/A</v>
      </c>
      <c r="E26" s="70" t="str">
        <f t="shared" ref="E26:E71" si="3">_xlfn.IFNA(VLOOKUP(A26,$A$14:$C$21,3,FALSE),"")</f>
        <v/>
      </c>
      <c r="F26" s="71">
        <f>HLOOKUP($D$10,ReferenceTables!$AU$3:$CU$10,2,FALSE)</f>
        <v>44704</v>
      </c>
      <c r="G26" s="72" t="str">
        <f>_xlfn.IFNA(VLOOKUP(A26,$A$14:$L$21,6,FALSE),"")</f>
        <v/>
      </c>
      <c r="H26" s="16"/>
      <c r="I26" s="16"/>
      <c r="J26" s="16"/>
      <c r="K26" s="16"/>
      <c r="L26" s="16"/>
      <c r="M26" s="13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idden="1" outlineLevel="1" x14ac:dyDescent="0.35">
      <c r="A27" t="e">
        <f t="shared" si="2"/>
        <v>#N/A</v>
      </c>
      <c r="B27" s="30">
        <v>3</v>
      </c>
      <c r="C27" s="87" t="s">
        <v>28</v>
      </c>
      <c r="D27" s="25" t="e">
        <f>VLOOKUP(C27,Project_Replicon[[#All],[Replicon Line w/code]:[Project2]],2,FALSE)</f>
        <v>#N/A</v>
      </c>
      <c r="E27" s="34" t="str">
        <f>_xlfn.IFNA(VLOOKUP(A27,$A$14:$C$21,3,FALSE),"")</f>
        <v/>
      </c>
      <c r="F27" s="26">
        <f>HLOOKUP($D$10,ReferenceTables!$AU$3:$CU$10,2,FALSE)</f>
        <v>44704</v>
      </c>
      <c r="G27" s="35" t="str">
        <f>_xlfn.IFNA(VLOOKUP(A27,$A$14:$L$21,6,FALSE),"")</f>
        <v/>
      </c>
      <c r="H27" s="16"/>
      <c r="I27" s="16"/>
      <c r="J27" s="16"/>
      <c r="K27" s="16"/>
      <c r="L27" s="16"/>
      <c r="M27" s="13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idden="1" outlineLevel="1" x14ac:dyDescent="0.35">
      <c r="A28" t="e">
        <f t="shared" si="2"/>
        <v>#N/A</v>
      </c>
      <c r="B28" s="30">
        <v>1</v>
      </c>
      <c r="C28" s="88" t="s">
        <v>29</v>
      </c>
      <c r="D28" s="69" t="e">
        <f>VLOOKUP(C28,Project_Replicon[[#All],[Replicon Line w/code]:[Project2]],2,FALSE)</f>
        <v>#N/A</v>
      </c>
      <c r="E28" s="69" t="str">
        <f t="shared" si="3"/>
        <v/>
      </c>
      <c r="F28" s="67">
        <f>HLOOKUP($D$10,ReferenceTables!$AU$3:$CU$10,2,FALSE)</f>
        <v>44704</v>
      </c>
      <c r="G28" s="68" t="str">
        <f t="shared" ref="G28:G62" si="4">_xlfn.IFNA(VLOOKUP(A28,$A$14:$L$21,6,FALSE),"")</f>
        <v/>
      </c>
      <c r="H28" s="16"/>
      <c r="I28" s="16"/>
      <c r="J28" s="16"/>
      <c r="K28" s="16"/>
      <c r="L28" s="16"/>
      <c r="M28" s="13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idden="1" outlineLevel="1" x14ac:dyDescent="0.35">
      <c r="A29" t="e">
        <f t="shared" si="2"/>
        <v>#N/A</v>
      </c>
      <c r="B29" s="30">
        <v>2</v>
      </c>
      <c r="C29" s="86" t="s">
        <v>29</v>
      </c>
      <c r="D29" s="73" t="e">
        <f>VLOOKUP(C29,Project_Replicon[[#All],[Replicon Line w/code]:[Project2]],2,FALSE)</f>
        <v>#N/A</v>
      </c>
      <c r="E29" s="70"/>
      <c r="F29" s="71">
        <f>HLOOKUP($D$10,ReferenceTables!$AU$3:$CU$10,2,FALSE)</f>
        <v>44704</v>
      </c>
      <c r="G29" s="72" t="str">
        <f t="shared" si="4"/>
        <v/>
      </c>
      <c r="H29" s="16"/>
      <c r="I29" s="16"/>
      <c r="J29" s="16"/>
      <c r="K29" s="16"/>
      <c r="L29" s="16"/>
      <c r="M29" s="13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idden="1" outlineLevel="1" x14ac:dyDescent="0.35">
      <c r="A30" t="e">
        <f t="shared" si="2"/>
        <v>#N/A</v>
      </c>
      <c r="B30" s="30">
        <v>3</v>
      </c>
      <c r="C30" s="87" t="s">
        <v>29</v>
      </c>
      <c r="D30" s="25" t="e">
        <f>VLOOKUP(C30,Project_Replicon[[#All],[Replicon Line w/code]:[Project2]],2,FALSE)</f>
        <v>#N/A</v>
      </c>
      <c r="E30" s="34" t="str">
        <f t="shared" si="3"/>
        <v/>
      </c>
      <c r="F30" s="26">
        <f>HLOOKUP($D$10,ReferenceTables!$AU$3:$CU$10,2,FALSE)</f>
        <v>44704</v>
      </c>
      <c r="G30" s="35" t="str">
        <f t="shared" si="4"/>
        <v/>
      </c>
      <c r="H30" s="16"/>
      <c r="I30" s="16"/>
      <c r="J30" s="16"/>
      <c r="K30" s="16"/>
      <c r="L30" s="16"/>
      <c r="M30" s="13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idden="1" outlineLevel="1" x14ac:dyDescent="0.35">
      <c r="A31" t="e">
        <f t="shared" si="2"/>
        <v>#N/A</v>
      </c>
      <c r="B31" s="30">
        <v>1</v>
      </c>
      <c r="C31" s="88" t="s">
        <v>30</v>
      </c>
      <c r="D31" s="69" t="e">
        <f>VLOOKUP(C31,Project_Replicon[[#All],[Replicon Line w/code]:[Project2]],2,FALSE)</f>
        <v>#N/A</v>
      </c>
      <c r="E31" s="69" t="str">
        <f t="shared" si="3"/>
        <v/>
      </c>
      <c r="F31" s="67">
        <f>HLOOKUP($D$10,ReferenceTables!$AU$3:$CU$10,2,FALSE)</f>
        <v>44704</v>
      </c>
      <c r="G31" s="68" t="str">
        <f>_xlfn.IFNA(VLOOKUP(A31,$A$14:$L$21,6,FALSE),"")</f>
        <v/>
      </c>
      <c r="H31" s="16"/>
      <c r="I31" s="16"/>
      <c r="J31" s="16"/>
      <c r="K31" s="16"/>
      <c r="L31" s="16"/>
      <c r="M31" s="13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idden="1" outlineLevel="1" x14ac:dyDescent="0.35">
      <c r="A32" t="e">
        <f t="shared" si="2"/>
        <v>#N/A</v>
      </c>
      <c r="B32" s="30">
        <v>2</v>
      </c>
      <c r="C32" s="86" t="s">
        <v>30</v>
      </c>
      <c r="D32" s="73" t="e">
        <f>VLOOKUP(C32,Project_Replicon[[#All],[Replicon Line w/code]:[Project2]],2,FALSE)</f>
        <v>#N/A</v>
      </c>
      <c r="E32" s="70" t="str">
        <f t="shared" si="3"/>
        <v/>
      </c>
      <c r="F32" s="71">
        <f>HLOOKUP($D$10,ReferenceTables!$AU$3:$CU$10,2,FALSE)</f>
        <v>44704</v>
      </c>
      <c r="G32" s="72" t="str">
        <f t="shared" si="4"/>
        <v/>
      </c>
      <c r="H32" s="16"/>
      <c r="I32" s="16"/>
      <c r="J32" s="16"/>
      <c r="K32" s="16"/>
      <c r="L32" s="16"/>
      <c r="M32" s="13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idden="1" outlineLevel="1" x14ac:dyDescent="0.35">
      <c r="A33" t="e">
        <f t="shared" si="2"/>
        <v>#N/A</v>
      </c>
      <c r="B33" s="30">
        <v>3</v>
      </c>
      <c r="C33" s="87" t="s">
        <v>30</v>
      </c>
      <c r="D33" s="25" t="e">
        <f>VLOOKUP(C33,Project_Replicon[[#All],[Replicon Line w/code]:[Project2]],2,FALSE)</f>
        <v>#N/A</v>
      </c>
      <c r="E33" s="34" t="str">
        <f>_xlfn.IFNA(VLOOKUP(A33,$A$14:$C$21,3,FALSE),"")</f>
        <v/>
      </c>
      <c r="F33" s="26">
        <f>HLOOKUP($D$10,ReferenceTables!$AU$3:$CU$10,2,FALSE)</f>
        <v>44704</v>
      </c>
      <c r="G33" s="35" t="str">
        <f>_xlfn.IFNA(VLOOKUP(A33,$A$14:$L$21,6,FALSE),"")</f>
        <v/>
      </c>
      <c r="H33" s="16"/>
      <c r="I33" s="16"/>
      <c r="J33" s="16"/>
      <c r="K33" s="16"/>
      <c r="L33" s="16"/>
      <c r="M33" s="13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idden="1" outlineLevel="1" x14ac:dyDescent="0.35">
      <c r="A34" t="e">
        <f t="shared" si="2"/>
        <v>#N/A</v>
      </c>
      <c r="B34" s="30">
        <v>1</v>
      </c>
      <c r="C34" s="88" t="s">
        <v>31</v>
      </c>
      <c r="D34" s="69" t="e">
        <f>VLOOKUP(C34,Project_Replicon[[#All],[Replicon Line w/code]:[Project2]],2,FALSE)</f>
        <v>#N/A</v>
      </c>
      <c r="E34" s="69" t="str">
        <f t="shared" si="3"/>
        <v/>
      </c>
      <c r="F34" s="67">
        <f>HLOOKUP($D$10,ReferenceTables!$AU$3:$CU$10,2,FALSE)</f>
        <v>44704</v>
      </c>
      <c r="G34" s="68" t="str">
        <f t="shared" si="4"/>
        <v/>
      </c>
      <c r="H34" s="16"/>
      <c r="I34" s="16"/>
      <c r="J34" s="16"/>
      <c r="K34" s="16"/>
      <c r="L34" s="16"/>
      <c r="M34" s="13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idden="1" outlineLevel="1" x14ac:dyDescent="0.35">
      <c r="A35" t="e">
        <f t="shared" si="2"/>
        <v>#N/A</v>
      </c>
      <c r="B35" s="30">
        <v>2</v>
      </c>
      <c r="C35" s="86" t="s">
        <v>31</v>
      </c>
      <c r="D35" s="73" t="e">
        <f>VLOOKUP(C35,Project_Replicon[[#All],[Replicon Line w/code]:[Project2]],2,FALSE)</f>
        <v>#N/A</v>
      </c>
      <c r="E35" s="70" t="str">
        <f t="shared" si="3"/>
        <v/>
      </c>
      <c r="F35" s="71">
        <f>HLOOKUP($D$10,ReferenceTables!$AU$3:$CU$10,2,FALSE)</f>
        <v>44704</v>
      </c>
      <c r="G35" s="72" t="str">
        <f t="shared" si="4"/>
        <v/>
      </c>
      <c r="H35" s="16"/>
      <c r="I35" s="16"/>
      <c r="J35" s="16"/>
      <c r="K35" s="16"/>
      <c r="L35" s="16"/>
      <c r="M35" s="13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idden="1" outlineLevel="1" x14ac:dyDescent="0.35">
      <c r="A36" t="e">
        <f t="shared" si="2"/>
        <v>#N/A</v>
      </c>
      <c r="B36" s="30">
        <v>3</v>
      </c>
      <c r="C36" s="87" t="s">
        <v>31</v>
      </c>
      <c r="D36" s="25" t="e">
        <f>VLOOKUP(C36,Project_Replicon[[#All],[Replicon Line w/code]:[Project2]],2,FALSE)</f>
        <v>#N/A</v>
      </c>
      <c r="E36" s="34" t="str">
        <f>_xlfn.IFNA(VLOOKUP(A36,$A$14:$C$21,3,FALSE),"")</f>
        <v/>
      </c>
      <c r="F36" s="26">
        <f>HLOOKUP($D$10,ReferenceTables!$AU$3:$CU$10,2,FALSE)</f>
        <v>44704</v>
      </c>
      <c r="G36" s="35" t="str">
        <f>_xlfn.IFNA(VLOOKUP(A36,$A$14:$L$21,6,FALSE),"")</f>
        <v/>
      </c>
      <c r="H36" s="16"/>
      <c r="I36" s="16"/>
      <c r="J36" s="16"/>
      <c r="K36" s="16"/>
      <c r="L36" s="16"/>
      <c r="M36" s="13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idden="1" outlineLevel="1" x14ac:dyDescent="0.35">
      <c r="A37" t="e">
        <f t="shared" si="2"/>
        <v>#N/A</v>
      </c>
      <c r="B37" s="30">
        <v>1</v>
      </c>
      <c r="C37" s="88" t="s">
        <v>32</v>
      </c>
      <c r="D37" s="69" t="e">
        <f>VLOOKUP(C37,Project_Replicon[[#All],[Replicon Line w/code]:[Project2]],2,FALSE)</f>
        <v>#N/A</v>
      </c>
      <c r="E37" s="69" t="str">
        <f t="shared" si="3"/>
        <v/>
      </c>
      <c r="F37" s="67">
        <f>HLOOKUP($D$10,ReferenceTables!$AU$3:$CU$10,2,FALSE)</f>
        <v>44704</v>
      </c>
      <c r="G37" s="68" t="str">
        <f t="shared" si="4"/>
        <v/>
      </c>
      <c r="H37" s="16"/>
      <c r="I37" s="16"/>
      <c r="J37" s="16"/>
      <c r="K37" s="16"/>
      <c r="L37" s="16"/>
      <c r="M37" s="13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idden="1" outlineLevel="1" x14ac:dyDescent="0.35">
      <c r="A38" t="e">
        <f t="shared" si="2"/>
        <v>#N/A</v>
      </c>
      <c r="B38" s="30">
        <v>2</v>
      </c>
      <c r="C38" s="86" t="s">
        <v>32</v>
      </c>
      <c r="D38" s="73" t="e">
        <f>VLOOKUP(C38,Project_Replicon[[#All],[Replicon Line w/code]:[Project2]],2,FALSE)</f>
        <v>#N/A</v>
      </c>
      <c r="E38" s="70" t="str">
        <f t="shared" si="3"/>
        <v/>
      </c>
      <c r="F38" s="71">
        <f>HLOOKUP($D$10,ReferenceTables!$AU$3:$CU$10,2,FALSE)</f>
        <v>44704</v>
      </c>
      <c r="G38" s="72" t="str">
        <f t="shared" si="4"/>
        <v/>
      </c>
      <c r="H38" s="16"/>
      <c r="I38" s="16"/>
      <c r="J38" s="16"/>
      <c r="K38" s="16"/>
      <c r="L38" s="16"/>
      <c r="M38" s="13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idden="1" outlineLevel="1" x14ac:dyDescent="0.35">
      <c r="A39" t="e">
        <f t="shared" si="2"/>
        <v>#N/A</v>
      </c>
      <c r="B39" s="30">
        <v>3</v>
      </c>
      <c r="C39" s="87" t="s">
        <v>32</v>
      </c>
      <c r="D39" s="25" t="e">
        <f>VLOOKUP(C39,Project_Replicon[[#All],[Replicon Line w/code]:[Project2]],2,FALSE)</f>
        <v>#N/A</v>
      </c>
      <c r="E39" s="34" t="str">
        <f>_xlfn.IFNA(VLOOKUP(A39,$A$14:$C$21,3,FALSE),"")</f>
        <v/>
      </c>
      <c r="F39" s="26">
        <f>HLOOKUP($D$10,ReferenceTables!$AU$3:$CU$10,2,FALSE)</f>
        <v>44704</v>
      </c>
      <c r="G39" s="35" t="str">
        <f>_xlfn.IFNA(VLOOKUP(A39,$A$14:$L$21,6,FALSE),"")</f>
        <v/>
      </c>
      <c r="H39" s="16"/>
      <c r="I39" s="16"/>
      <c r="J39" s="16"/>
      <c r="K39" s="16"/>
      <c r="L39" s="16"/>
      <c r="M39" s="13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idden="1" outlineLevel="1" x14ac:dyDescent="0.35">
      <c r="A40" t="str">
        <f t="shared" si="2"/>
        <v>1ABNAMRO-0026-07 P4 - Basel IVP4 - Basel IV</v>
      </c>
      <c r="B40" s="30">
        <v>1</v>
      </c>
      <c r="C40" s="88" t="s">
        <v>33</v>
      </c>
      <c r="D40" s="69" t="str">
        <f>VLOOKUP(C40,Project_Replicon[[#All],[Replicon Line w/code]:[Project2]],2,FALSE)</f>
        <v>P4 - Basel IV</v>
      </c>
      <c r="E40" s="69" t="str">
        <f t="shared" si="3"/>
        <v>Credit Risk</v>
      </c>
      <c r="F40" s="67">
        <f>HLOOKUP($D$10,ReferenceTables!$AU$3:$CU$10,2,FALSE)</f>
        <v>44704</v>
      </c>
      <c r="G40" s="68">
        <f t="shared" si="4"/>
        <v>8</v>
      </c>
      <c r="H40" s="16"/>
      <c r="I40" s="16"/>
      <c r="J40" s="16"/>
      <c r="K40" s="16"/>
      <c r="L40" s="16"/>
      <c r="M40" s="13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idden="1" outlineLevel="1" x14ac:dyDescent="0.35">
      <c r="A41" t="str">
        <f t="shared" si="2"/>
        <v>2ABNAMRO-0026-07 P4 - Basel IVP4 - Basel IV</v>
      </c>
      <c r="B41" s="30">
        <v>2</v>
      </c>
      <c r="C41" s="86" t="s">
        <v>33</v>
      </c>
      <c r="D41" s="73" t="str">
        <f>VLOOKUP(C41,Project_Replicon[[#All],[Replicon Line w/code]:[Project2]],2,FALSE)</f>
        <v>P4 - Basel IV</v>
      </c>
      <c r="E41" s="70" t="str">
        <f t="shared" si="3"/>
        <v/>
      </c>
      <c r="F41" s="71">
        <f>HLOOKUP($D$10,ReferenceTables!$AU$3:$CU$10,2,FALSE)</f>
        <v>44704</v>
      </c>
      <c r="G41" s="72" t="str">
        <f t="shared" si="4"/>
        <v/>
      </c>
      <c r="H41" s="16"/>
      <c r="I41" s="16"/>
      <c r="J41" s="16"/>
      <c r="K41" s="16"/>
      <c r="L41" s="16"/>
      <c r="M41" s="13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idden="1" outlineLevel="1" x14ac:dyDescent="0.35">
      <c r="A42" t="str">
        <f t="shared" si="2"/>
        <v>3ABNAMRO-0026-07 P4 - Basel IVP4 - Basel IV</v>
      </c>
      <c r="B42" s="30">
        <v>3</v>
      </c>
      <c r="C42" s="87" t="s">
        <v>33</v>
      </c>
      <c r="D42" s="25" t="str">
        <f>VLOOKUP(C42,Project_Replicon[[#All],[Replicon Line w/code]:[Project2]],2,FALSE)</f>
        <v>P4 - Basel IV</v>
      </c>
      <c r="E42" s="34" t="str">
        <f>_xlfn.IFNA(VLOOKUP(A42,$A$14:$C$21,3,FALSE),"")</f>
        <v/>
      </c>
      <c r="F42" s="26">
        <f>HLOOKUP($D$10,ReferenceTables!$AU$3:$CU$10,2,FALSE)</f>
        <v>44704</v>
      </c>
      <c r="G42" s="35" t="str">
        <f>_xlfn.IFNA(VLOOKUP(A42,$A$14:$L$21,6,FALSE),"")</f>
        <v/>
      </c>
      <c r="H42" s="16"/>
      <c r="I42" s="16"/>
      <c r="J42" s="16"/>
      <c r="K42" s="16"/>
      <c r="L42" s="16"/>
      <c r="M42" s="13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idden="1" outlineLevel="1" x14ac:dyDescent="0.35">
      <c r="A43" t="e">
        <f t="shared" si="2"/>
        <v>#N/A</v>
      </c>
      <c r="B43" s="30">
        <v>1</v>
      </c>
      <c r="C43" s="88" t="s">
        <v>34</v>
      </c>
      <c r="D43" s="69" t="e">
        <f>VLOOKUP(C43,Project_Replicon[[#All],[Replicon Line w/code]:[Project2]],2,FALSE)</f>
        <v>#N/A</v>
      </c>
      <c r="E43" s="69" t="str">
        <f t="shared" si="3"/>
        <v/>
      </c>
      <c r="F43" s="67">
        <f>HLOOKUP($D$10,ReferenceTables!$AU$3:$CU$10,2,FALSE)</f>
        <v>44704</v>
      </c>
      <c r="G43" s="68" t="str">
        <f t="shared" si="4"/>
        <v/>
      </c>
      <c r="H43" s="16"/>
      <c r="I43" s="16"/>
      <c r="J43" s="16"/>
      <c r="K43" s="16"/>
      <c r="L43" s="16"/>
      <c r="M43" s="13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idden="1" outlineLevel="1" x14ac:dyDescent="0.35">
      <c r="A44" t="e">
        <f t="shared" si="2"/>
        <v>#N/A</v>
      </c>
      <c r="B44" s="30">
        <v>2</v>
      </c>
      <c r="C44" s="86" t="s">
        <v>34</v>
      </c>
      <c r="D44" s="73" t="e">
        <f>VLOOKUP(C44,Project_Replicon[[#All],[Replicon Line w/code]:[Project2]],2,FALSE)</f>
        <v>#N/A</v>
      </c>
      <c r="E44" s="70" t="str">
        <f t="shared" si="3"/>
        <v/>
      </c>
      <c r="F44" s="71">
        <f>HLOOKUP($D$10,ReferenceTables!$AU$3:$CU$10,2,FALSE)</f>
        <v>44704</v>
      </c>
      <c r="G44" s="72" t="str">
        <f t="shared" si="4"/>
        <v/>
      </c>
      <c r="H44" s="16"/>
      <c r="I44" s="16"/>
      <c r="J44" s="16"/>
      <c r="K44" s="16"/>
      <c r="L44" s="16"/>
      <c r="M44" s="13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idden="1" outlineLevel="1" x14ac:dyDescent="0.35">
      <c r="A45" t="e">
        <f t="shared" si="2"/>
        <v>#N/A</v>
      </c>
      <c r="B45" s="30">
        <v>3</v>
      </c>
      <c r="C45" s="87" t="s">
        <v>34</v>
      </c>
      <c r="D45" s="25" t="e">
        <f>VLOOKUP(C45,Project_Replicon[[#All],[Replicon Line w/code]:[Project2]],2,FALSE)</f>
        <v>#N/A</v>
      </c>
      <c r="E45" s="34" t="str">
        <f>_xlfn.IFNA(VLOOKUP(A45,$A$14:$C$21,3,FALSE),"")</f>
        <v/>
      </c>
      <c r="F45" s="26">
        <f>HLOOKUP($D$10,ReferenceTables!$AU$3:$CU$10,2,FALSE)</f>
        <v>44704</v>
      </c>
      <c r="G45" s="35" t="str">
        <f>_xlfn.IFNA(VLOOKUP(A45,$A$14:$L$21,6,FALSE),"")</f>
        <v/>
      </c>
      <c r="H45" s="16"/>
      <c r="I45" s="16"/>
      <c r="J45" s="16"/>
      <c r="K45" s="16"/>
      <c r="L45" s="16"/>
      <c r="M45" s="13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idden="1" outlineLevel="1" x14ac:dyDescent="0.35">
      <c r="A46" t="e">
        <f t="shared" si="2"/>
        <v>#N/A</v>
      </c>
      <c r="B46" s="30">
        <v>1</v>
      </c>
      <c r="C46" s="88" t="s">
        <v>35</v>
      </c>
      <c r="D46" s="69" t="e">
        <f>VLOOKUP(C46,Project_Replicon[[#All],[Replicon Line w/code]:[Project2]],2,FALSE)</f>
        <v>#N/A</v>
      </c>
      <c r="E46" s="69" t="str">
        <f t="shared" si="3"/>
        <v/>
      </c>
      <c r="F46" s="67">
        <f>HLOOKUP($D$10,ReferenceTables!$AU$3:$CU$10,2,FALSE)</f>
        <v>44704</v>
      </c>
      <c r="G46" s="68" t="str">
        <f t="shared" si="4"/>
        <v/>
      </c>
      <c r="H46" s="16"/>
      <c r="I46" s="16"/>
      <c r="J46" s="16"/>
      <c r="K46" s="16"/>
      <c r="L46" s="16"/>
      <c r="M46" s="13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idden="1" outlineLevel="1" x14ac:dyDescent="0.35">
      <c r="A47" t="e">
        <f t="shared" si="2"/>
        <v>#N/A</v>
      </c>
      <c r="B47" s="30">
        <v>2</v>
      </c>
      <c r="C47" s="86" t="s">
        <v>35</v>
      </c>
      <c r="D47" s="73" t="e">
        <f>VLOOKUP(C47,Project_Replicon[[#All],[Replicon Line w/code]:[Project2]],2,FALSE)</f>
        <v>#N/A</v>
      </c>
      <c r="E47" s="70" t="str">
        <f t="shared" si="3"/>
        <v/>
      </c>
      <c r="F47" s="71">
        <f>HLOOKUP($D$10,ReferenceTables!$AU$3:$CU$10,2,FALSE)</f>
        <v>44704</v>
      </c>
      <c r="G47" s="72" t="str">
        <f t="shared" si="4"/>
        <v/>
      </c>
      <c r="H47" s="16"/>
      <c r="I47" s="16"/>
      <c r="J47" s="16"/>
      <c r="K47" s="16"/>
      <c r="L47" s="16"/>
      <c r="M47" s="13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idden="1" outlineLevel="1" x14ac:dyDescent="0.35">
      <c r="A48" t="e">
        <f t="shared" si="2"/>
        <v>#N/A</v>
      </c>
      <c r="B48" s="30">
        <v>3</v>
      </c>
      <c r="C48" s="87" t="s">
        <v>35</v>
      </c>
      <c r="D48" s="25" t="e">
        <f>VLOOKUP(C48,Project_Replicon[[#All],[Replicon Line w/code]:[Project2]],2,FALSE)</f>
        <v>#N/A</v>
      </c>
      <c r="E48" s="34" t="str">
        <f>_xlfn.IFNA(VLOOKUP(A48,$A$14:$C$21,3,FALSE),"")</f>
        <v/>
      </c>
      <c r="F48" s="26">
        <f>HLOOKUP($D$10,ReferenceTables!$AU$3:$CU$10,2,FALSE)</f>
        <v>44704</v>
      </c>
      <c r="G48" s="35" t="str">
        <f>_xlfn.IFNA(VLOOKUP(A48,$A$14:$L$21,6,FALSE),"")</f>
        <v/>
      </c>
      <c r="H48" s="16"/>
      <c r="I48" s="16"/>
      <c r="J48" s="16"/>
      <c r="K48" s="16"/>
      <c r="L48" s="16"/>
      <c r="M48" s="13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idden="1" outlineLevel="1" x14ac:dyDescent="0.35">
      <c r="A49" t="e">
        <f t="shared" si="2"/>
        <v>#N/A</v>
      </c>
      <c r="B49" s="30">
        <v>1</v>
      </c>
      <c r="C49" s="88" t="s">
        <v>36</v>
      </c>
      <c r="D49" s="69" t="e">
        <f>VLOOKUP(C49,Project_Replicon[[#All],[Replicon Line w/code]:[Project2]],2,FALSE)</f>
        <v>#N/A</v>
      </c>
      <c r="E49" s="69" t="str">
        <f t="shared" si="3"/>
        <v/>
      </c>
      <c r="F49" s="67">
        <f>HLOOKUP($D$10,ReferenceTables!$AU$3:$CU$10,2,FALSE)</f>
        <v>44704</v>
      </c>
      <c r="G49" s="68" t="str">
        <f>_xlfn.IFNA(VLOOKUP(A49,$A$14:$L$21,6,FALSE),"")</f>
        <v/>
      </c>
      <c r="H49" s="16"/>
      <c r="I49" s="16"/>
      <c r="J49" s="16"/>
      <c r="K49" s="16"/>
      <c r="L49" s="16"/>
      <c r="M49" s="13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idden="1" outlineLevel="1" x14ac:dyDescent="0.35">
      <c r="A50" t="e">
        <f t="shared" si="2"/>
        <v>#N/A</v>
      </c>
      <c r="B50" s="30">
        <v>2</v>
      </c>
      <c r="C50" s="86" t="s">
        <v>36</v>
      </c>
      <c r="D50" s="73" t="e">
        <f>VLOOKUP(C50,Project_Replicon[[#All],[Replicon Line w/code]:[Project2]],2,FALSE)</f>
        <v>#N/A</v>
      </c>
      <c r="E50" s="70" t="str">
        <f t="shared" si="3"/>
        <v/>
      </c>
      <c r="F50" s="71">
        <f>HLOOKUP($D$10,ReferenceTables!$AU$3:$CU$10,2,FALSE)</f>
        <v>44704</v>
      </c>
      <c r="G50" s="72" t="str">
        <f t="shared" si="4"/>
        <v/>
      </c>
      <c r="H50" s="16"/>
      <c r="I50" s="16"/>
      <c r="J50" s="16"/>
      <c r="K50" s="16"/>
      <c r="L50" s="16"/>
      <c r="M50" s="13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idden="1" outlineLevel="1" x14ac:dyDescent="0.35">
      <c r="A51" t="e">
        <f t="shared" si="2"/>
        <v>#N/A</v>
      </c>
      <c r="B51" s="30">
        <v>3</v>
      </c>
      <c r="C51" s="87" t="s">
        <v>36</v>
      </c>
      <c r="D51" s="25" t="e">
        <f>VLOOKUP(C51,Project_Replicon[[#All],[Replicon Line w/code]:[Project2]],2,FALSE)</f>
        <v>#N/A</v>
      </c>
      <c r="E51" s="34" t="str">
        <f>_xlfn.IFNA(VLOOKUP(A51,$A$14:$C$21,3,FALSE),"")</f>
        <v/>
      </c>
      <c r="F51" s="26">
        <f>HLOOKUP($D$10,ReferenceTables!$AU$3:$CU$10,2,FALSE)</f>
        <v>44704</v>
      </c>
      <c r="G51" s="35" t="str">
        <f>_xlfn.IFNA(VLOOKUP(A51,$A$14:$L$21,6,FALSE),"")</f>
        <v/>
      </c>
      <c r="H51" s="16"/>
      <c r="I51" s="16"/>
      <c r="J51" s="16"/>
      <c r="K51" s="16"/>
      <c r="L51" s="16"/>
      <c r="M51" s="13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idden="1" outlineLevel="1" x14ac:dyDescent="0.35">
      <c r="A52" t="e">
        <f t="shared" si="2"/>
        <v>#N/A</v>
      </c>
      <c r="B52" s="30">
        <v>1</v>
      </c>
      <c r="C52" s="88" t="s">
        <v>37</v>
      </c>
      <c r="D52" s="69" t="e">
        <f>VLOOKUP(C52,Project_Replicon[[#All],[Replicon Line w/code]:[Project2]],2,FALSE)</f>
        <v>#N/A</v>
      </c>
      <c r="E52" s="69" t="str">
        <f t="shared" si="3"/>
        <v/>
      </c>
      <c r="F52" s="67">
        <f>HLOOKUP($D$10,ReferenceTables!$AU$3:$CU$10,2,FALSE)</f>
        <v>44704</v>
      </c>
      <c r="G52" s="68" t="str">
        <f t="shared" si="4"/>
        <v/>
      </c>
      <c r="H52" s="16"/>
      <c r="I52" s="16"/>
      <c r="J52" s="16"/>
      <c r="K52" s="16"/>
      <c r="L52" s="16"/>
      <c r="M52" s="13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idden="1" outlineLevel="1" x14ac:dyDescent="0.35">
      <c r="A53" t="e">
        <f t="shared" si="2"/>
        <v>#N/A</v>
      </c>
      <c r="B53" s="30">
        <v>2</v>
      </c>
      <c r="C53" s="86" t="s">
        <v>37</v>
      </c>
      <c r="D53" s="73" t="e">
        <f>VLOOKUP(C53,Project_Replicon[[#All],[Replicon Line w/code]:[Project2]],2,FALSE)</f>
        <v>#N/A</v>
      </c>
      <c r="E53" s="70" t="str">
        <f t="shared" si="3"/>
        <v/>
      </c>
      <c r="F53" s="71">
        <f>HLOOKUP($D$10,ReferenceTables!$AU$3:$CU$10,2,FALSE)</f>
        <v>44704</v>
      </c>
      <c r="G53" s="72" t="str">
        <f t="shared" si="4"/>
        <v/>
      </c>
      <c r="H53" s="16"/>
      <c r="I53" s="16"/>
      <c r="J53" s="16"/>
      <c r="K53" s="16"/>
      <c r="L53" s="16"/>
      <c r="M53" s="13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idden="1" outlineLevel="1" x14ac:dyDescent="0.35">
      <c r="A54" t="e">
        <f t="shared" si="2"/>
        <v>#N/A</v>
      </c>
      <c r="B54" s="30">
        <v>3</v>
      </c>
      <c r="C54" s="87" t="s">
        <v>37</v>
      </c>
      <c r="D54" s="25" t="e">
        <f>VLOOKUP(C54,Project_Replicon[[#All],[Replicon Line w/code]:[Project2]],2,FALSE)</f>
        <v>#N/A</v>
      </c>
      <c r="E54" s="34" t="str">
        <f t="shared" ref="E54:E60" si="5">_xlfn.IFNA(VLOOKUP(A54,$A$14:$C$21,3,FALSE),"")</f>
        <v/>
      </c>
      <c r="F54" s="26">
        <f>HLOOKUP($D$10,ReferenceTables!$AU$3:$CU$10,2,FALSE)</f>
        <v>44704</v>
      </c>
      <c r="G54" s="35" t="str">
        <f t="shared" ref="G54:G60" si="6">_xlfn.IFNA(VLOOKUP(A54,$A$14:$L$21,6,FALSE),"")</f>
        <v/>
      </c>
      <c r="H54" s="16"/>
      <c r="I54" s="16"/>
      <c r="J54" s="16"/>
      <c r="K54" s="16"/>
      <c r="L54" s="16"/>
      <c r="M54" s="13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idden="1" outlineLevel="1" x14ac:dyDescent="0.35">
      <c r="A55" t="str">
        <f t="shared" si="2"/>
        <v>1ABNAMRO-0026-13 P2- Risk ServicesP2- Risk Services</v>
      </c>
      <c r="B55" s="30">
        <v>1</v>
      </c>
      <c r="C55" s="88" t="s">
        <v>38</v>
      </c>
      <c r="D55" s="69" t="str">
        <f>VLOOKUP(C55,Project_Replicon[[#All],[Replicon Line w/code]:[Project2]],2,FALSE)</f>
        <v>P2- Risk Services</v>
      </c>
      <c r="E55" s="69" t="str">
        <f t="shared" si="5"/>
        <v/>
      </c>
      <c r="F55" s="67">
        <f>HLOOKUP($D$10,ReferenceTables!$AU$3:$CU$10,2,FALSE)</f>
        <v>44704</v>
      </c>
      <c r="G55" s="68" t="str">
        <f t="shared" si="6"/>
        <v/>
      </c>
      <c r="H55" s="16"/>
      <c r="I55" s="16"/>
      <c r="J55" s="16"/>
      <c r="K55" s="16"/>
      <c r="L55" s="16"/>
      <c r="M55" s="13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idden="1" outlineLevel="1" x14ac:dyDescent="0.35">
      <c r="A56" t="str">
        <f t="shared" si="2"/>
        <v>2ABNAMRO-0026-13 P2- Risk ServicesP2- Risk Services</v>
      </c>
      <c r="B56" s="30">
        <v>2</v>
      </c>
      <c r="C56" s="86" t="s">
        <v>38</v>
      </c>
      <c r="D56" s="73" t="str">
        <f>VLOOKUP(C56,Project_Replicon[[#All],[Replicon Line w/code]:[Project2]],2,FALSE)</f>
        <v>P2- Risk Services</v>
      </c>
      <c r="E56" s="70" t="str">
        <f t="shared" si="5"/>
        <v/>
      </c>
      <c r="F56" s="71">
        <f>HLOOKUP($D$10,ReferenceTables!$AU$3:$CU$10,2,FALSE)</f>
        <v>44704</v>
      </c>
      <c r="G56" s="72" t="str">
        <f t="shared" si="6"/>
        <v/>
      </c>
      <c r="H56" s="16"/>
      <c r="I56" s="16"/>
      <c r="J56" s="16"/>
      <c r="K56" s="16"/>
      <c r="L56" s="16"/>
      <c r="M56" s="13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idden="1" outlineLevel="1" x14ac:dyDescent="0.35">
      <c r="A57" t="str">
        <f t="shared" si="2"/>
        <v>3ABNAMRO-0026-13 P2- Risk ServicesP2- Risk Services</v>
      </c>
      <c r="B57" s="30">
        <v>3</v>
      </c>
      <c r="C57" s="87" t="s">
        <v>38</v>
      </c>
      <c r="D57" s="25" t="str">
        <f>VLOOKUP(C57,Project_Replicon[[#All],[Replicon Line w/code]:[Project2]],2,FALSE)</f>
        <v>P2- Risk Services</v>
      </c>
      <c r="E57" s="34" t="str">
        <f t="shared" si="5"/>
        <v/>
      </c>
      <c r="F57" s="26">
        <f>HLOOKUP($D$10,ReferenceTables!$AU$3:$CU$10,2,FALSE)</f>
        <v>44704</v>
      </c>
      <c r="G57" s="35" t="str">
        <f t="shared" si="6"/>
        <v/>
      </c>
      <c r="H57" s="16"/>
      <c r="I57" s="16"/>
      <c r="J57" s="16"/>
      <c r="K57" s="16"/>
      <c r="L57" s="16"/>
      <c r="M57" s="13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idden="1" outlineLevel="1" x14ac:dyDescent="0.35">
      <c r="A58" t="e">
        <f t="shared" si="2"/>
        <v>#N/A</v>
      </c>
      <c r="B58" s="30">
        <v>1</v>
      </c>
      <c r="C58" s="88" t="s">
        <v>39</v>
      </c>
      <c r="D58" s="69" t="e">
        <f>VLOOKUP(C58,Project_Replicon[[#All],[Replicon Line w/code]:[Project2]],2,FALSE)</f>
        <v>#N/A</v>
      </c>
      <c r="E58" s="69" t="str">
        <f t="shared" si="5"/>
        <v/>
      </c>
      <c r="F58" s="67">
        <f>HLOOKUP($D$10,ReferenceTables!$AU$3:$CU$10,2,FALSE)</f>
        <v>44704</v>
      </c>
      <c r="G58" s="68" t="str">
        <f t="shared" si="6"/>
        <v/>
      </c>
      <c r="H58" s="16"/>
      <c r="I58" s="16"/>
      <c r="J58" s="16"/>
      <c r="K58" s="16"/>
      <c r="L58" s="16"/>
      <c r="M58" s="13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idden="1" outlineLevel="1" x14ac:dyDescent="0.35">
      <c r="A59" t="e">
        <f t="shared" si="2"/>
        <v>#N/A</v>
      </c>
      <c r="B59" s="30">
        <v>2</v>
      </c>
      <c r="C59" s="86" t="s">
        <v>39</v>
      </c>
      <c r="D59" s="73" t="e">
        <f>VLOOKUP(C59,Project_Replicon[[#All],[Replicon Line w/code]:[Project2]],2,FALSE)</f>
        <v>#N/A</v>
      </c>
      <c r="E59" s="70" t="str">
        <f t="shared" si="5"/>
        <v/>
      </c>
      <c r="F59" s="71">
        <f>HLOOKUP($D$10,ReferenceTables!$AU$3:$CU$10,2,FALSE)</f>
        <v>44704</v>
      </c>
      <c r="G59" s="72" t="str">
        <f t="shared" si="6"/>
        <v/>
      </c>
      <c r="H59" s="16"/>
      <c r="I59" s="16"/>
      <c r="J59" s="16"/>
      <c r="K59" s="16"/>
      <c r="L59" s="16"/>
      <c r="M59" s="13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idden="1" outlineLevel="1" x14ac:dyDescent="0.35">
      <c r="A60" t="e">
        <f t="shared" si="2"/>
        <v>#N/A</v>
      </c>
      <c r="B60" s="30">
        <v>3</v>
      </c>
      <c r="C60" s="87" t="s">
        <v>39</v>
      </c>
      <c r="D60" s="25" t="e">
        <f>VLOOKUP(C60,Project_Replicon[[#All],[Replicon Line w/code]:[Project2]],2,FALSE)</f>
        <v>#N/A</v>
      </c>
      <c r="E60" s="34" t="str">
        <f t="shared" si="5"/>
        <v/>
      </c>
      <c r="F60" s="26">
        <f>HLOOKUP($D$10,ReferenceTables!$AU$3:$CU$10,2,FALSE)</f>
        <v>44704</v>
      </c>
      <c r="G60" s="35" t="str">
        <f t="shared" si="6"/>
        <v/>
      </c>
      <c r="H60" s="16"/>
      <c r="I60" s="16"/>
      <c r="J60" s="16"/>
      <c r="K60" s="16"/>
      <c r="L60" s="16"/>
      <c r="M60" s="13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idden="1" outlineLevel="1" x14ac:dyDescent="0.35">
      <c r="A61" t="e">
        <f t="shared" si="2"/>
        <v>#N/A</v>
      </c>
      <c r="B61" s="30">
        <v>1</v>
      </c>
      <c r="C61" s="88" t="s">
        <v>40</v>
      </c>
      <c r="D61" s="69" t="e">
        <f>VLOOKUP(C61,Project_Replicon[[#All],[Replicon Line w/code]:[Project2]],2,FALSE)</f>
        <v>#N/A</v>
      </c>
      <c r="E61" s="69" t="str">
        <f t="shared" si="3"/>
        <v/>
      </c>
      <c r="F61" s="67">
        <f>HLOOKUP($D$10,ReferenceTables!$AU$3:$CU$10,2,FALSE)</f>
        <v>44704</v>
      </c>
      <c r="G61" s="68" t="str">
        <f t="shared" si="4"/>
        <v/>
      </c>
      <c r="H61" s="16"/>
      <c r="I61" s="16"/>
      <c r="J61" s="16"/>
      <c r="K61" s="16"/>
      <c r="L61" s="16"/>
      <c r="M61" s="13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idden="1" outlineLevel="1" x14ac:dyDescent="0.35">
      <c r="A62" t="e">
        <f t="shared" si="2"/>
        <v>#N/A</v>
      </c>
      <c r="B62" s="30">
        <v>2</v>
      </c>
      <c r="C62" s="86" t="s">
        <v>40</v>
      </c>
      <c r="D62" s="73" t="e">
        <f>VLOOKUP(C62,Project_Replicon[[#All],[Replicon Line w/code]:[Project2]],2,FALSE)</f>
        <v>#N/A</v>
      </c>
      <c r="E62" s="70" t="str">
        <f t="shared" si="3"/>
        <v/>
      </c>
      <c r="F62" s="71">
        <f>HLOOKUP($D$10,ReferenceTables!$AU$3:$CU$10,2,FALSE)</f>
        <v>44704</v>
      </c>
      <c r="G62" s="72" t="str">
        <f t="shared" si="4"/>
        <v/>
      </c>
      <c r="H62" s="16"/>
      <c r="I62" s="16"/>
      <c r="J62" s="16"/>
      <c r="K62" s="16"/>
      <c r="L62" s="16"/>
      <c r="M62" s="13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" hidden="1" outlineLevel="1" thickBot="1" x14ac:dyDescent="0.4">
      <c r="A63" t="e">
        <f t="shared" si="2"/>
        <v>#N/A</v>
      </c>
      <c r="B63" s="30">
        <v>3</v>
      </c>
      <c r="C63" s="89" t="s">
        <v>40</v>
      </c>
      <c r="D63" s="83" t="e">
        <f>VLOOKUP(C63,Project_Replicon[[#All],[Replicon Line w/code]:[Project2]],2,FALSE)</f>
        <v>#N/A</v>
      </c>
      <c r="E63" s="36" t="str">
        <f>_xlfn.IFNA(VLOOKUP(A63,$A$14:$C$21,3,FALSE),"")</f>
        <v/>
      </c>
      <c r="F63" s="84">
        <f>HLOOKUP($D$10,ReferenceTables!$AU$3:$CU$10,2,FALSE)</f>
        <v>44704</v>
      </c>
      <c r="G63" s="37" t="str">
        <f>_xlfn.IFNA(VLOOKUP(A63,$A$14:$L$21,6,FALSE),"")</f>
        <v/>
      </c>
      <c r="H63" s="16"/>
      <c r="I63" s="16"/>
      <c r="J63" s="16"/>
      <c r="K63" s="16"/>
      <c r="L63" s="16"/>
      <c r="M63" s="13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" hidden="1" outlineLevel="1" thickTop="1" x14ac:dyDescent="0.35">
      <c r="A64" t="e">
        <f t="shared" si="2"/>
        <v>#N/A</v>
      </c>
      <c r="B64" s="30">
        <v>1</v>
      </c>
      <c r="C64" s="98" t="s">
        <v>28</v>
      </c>
      <c r="D64" s="99" t="e">
        <f>VLOOKUP(C64,Project_Replicon[[#All],[Replicon Line w/code]:[Project2]],2,FALSE)</f>
        <v>#N/A</v>
      </c>
      <c r="E64" s="99" t="str">
        <f t="shared" si="3"/>
        <v/>
      </c>
      <c r="F64" s="71">
        <f>HLOOKUP($D$10,ReferenceTables!$AU$3:$CU$10,3,FALSE)</f>
        <v>44705</v>
      </c>
      <c r="G64" s="100" t="str">
        <f t="shared" ref="G64:G101" si="7">_xlfn.IFNA(VLOOKUP(A64,$A$14:$L$21,7,FALSE),"")</f>
        <v/>
      </c>
      <c r="H64" s="16"/>
      <c r="I64" s="28"/>
      <c r="J64" s="16"/>
      <c r="K64" s="16"/>
      <c r="L64" s="16"/>
      <c r="M64" s="13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idden="1" outlineLevel="1" x14ac:dyDescent="0.35">
      <c r="A65" t="e">
        <f t="shared" si="2"/>
        <v>#N/A</v>
      </c>
      <c r="B65" s="30">
        <v>2</v>
      </c>
      <c r="C65" s="86" t="s">
        <v>28</v>
      </c>
      <c r="D65" s="73" t="e">
        <f>VLOOKUP(C65,Project_Replicon[[#All],[Replicon Line w/code]:[Project2]],2,FALSE)</f>
        <v>#N/A</v>
      </c>
      <c r="E65" s="70" t="str">
        <f t="shared" si="3"/>
        <v/>
      </c>
      <c r="F65" s="71">
        <f>HLOOKUP($D$10,ReferenceTables!$AU$3:$CU$10,3,FALSE)</f>
        <v>44705</v>
      </c>
      <c r="G65" s="72" t="str">
        <f t="shared" si="7"/>
        <v/>
      </c>
      <c r="H65" s="16"/>
      <c r="I65" s="28"/>
      <c r="J65" s="16"/>
      <c r="K65" s="16"/>
      <c r="L65" s="16"/>
      <c r="M65" s="13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idden="1" outlineLevel="1" x14ac:dyDescent="0.35">
      <c r="A66" t="e">
        <f t="shared" si="2"/>
        <v>#N/A</v>
      </c>
      <c r="B66" s="30">
        <v>3</v>
      </c>
      <c r="C66" s="87" t="s">
        <v>28</v>
      </c>
      <c r="D66" s="25" t="e">
        <f>VLOOKUP(C66,Project_Replicon[[#All],[Replicon Line w/code]:[Project2]],2,FALSE)</f>
        <v>#N/A</v>
      </c>
      <c r="E66" s="34" t="str">
        <f>_xlfn.IFNA(VLOOKUP(A66,$A$14:$C$21,3,FALSE),"")</f>
        <v/>
      </c>
      <c r="F66" s="26">
        <f>HLOOKUP($D$10,ReferenceTables!$AU$3:$CU$10,3,FALSE)</f>
        <v>44705</v>
      </c>
      <c r="G66" s="35" t="str">
        <f>_xlfn.IFNA(VLOOKUP(A66,$A$14:$L$21,7,FALSE),"")</f>
        <v/>
      </c>
      <c r="H66" s="16"/>
      <c r="I66" s="28"/>
      <c r="J66" s="16"/>
      <c r="K66" s="16"/>
      <c r="L66" s="16"/>
      <c r="M66" s="13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idden="1" outlineLevel="1" x14ac:dyDescent="0.35">
      <c r="A67" t="e">
        <f t="shared" si="2"/>
        <v>#N/A</v>
      </c>
      <c r="B67" s="30">
        <v>1</v>
      </c>
      <c r="C67" s="88" t="s">
        <v>29</v>
      </c>
      <c r="D67" s="69" t="e">
        <f>VLOOKUP(C67,Project_Replicon[[#All],[Replicon Line w/code]:[Project2]],2,FALSE)</f>
        <v>#N/A</v>
      </c>
      <c r="E67" s="69" t="str">
        <f t="shared" si="3"/>
        <v/>
      </c>
      <c r="F67" s="67">
        <f>HLOOKUP($D$10,ReferenceTables!$AU$3:$CU$10,3,FALSE)</f>
        <v>44705</v>
      </c>
      <c r="G67" s="68" t="str">
        <f t="shared" si="7"/>
        <v/>
      </c>
      <c r="H67" s="16"/>
      <c r="I67" s="28"/>
      <c r="J67" s="16"/>
      <c r="K67" s="16"/>
      <c r="L67" s="16"/>
      <c r="M67" s="13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idden="1" outlineLevel="1" x14ac:dyDescent="0.35">
      <c r="A68" t="e">
        <f t="shared" si="2"/>
        <v>#N/A</v>
      </c>
      <c r="B68" s="30">
        <v>2</v>
      </c>
      <c r="C68" s="86" t="s">
        <v>29</v>
      </c>
      <c r="D68" s="73" t="e">
        <f>VLOOKUP(C68,Project_Replicon[[#All],[Replicon Line w/code]:[Project2]],2,FALSE)</f>
        <v>#N/A</v>
      </c>
      <c r="E68" s="70" t="str">
        <f t="shared" si="3"/>
        <v/>
      </c>
      <c r="F68" s="71">
        <f>HLOOKUP($D$10,ReferenceTables!$AU$3:$CU$10,3,FALSE)</f>
        <v>44705</v>
      </c>
      <c r="G68" s="72" t="str">
        <f t="shared" si="7"/>
        <v/>
      </c>
      <c r="H68" s="16"/>
      <c r="I68" s="28"/>
      <c r="J68" s="16"/>
      <c r="K68" s="16"/>
      <c r="L68" s="16"/>
      <c r="M68" s="13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idden="1" outlineLevel="1" x14ac:dyDescent="0.35">
      <c r="A69" t="e">
        <f t="shared" si="2"/>
        <v>#N/A</v>
      </c>
      <c r="B69" s="30">
        <v>3</v>
      </c>
      <c r="C69" s="87" t="s">
        <v>29</v>
      </c>
      <c r="D69" s="25" t="e">
        <f>VLOOKUP(C69,Project_Replicon[[#All],[Replicon Line w/code]:[Project2]],2,FALSE)</f>
        <v>#N/A</v>
      </c>
      <c r="E69" s="34" t="str">
        <f>_xlfn.IFNA(VLOOKUP(A69,$A$14:$C$21,3,FALSE),"")</f>
        <v/>
      </c>
      <c r="F69" s="26">
        <f>HLOOKUP($D$10,ReferenceTables!$AU$3:$CU$10,3,FALSE)</f>
        <v>44705</v>
      </c>
      <c r="G69" s="35" t="str">
        <f>_xlfn.IFNA(VLOOKUP(A69,$A$14:$L$21,7,FALSE),"")</f>
        <v/>
      </c>
      <c r="H69" s="16"/>
      <c r="I69" s="28"/>
      <c r="J69" s="16"/>
      <c r="K69" s="16"/>
      <c r="L69" s="16"/>
      <c r="M69" s="13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idden="1" outlineLevel="1" x14ac:dyDescent="0.35">
      <c r="A70" t="e">
        <f t="shared" si="2"/>
        <v>#N/A</v>
      </c>
      <c r="B70" s="30">
        <v>1</v>
      </c>
      <c r="C70" s="88" t="s">
        <v>30</v>
      </c>
      <c r="D70" s="69" t="e">
        <f>VLOOKUP(C70,Project_Replicon[[#All],[Replicon Line w/code]:[Project2]],2,FALSE)</f>
        <v>#N/A</v>
      </c>
      <c r="E70" s="69" t="str">
        <f t="shared" si="3"/>
        <v/>
      </c>
      <c r="F70" s="67">
        <f>HLOOKUP($D$10,ReferenceTables!$AU$3:$CU$10,3,FALSE)</f>
        <v>44705</v>
      </c>
      <c r="G70" s="68" t="str">
        <f t="shared" si="7"/>
        <v/>
      </c>
      <c r="H70" s="16"/>
      <c r="I70" s="28"/>
      <c r="J70" s="16"/>
      <c r="K70" s="16"/>
      <c r="L70" s="16"/>
      <c r="M70" s="13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idden="1" outlineLevel="1" x14ac:dyDescent="0.35">
      <c r="A71" t="e">
        <f t="shared" si="2"/>
        <v>#N/A</v>
      </c>
      <c r="B71" s="30">
        <v>2</v>
      </c>
      <c r="C71" s="86" t="s">
        <v>30</v>
      </c>
      <c r="D71" s="73" t="e">
        <f>VLOOKUP(C71,Project_Replicon[[#All],[Replicon Line w/code]:[Project2]],2,FALSE)</f>
        <v>#N/A</v>
      </c>
      <c r="E71" s="70" t="str">
        <f t="shared" si="3"/>
        <v/>
      </c>
      <c r="F71" s="71">
        <f>HLOOKUP($D$10,ReferenceTables!$AU$3:$CU$10,3,FALSE)</f>
        <v>44705</v>
      </c>
      <c r="G71" s="72" t="str">
        <f t="shared" si="7"/>
        <v/>
      </c>
      <c r="H71" s="16"/>
      <c r="I71" s="28"/>
      <c r="J71" s="16"/>
      <c r="K71" s="16"/>
      <c r="L71" s="16"/>
      <c r="M71" s="13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idden="1" outlineLevel="1" x14ac:dyDescent="0.35">
      <c r="A72" t="e">
        <f t="shared" si="2"/>
        <v>#N/A</v>
      </c>
      <c r="B72" s="30">
        <v>3</v>
      </c>
      <c r="C72" s="87" t="s">
        <v>30</v>
      </c>
      <c r="D72" s="25" t="e">
        <f>VLOOKUP(C72,Project_Replicon[[#All],[Replicon Line w/code]:[Project2]],2,FALSE)</f>
        <v>#N/A</v>
      </c>
      <c r="E72" s="34" t="str">
        <f>_xlfn.IFNA(VLOOKUP(A72,$A$14:$C$21,3,FALSE),"")</f>
        <v/>
      </c>
      <c r="F72" s="26">
        <f>HLOOKUP($D$10,ReferenceTables!$AU$3:$CU$10,3,FALSE)</f>
        <v>44705</v>
      </c>
      <c r="G72" s="35" t="str">
        <f>_xlfn.IFNA(VLOOKUP(A72,$A$14:$L$21,7,FALSE),"")</f>
        <v/>
      </c>
      <c r="H72" s="16"/>
      <c r="I72" s="28"/>
      <c r="J72" s="16"/>
      <c r="K72" s="16"/>
      <c r="L72" s="16"/>
      <c r="M72" s="13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idden="1" outlineLevel="1" x14ac:dyDescent="0.35">
      <c r="A73" t="e">
        <f t="shared" si="2"/>
        <v>#N/A</v>
      </c>
      <c r="B73" s="30">
        <v>1</v>
      </c>
      <c r="C73" s="88" t="s">
        <v>31</v>
      </c>
      <c r="D73" s="69" t="e">
        <f>VLOOKUP(C73,Project_Replicon[[#All],[Replicon Line w/code]:[Project2]],2,FALSE)</f>
        <v>#N/A</v>
      </c>
      <c r="E73" s="69" t="str">
        <f t="shared" ref="E73:E122" si="8">_xlfn.IFNA(VLOOKUP(A73,$A$14:$C$21,3,FALSE),"")</f>
        <v/>
      </c>
      <c r="F73" s="67">
        <f>HLOOKUP($D$10,ReferenceTables!$AU$3:$CU$10,3,FALSE)</f>
        <v>44705</v>
      </c>
      <c r="G73" s="68" t="str">
        <f t="shared" si="7"/>
        <v/>
      </c>
      <c r="H73" s="16"/>
      <c r="I73" s="28"/>
      <c r="J73" s="16"/>
      <c r="K73" s="16"/>
      <c r="L73" s="16"/>
      <c r="M73" s="13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idden="1" outlineLevel="1" x14ac:dyDescent="0.35">
      <c r="A74" t="e">
        <f t="shared" si="2"/>
        <v>#N/A</v>
      </c>
      <c r="B74" s="30">
        <v>2</v>
      </c>
      <c r="C74" s="86" t="s">
        <v>31</v>
      </c>
      <c r="D74" s="73" t="e">
        <f>VLOOKUP(C74,Project_Replicon[[#All],[Replicon Line w/code]:[Project2]],2,FALSE)</f>
        <v>#N/A</v>
      </c>
      <c r="E74" s="70" t="str">
        <f t="shared" si="8"/>
        <v/>
      </c>
      <c r="F74" s="71">
        <f>HLOOKUP($D$10,ReferenceTables!$AU$3:$CU$10,3,FALSE)</f>
        <v>44705</v>
      </c>
      <c r="G74" s="72" t="str">
        <f t="shared" si="7"/>
        <v/>
      </c>
      <c r="H74" s="16"/>
      <c r="I74" s="28"/>
      <c r="J74" s="16"/>
      <c r="K74" s="16"/>
      <c r="L74" s="16"/>
      <c r="M74" s="13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idden="1" outlineLevel="1" x14ac:dyDescent="0.35">
      <c r="A75" t="e">
        <f t="shared" si="2"/>
        <v>#N/A</v>
      </c>
      <c r="B75" s="30">
        <v>3</v>
      </c>
      <c r="C75" s="87" t="s">
        <v>31</v>
      </c>
      <c r="D75" s="25" t="e">
        <f>VLOOKUP(C75,Project_Replicon[[#All],[Replicon Line w/code]:[Project2]],2,FALSE)</f>
        <v>#N/A</v>
      </c>
      <c r="E75" s="34" t="str">
        <f>_xlfn.IFNA(VLOOKUP(A75,$A$14:$C$21,3,FALSE),"")</f>
        <v/>
      </c>
      <c r="F75" s="26">
        <f>HLOOKUP($D$10,ReferenceTables!$AU$3:$CU$10,3,FALSE)</f>
        <v>44705</v>
      </c>
      <c r="G75" s="35" t="str">
        <f>_xlfn.IFNA(VLOOKUP(A75,$A$14:$L$21,7,FALSE),"")</f>
        <v/>
      </c>
      <c r="H75" s="16"/>
      <c r="I75" s="28"/>
      <c r="J75" s="16"/>
      <c r="K75" s="16"/>
      <c r="L75" s="16"/>
      <c r="M75" s="13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idden="1" outlineLevel="1" x14ac:dyDescent="0.35">
      <c r="A76" t="e">
        <f t="shared" si="2"/>
        <v>#N/A</v>
      </c>
      <c r="B76" s="30">
        <v>1</v>
      </c>
      <c r="C76" s="88" t="s">
        <v>32</v>
      </c>
      <c r="D76" s="69" t="e">
        <f>VLOOKUP(C76,Project_Replicon[[#All],[Replicon Line w/code]:[Project2]],2,FALSE)</f>
        <v>#N/A</v>
      </c>
      <c r="E76" s="69" t="str">
        <f t="shared" si="8"/>
        <v/>
      </c>
      <c r="F76" s="67">
        <f>HLOOKUP($D$10,ReferenceTables!$AU$3:$CU$10,3,FALSE)</f>
        <v>44705</v>
      </c>
      <c r="G76" s="68" t="str">
        <f t="shared" si="7"/>
        <v/>
      </c>
      <c r="H76" s="16"/>
      <c r="I76" s="28"/>
      <c r="J76" s="16"/>
      <c r="K76" s="16"/>
      <c r="L76" s="16"/>
      <c r="M76" s="13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idden="1" outlineLevel="1" x14ac:dyDescent="0.35">
      <c r="A77" t="e">
        <f t="shared" si="2"/>
        <v>#N/A</v>
      </c>
      <c r="B77" s="30">
        <v>2</v>
      </c>
      <c r="C77" s="86" t="s">
        <v>32</v>
      </c>
      <c r="D77" s="73" t="e">
        <f>VLOOKUP(C77,Project_Replicon[[#All],[Replicon Line w/code]:[Project2]],2,FALSE)</f>
        <v>#N/A</v>
      </c>
      <c r="E77" s="70" t="str">
        <f t="shared" si="8"/>
        <v/>
      </c>
      <c r="F77" s="71">
        <f>HLOOKUP($D$10,ReferenceTables!$AU$3:$CU$10,3,FALSE)</f>
        <v>44705</v>
      </c>
      <c r="G77" s="72" t="str">
        <f t="shared" si="7"/>
        <v/>
      </c>
      <c r="H77" s="16"/>
      <c r="I77" s="28"/>
      <c r="J77" s="16"/>
      <c r="K77" s="16"/>
      <c r="L77" s="16"/>
      <c r="M77" s="13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idden="1" outlineLevel="1" x14ac:dyDescent="0.35">
      <c r="A78" t="e">
        <f t="shared" si="2"/>
        <v>#N/A</v>
      </c>
      <c r="B78" s="30">
        <v>3</v>
      </c>
      <c r="C78" s="87" t="s">
        <v>32</v>
      </c>
      <c r="D78" s="25" t="e">
        <f>VLOOKUP(C78,Project_Replicon[[#All],[Replicon Line w/code]:[Project2]],2,FALSE)</f>
        <v>#N/A</v>
      </c>
      <c r="E78" s="34" t="str">
        <f>_xlfn.IFNA(VLOOKUP(A78,$A$14:$C$21,3,FALSE),"")</f>
        <v/>
      </c>
      <c r="F78" s="26">
        <f>HLOOKUP($D$10,ReferenceTables!$AU$3:$CU$10,3,FALSE)</f>
        <v>44705</v>
      </c>
      <c r="G78" s="35" t="str">
        <f>_xlfn.IFNA(VLOOKUP(A78,$A$14:$L$21,7,FALSE),"")</f>
        <v/>
      </c>
      <c r="H78" s="16"/>
      <c r="I78" s="28"/>
      <c r="J78" s="16"/>
      <c r="K78" s="16"/>
      <c r="L78" s="16"/>
      <c r="M78" s="13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idden="1" outlineLevel="1" x14ac:dyDescent="0.35">
      <c r="A79" t="str">
        <f t="shared" si="2"/>
        <v>1ABNAMRO-0026-07 P4 - Basel IVP4 - Basel IV</v>
      </c>
      <c r="B79" s="30">
        <v>1</v>
      </c>
      <c r="C79" s="88" t="s">
        <v>33</v>
      </c>
      <c r="D79" s="69" t="str">
        <f>VLOOKUP(C79,Project_Replicon[[#All],[Replicon Line w/code]:[Project2]],2,FALSE)</f>
        <v>P4 - Basel IV</v>
      </c>
      <c r="E79" s="69" t="str">
        <f t="shared" si="8"/>
        <v>Credit Risk</v>
      </c>
      <c r="F79" s="67">
        <f>HLOOKUP($D$10,ReferenceTables!$AU$3:$CU$10,3,FALSE)</f>
        <v>44705</v>
      </c>
      <c r="G79" s="68">
        <f t="shared" si="7"/>
        <v>8</v>
      </c>
      <c r="H79" s="16"/>
      <c r="I79" s="28"/>
      <c r="J79" s="16"/>
      <c r="K79" s="16"/>
      <c r="L79" s="16"/>
      <c r="M79" s="13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idden="1" outlineLevel="1" x14ac:dyDescent="0.35">
      <c r="A80" t="str">
        <f t="shared" si="2"/>
        <v>2ABNAMRO-0026-07 P4 - Basel IVP4 - Basel IV</v>
      </c>
      <c r="B80" s="30">
        <v>2</v>
      </c>
      <c r="C80" s="86" t="s">
        <v>33</v>
      </c>
      <c r="D80" s="73" t="str">
        <f>VLOOKUP(C80,Project_Replicon[[#All],[Replicon Line w/code]:[Project2]],2,FALSE)</f>
        <v>P4 - Basel IV</v>
      </c>
      <c r="E80" s="70" t="str">
        <f t="shared" si="8"/>
        <v/>
      </c>
      <c r="F80" s="71">
        <f>HLOOKUP($D$10,ReferenceTables!$AU$3:$CU$10,3,FALSE)</f>
        <v>44705</v>
      </c>
      <c r="G80" s="72" t="str">
        <f t="shared" si="7"/>
        <v/>
      </c>
      <c r="H80" s="16"/>
      <c r="I80" s="28"/>
      <c r="J80" s="16"/>
      <c r="K80" s="16"/>
      <c r="L80" s="16"/>
      <c r="M80" s="13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idden="1" outlineLevel="1" x14ac:dyDescent="0.35">
      <c r="A81" t="str">
        <f t="shared" si="2"/>
        <v>3ABNAMRO-0026-07 P4 - Basel IVP4 - Basel IV</v>
      </c>
      <c r="B81" s="30">
        <v>3</v>
      </c>
      <c r="C81" s="87" t="s">
        <v>33</v>
      </c>
      <c r="D81" s="25" t="str">
        <f>VLOOKUP(C81,Project_Replicon[[#All],[Replicon Line w/code]:[Project2]],2,FALSE)</f>
        <v>P4 - Basel IV</v>
      </c>
      <c r="E81" s="34" t="str">
        <f>_xlfn.IFNA(VLOOKUP(A81,$A$14:$C$21,3,FALSE),"")</f>
        <v/>
      </c>
      <c r="F81" s="26">
        <f>HLOOKUP($D$10,ReferenceTables!$AU$3:$CU$10,3,FALSE)</f>
        <v>44705</v>
      </c>
      <c r="G81" s="35" t="str">
        <f>_xlfn.IFNA(VLOOKUP(A81,$A$14:$L$21,7,FALSE),"")</f>
        <v/>
      </c>
      <c r="H81" s="16"/>
      <c r="I81" s="28"/>
      <c r="J81" s="16"/>
      <c r="K81" s="16"/>
      <c r="L81" s="16"/>
      <c r="M81" s="13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idden="1" outlineLevel="1" x14ac:dyDescent="0.35">
      <c r="A82" t="e">
        <f t="shared" si="2"/>
        <v>#N/A</v>
      </c>
      <c r="B82" s="30">
        <v>1</v>
      </c>
      <c r="C82" s="88" t="s">
        <v>34</v>
      </c>
      <c r="D82" s="69" t="e">
        <f>VLOOKUP(C82,Project_Replicon[[#All],[Replicon Line w/code]:[Project2]],2,FALSE)</f>
        <v>#N/A</v>
      </c>
      <c r="E82" s="69" t="str">
        <f t="shared" si="8"/>
        <v/>
      </c>
      <c r="F82" s="67">
        <f>HLOOKUP($D$10,ReferenceTables!$AU$3:$CU$10,3,FALSE)</f>
        <v>44705</v>
      </c>
      <c r="G82" s="68" t="str">
        <f t="shared" si="7"/>
        <v/>
      </c>
      <c r="H82" s="16"/>
      <c r="I82" s="28"/>
      <c r="J82" s="16"/>
      <c r="K82" s="16"/>
      <c r="L82" s="16"/>
      <c r="M82" s="13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idden="1" outlineLevel="1" x14ac:dyDescent="0.35">
      <c r="A83" t="e">
        <f t="shared" si="2"/>
        <v>#N/A</v>
      </c>
      <c r="B83" s="30">
        <v>2</v>
      </c>
      <c r="C83" s="86" t="s">
        <v>34</v>
      </c>
      <c r="D83" s="73" t="e">
        <f>VLOOKUP(C83,Project_Replicon[[#All],[Replicon Line w/code]:[Project2]],2,FALSE)</f>
        <v>#N/A</v>
      </c>
      <c r="E83" s="70" t="str">
        <f t="shared" si="8"/>
        <v/>
      </c>
      <c r="F83" s="71">
        <f>HLOOKUP($D$10,ReferenceTables!$AU$3:$CU$10,3,FALSE)</f>
        <v>44705</v>
      </c>
      <c r="G83" s="72" t="str">
        <f t="shared" si="7"/>
        <v/>
      </c>
      <c r="H83" s="16"/>
      <c r="I83" s="28"/>
      <c r="J83" s="16"/>
      <c r="K83" s="16"/>
      <c r="L83" s="16"/>
      <c r="M83" s="13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idden="1" outlineLevel="1" x14ac:dyDescent="0.35">
      <c r="A84" t="e">
        <f t="shared" si="2"/>
        <v>#N/A</v>
      </c>
      <c r="B84" s="30">
        <v>3</v>
      </c>
      <c r="C84" s="87" t="s">
        <v>34</v>
      </c>
      <c r="D84" s="25" t="e">
        <f>VLOOKUP(C84,Project_Replicon[[#All],[Replicon Line w/code]:[Project2]],2,FALSE)</f>
        <v>#N/A</v>
      </c>
      <c r="E84" s="34" t="str">
        <f>_xlfn.IFNA(VLOOKUP(A84,$A$14:$C$21,3,FALSE),"")</f>
        <v/>
      </c>
      <c r="F84" s="26">
        <f>HLOOKUP($D$10,ReferenceTables!$AU$3:$CU$10,3,FALSE)</f>
        <v>44705</v>
      </c>
      <c r="G84" s="35" t="str">
        <f>_xlfn.IFNA(VLOOKUP(A84,$A$14:$L$21,7,FALSE),"")</f>
        <v/>
      </c>
      <c r="H84" s="16"/>
      <c r="I84" s="28"/>
      <c r="J84" s="16"/>
      <c r="K84" s="16"/>
      <c r="L84" s="16"/>
      <c r="M84" s="13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idden="1" outlineLevel="1" x14ac:dyDescent="0.35">
      <c r="A85" t="e">
        <f t="shared" si="2"/>
        <v>#N/A</v>
      </c>
      <c r="B85" s="30">
        <v>1</v>
      </c>
      <c r="C85" s="88" t="s">
        <v>35</v>
      </c>
      <c r="D85" s="69" t="e">
        <f>VLOOKUP(C85,Project_Replicon[[#All],[Replicon Line w/code]:[Project2]],2,FALSE)</f>
        <v>#N/A</v>
      </c>
      <c r="E85" s="69" t="str">
        <f t="shared" si="8"/>
        <v/>
      </c>
      <c r="F85" s="67">
        <f>HLOOKUP($D$10,ReferenceTables!$AU$3:$CU$10,3,FALSE)</f>
        <v>44705</v>
      </c>
      <c r="G85" s="68" t="str">
        <f t="shared" si="7"/>
        <v/>
      </c>
      <c r="H85" s="16"/>
      <c r="I85" s="28"/>
      <c r="J85" s="16"/>
      <c r="K85" s="16"/>
      <c r="L85" s="16"/>
      <c r="M85" s="13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idden="1" outlineLevel="1" x14ac:dyDescent="0.35">
      <c r="A86" t="e">
        <f t="shared" si="2"/>
        <v>#N/A</v>
      </c>
      <c r="B86" s="30">
        <v>2</v>
      </c>
      <c r="C86" s="86" t="s">
        <v>35</v>
      </c>
      <c r="D86" s="73" t="e">
        <f>VLOOKUP(C86,Project_Replicon[[#All],[Replicon Line w/code]:[Project2]],2,FALSE)</f>
        <v>#N/A</v>
      </c>
      <c r="E86" s="70" t="str">
        <f t="shared" si="8"/>
        <v/>
      </c>
      <c r="F86" s="71">
        <f>HLOOKUP($D$10,ReferenceTables!$AU$3:$CU$10,3,FALSE)</f>
        <v>44705</v>
      </c>
      <c r="G86" s="72" t="str">
        <f t="shared" si="7"/>
        <v/>
      </c>
      <c r="H86" s="16"/>
      <c r="I86" s="16"/>
      <c r="J86" s="16"/>
      <c r="K86" s="16"/>
      <c r="L86" s="16"/>
      <c r="M86" s="13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idden="1" outlineLevel="1" x14ac:dyDescent="0.35">
      <c r="A87" t="e">
        <f t="shared" si="2"/>
        <v>#N/A</v>
      </c>
      <c r="B87" s="30">
        <v>3</v>
      </c>
      <c r="C87" s="87" t="s">
        <v>35</v>
      </c>
      <c r="D87" s="25" t="e">
        <f>VLOOKUP(C87,Project_Replicon[[#All],[Replicon Line w/code]:[Project2]],2,FALSE)</f>
        <v>#N/A</v>
      </c>
      <c r="E87" s="34" t="str">
        <f t="shared" ref="E87:E96" si="9">_xlfn.IFNA(VLOOKUP(A87,$A$14:$C$21,3,FALSE),"")</f>
        <v/>
      </c>
      <c r="F87" s="26">
        <f>HLOOKUP($D$10,ReferenceTables!$AU$3:$CU$10,3,FALSE)</f>
        <v>44705</v>
      </c>
      <c r="G87" s="35" t="str">
        <f t="shared" ref="G87:G96" si="10">_xlfn.IFNA(VLOOKUP(A87,$A$14:$L$21,7,FALSE),"")</f>
        <v/>
      </c>
      <c r="H87" s="16"/>
      <c r="I87" s="16"/>
      <c r="J87" s="16"/>
      <c r="K87" s="16"/>
      <c r="L87" s="16"/>
      <c r="M87" s="13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idden="1" outlineLevel="1" x14ac:dyDescent="0.35">
      <c r="A88" t="e">
        <f t="shared" si="2"/>
        <v>#N/A</v>
      </c>
      <c r="B88" s="30">
        <v>1</v>
      </c>
      <c r="C88" s="88" t="s">
        <v>36</v>
      </c>
      <c r="D88" s="69" t="e">
        <f>VLOOKUP(C88,Project_Replicon[[#All],[Replicon Line w/code]:[Project2]],2,FALSE)</f>
        <v>#N/A</v>
      </c>
      <c r="E88" s="69" t="str">
        <f t="shared" si="9"/>
        <v/>
      </c>
      <c r="F88" s="67">
        <f>HLOOKUP($D$10,ReferenceTables!$AU$3:$CU$10,3,FALSE)</f>
        <v>44705</v>
      </c>
      <c r="G88" s="68" t="str">
        <f t="shared" si="10"/>
        <v/>
      </c>
      <c r="H88" s="16"/>
      <c r="I88" s="16"/>
      <c r="J88" s="16"/>
      <c r="K88" s="16"/>
      <c r="L88" s="16"/>
      <c r="M88" s="13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idden="1" outlineLevel="1" x14ac:dyDescent="0.35">
      <c r="A89" t="e">
        <f t="shared" si="2"/>
        <v>#N/A</v>
      </c>
      <c r="B89" s="30">
        <v>2</v>
      </c>
      <c r="C89" s="86" t="s">
        <v>36</v>
      </c>
      <c r="D89" s="73" t="e">
        <f>VLOOKUP(C89,Project_Replicon[[#All],[Replicon Line w/code]:[Project2]],2,FALSE)</f>
        <v>#N/A</v>
      </c>
      <c r="E89" s="70" t="str">
        <f t="shared" si="9"/>
        <v/>
      </c>
      <c r="F89" s="71">
        <f>HLOOKUP($D$10,ReferenceTables!$AU$3:$CU$10,3,FALSE)</f>
        <v>44705</v>
      </c>
      <c r="G89" s="72" t="str">
        <f t="shared" si="10"/>
        <v/>
      </c>
      <c r="H89" s="16"/>
      <c r="I89" s="16"/>
      <c r="J89" s="16"/>
      <c r="K89" s="16"/>
      <c r="L89" s="16"/>
      <c r="M89" s="13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idden="1" outlineLevel="1" x14ac:dyDescent="0.35">
      <c r="A90" t="e">
        <f t="shared" si="2"/>
        <v>#N/A</v>
      </c>
      <c r="B90" s="30">
        <v>3</v>
      </c>
      <c r="C90" s="87" t="s">
        <v>36</v>
      </c>
      <c r="D90" s="25" t="e">
        <f>VLOOKUP(C90,Project_Replicon[[#All],[Replicon Line w/code]:[Project2]],2,FALSE)</f>
        <v>#N/A</v>
      </c>
      <c r="E90" s="34" t="str">
        <f t="shared" si="9"/>
        <v/>
      </c>
      <c r="F90" s="26">
        <f>HLOOKUP($D$10,ReferenceTables!$AU$3:$CU$10,3,FALSE)</f>
        <v>44705</v>
      </c>
      <c r="G90" s="35" t="str">
        <f t="shared" si="10"/>
        <v/>
      </c>
      <c r="H90" s="16"/>
      <c r="I90" s="16"/>
      <c r="J90" s="16"/>
      <c r="K90" s="16"/>
      <c r="L90" s="16"/>
      <c r="M90" s="13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idden="1" outlineLevel="1" x14ac:dyDescent="0.35">
      <c r="A91" t="e">
        <f t="shared" si="2"/>
        <v>#N/A</v>
      </c>
      <c r="B91" s="30">
        <v>1</v>
      </c>
      <c r="C91" s="88" t="s">
        <v>37</v>
      </c>
      <c r="D91" s="69" t="e">
        <f>VLOOKUP(C91,Project_Replicon[[#All],[Replicon Line w/code]:[Project2]],2,FALSE)</f>
        <v>#N/A</v>
      </c>
      <c r="E91" s="69" t="str">
        <f t="shared" si="9"/>
        <v/>
      </c>
      <c r="F91" s="67">
        <f>HLOOKUP($D$10,ReferenceTables!$AU$3:$CU$10,3,FALSE)</f>
        <v>44705</v>
      </c>
      <c r="G91" s="68" t="str">
        <f t="shared" si="10"/>
        <v/>
      </c>
      <c r="H91" s="16"/>
      <c r="I91" s="16"/>
      <c r="J91" s="16"/>
      <c r="K91" s="16"/>
      <c r="L91" s="16"/>
      <c r="M91" s="13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idden="1" outlineLevel="1" x14ac:dyDescent="0.35">
      <c r="A92" t="e">
        <f t="shared" si="2"/>
        <v>#N/A</v>
      </c>
      <c r="B92" s="30">
        <v>2</v>
      </c>
      <c r="C92" s="86" t="s">
        <v>37</v>
      </c>
      <c r="D92" s="73" t="e">
        <f>VLOOKUP(C92,Project_Replicon[[#All],[Replicon Line w/code]:[Project2]],2,FALSE)</f>
        <v>#N/A</v>
      </c>
      <c r="E92" s="70" t="str">
        <f t="shared" si="9"/>
        <v/>
      </c>
      <c r="F92" s="71">
        <f>HLOOKUP($D$10,ReferenceTables!$AU$3:$CU$10,3,FALSE)</f>
        <v>44705</v>
      </c>
      <c r="G92" s="72" t="str">
        <f t="shared" si="10"/>
        <v/>
      </c>
      <c r="H92" s="16"/>
      <c r="I92" s="16"/>
      <c r="J92" s="16"/>
      <c r="K92" s="16"/>
      <c r="L92" s="16"/>
      <c r="M92" s="13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idden="1" outlineLevel="1" x14ac:dyDescent="0.35">
      <c r="A93" t="e">
        <f t="shared" si="2"/>
        <v>#N/A</v>
      </c>
      <c r="B93" s="30">
        <v>3</v>
      </c>
      <c r="C93" s="87" t="s">
        <v>37</v>
      </c>
      <c r="D93" s="25" t="e">
        <f>VLOOKUP(C93,Project_Replicon[[#All],[Replicon Line w/code]:[Project2]],2,FALSE)</f>
        <v>#N/A</v>
      </c>
      <c r="E93" s="34" t="str">
        <f t="shared" si="9"/>
        <v/>
      </c>
      <c r="F93" s="26">
        <f>HLOOKUP($D$10,ReferenceTables!$AU$3:$CU$10,3,FALSE)</f>
        <v>44705</v>
      </c>
      <c r="G93" s="35" t="str">
        <f t="shared" si="10"/>
        <v/>
      </c>
      <c r="H93" s="16"/>
      <c r="I93" s="16"/>
      <c r="J93" s="16"/>
      <c r="K93" s="16"/>
      <c r="L93" s="16"/>
      <c r="M93" s="13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idden="1" outlineLevel="1" x14ac:dyDescent="0.35">
      <c r="A94" t="str">
        <f t="shared" si="2"/>
        <v>1ABNAMRO-0026-13 P2- Risk ServicesP2- Risk Services</v>
      </c>
      <c r="B94" s="30">
        <v>1</v>
      </c>
      <c r="C94" s="88" t="s">
        <v>38</v>
      </c>
      <c r="D94" s="69" t="str">
        <f>VLOOKUP(C94,Project_Replicon[[#All],[Replicon Line w/code]:[Project2]],2,FALSE)</f>
        <v>P2- Risk Services</v>
      </c>
      <c r="E94" s="69" t="str">
        <f t="shared" si="9"/>
        <v/>
      </c>
      <c r="F94" s="67">
        <f>HLOOKUP($D$10,ReferenceTables!$AU$3:$CU$10,3,FALSE)</f>
        <v>44705</v>
      </c>
      <c r="G94" s="68" t="str">
        <f t="shared" si="10"/>
        <v/>
      </c>
      <c r="H94" s="16"/>
      <c r="I94" s="16"/>
      <c r="J94" s="16"/>
      <c r="K94" s="16"/>
      <c r="L94" s="16"/>
      <c r="M94" s="13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idden="1" outlineLevel="1" x14ac:dyDescent="0.35">
      <c r="A95" t="str">
        <f t="shared" si="2"/>
        <v>2ABNAMRO-0026-13 P2- Risk ServicesP2- Risk Services</v>
      </c>
      <c r="B95" s="30">
        <v>2</v>
      </c>
      <c r="C95" s="86" t="s">
        <v>38</v>
      </c>
      <c r="D95" s="73" t="str">
        <f>VLOOKUP(C95,Project_Replicon[[#All],[Replicon Line w/code]:[Project2]],2,FALSE)</f>
        <v>P2- Risk Services</v>
      </c>
      <c r="E95" s="70" t="str">
        <f t="shared" si="9"/>
        <v/>
      </c>
      <c r="F95" s="71">
        <f>HLOOKUP($D$10,ReferenceTables!$AU$3:$CU$10,3,FALSE)</f>
        <v>44705</v>
      </c>
      <c r="G95" s="72" t="str">
        <f t="shared" si="10"/>
        <v/>
      </c>
      <c r="H95" s="16"/>
      <c r="I95" s="16"/>
      <c r="J95" s="16"/>
      <c r="K95" s="16"/>
      <c r="L95" s="16"/>
      <c r="M95" s="13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idden="1" outlineLevel="1" x14ac:dyDescent="0.35">
      <c r="A96" t="str">
        <f t="shared" si="2"/>
        <v>3ABNAMRO-0026-13 P2- Risk ServicesP2- Risk Services</v>
      </c>
      <c r="B96" s="30">
        <v>3</v>
      </c>
      <c r="C96" s="87" t="s">
        <v>38</v>
      </c>
      <c r="D96" s="25" t="str">
        <f>VLOOKUP(C96,Project_Replicon[[#All],[Replicon Line w/code]:[Project2]],2,FALSE)</f>
        <v>P2- Risk Services</v>
      </c>
      <c r="E96" s="34" t="str">
        <f t="shared" si="9"/>
        <v/>
      </c>
      <c r="F96" s="26">
        <f>HLOOKUP($D$10,ReferenceTables!$AU$3:$CU$10,3,FALSE)</f>
        <v>44705</v>
      </c>
      <c r="G96" s="35" t="str">
        <f t="shared" si="10"/>
        <v/>
      </c>
      <c r="H96" s="16"/>
      <c r="I96" s="16"/>
      <c r="J96" s="16"/>
      <c r="K96" s="16"/>
      <c r="L96" s="16"/>
      <c r="M96" s="13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idden="1" outlineLevel="1" x14ac:dyDescent="0.35">
      <c r="A97" t="e">
        <f t="shared" si="2"/>
        <v>#N/A</v>
      </c>
      <c r="B97" s="30">
        <v>1</v>
      </c>
      <c r="C97" s="88" t="s">
        <v>39</v>
      </c>
      <c r="D97" s="69" t="e">
        <f>VLOOKUP(C97,Project_Replicon[[#All],[Replicon Line w/code]:[Project2]],2,FALSE)</f>
        <v>#N/A</v>
      </c>
      <c r="E97" s="69" t="str">
        <f t="shared" si="8"/>
        <v/>
      </c>
      <c r="F97" s="67">
        <f>HLOOKUP($D$10,ReferenceTables!$AU$3:$CU$10,3,FALSE)</f>
        <v>44705</v>
      </c>
      <c r="G97" s="68" t="str">
        <f t="shared" si="7"/>
        <v/>
      </c>
      <c r="H97" s="16"/>
      <c r="I97" s="16"/>
      <c r="J97" s="16"/>
      <c r="K97" s="16"/>
      <c r="L97" s="16"/>
      <c r="M97" s="13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idden="1" outlineLevel="1" x14ac:dyDescent="0.35">
      <c r="A98" t="e">
        <f t="shared" si="2"/>
        <v>#N/A</v>
      </c>
      <c r="B98" s="30">
        <v>2</v>
      </c>
      <c r="C98" s="86" t="s">
        <v>39</v>
      </c>
      <c r="D98" s="73" t="e">
        <f>VLOOKUP(C98,Project_Replicon[[#All],[Replicon Line w/code]:[Project2]],2,FALSE)</f>
        <v>#N/A</v>
      </c>
      <c r="E98" s="70" t="str">
        <f t="shared" si="8"/>
        <v/>
      </c>
      <c r="F98" s="71">
        <f>HLOOKUP($D$10,ReferenceTables!$AU$3:$CU$10,3,FALSE)</f>
        <v>44705</v>
      </c>
      <c r="G98" s="72" t="str">
        <f t="shared" si="7"/>
        <v/>
      </c>
      <c r="H98" s="16"/>
      <c r="I98" s="16"/>
      <c r="J98" s="16"/>
      <c r="K98" s="16"/>
      <c r="L98" s="16"/>
      <c r="M98" s="13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idden="1" outlineLevel="1" x14ac:dyDescent="0.35">
      <c r="A99" t="e">
        <f t="shared" si="2"/>
        <v>#N/A</v>
      </c>
      <c r="B99" s="30">
        <v>3</v>
      </c>
      <c r="C99" s="87" t="s">
        <v>39</v>
      </c>
      <c r="D99" s="25" t="e">
        <f>VLOOKUP(C99,Project_Replicon[[#All],[Replicon Line w/code]:[Project2]],2,FALSE)</f>
        <v>#N/A</v>
      </c>
      <c r="E99" s="34" t="str">
        <f>_xlfn.IFNA(VLOOKUP(A99,$A$14:$C$21,3,FALSE),"")</f>
        <v/>
      </c>
      <c r="F99" s="26">
        <f>HLOOKUP($D$10,ReferenceTables!$AU$3:$CU$10,3,FALSE)</f>
        <v>44705</v>
      </c>
      <c r="G99" s="35" t="str">
        <f>_xlfn.IFNA(VLOOKUP(A99,$A$14:$L$21,7,FALSE),"")</f>
        <v/>
      </c>
      <c r="H99" s="16"/>
      <c r="I99" s="16"/>
      <c r="J99" s="16"/>
      <c r="K99" s="16"/>
      <c r="L99" s="16"/>
      <c r="M99" s="13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idden="1" outlineLevel="1" x14ac:dyDescent="0.35">
      <c r="A100" t="e">
        <f t="shared" si="2"/>
        <v>#N/A</v>
      </c>
      <c r="B100" s="30">
        <v>1</v>
      </c>
      <c r="C100" s="88" t="s">
        <v>40</v>
      </c>
      <c r="D100" s="69" t="e">
        <f>VLOOKUP(C100,Project_Replicon[[#All],[Replicon Line w/code]:[Project2]],2,FALSE)</f>
        <v>#N/A</v>
      </c>
      <c r="E100" s="69" t="str">
        <f t="shared" si="8"/>
        <v/>
      </c>
      <c r="F100" s="67">
        <f>HLOOKUP($D$10,ReferenceTables!$AU$3:$CU$10,3,FALSE)</f>
        <v>44705</v>
      </c>
      <c r="G100" s="68" t="str">
        <f>_xlfn.IFNA(VLOOKUP(A100,$A$14:$L$21,7,FALSE),"")</f>
        <v/>
      </c>
      <c r="H100" s="16"/>
      <c r="I100" s="16"/>
      <c r="J100" s="16"/>
      <c r="K100" s="16"/>
      <c r="L100" s="16"/>
      <c r="M100" s="13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idden="1" outlineLevel="1" x14ac:dyDescent="0.35">
      <c r="A101" t="e">
        <f t="shared" si="2"/>
        <v>#N/A</v>
      </c>
      <c r="B101" s="30">
        <v>2</v>
      </c>
      <c r="C101" s="86" t="s">
        <v>40</v>
      </c>
      <c r="D101" s="73" t="e">
        <f>VLOOKUP(C101,Project_Replicon[[#All],[Replicon Line w/code]:[Project2]],2,FALSE)</f>
        <v>#N/A</v>
      </c>
      <c r="E101" s="70" t="str">
        <f t="shared" si="8"/>
        <v/>
      </c>
      <c r="F101" s="71">
        <f>HLOOKUP($D$10,ReferenceTables!$AU$3:$CU$10,3,FALSE)</f>
        <v>44705</v>
      </c>
      <c r="G101" s="72" t="str">
        <f t="shared" si="7"/>
        <v/>
      </c>
      <c r="H101" s="16"/>
      <c r="I101" s="16"/>
      <c r="J101" s="16"/>
      <c r="K101" s="16"/>
      <c r="L101" s="16"/>
      <c r="M101" s="13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" hidden="1" outlineLevel="1" thickBot="1" x14ac:dyDescent="0.4">
      <c r="A102" t="e">
        <f t="shared" si="2"/>
        <v>#N/A</v>
      </c>
      <c r="B102" s="30">
        <v>3</v>
      </c>
      <c r="C102" s="89" t="s">
        <v>40</v>
      </c>
      <c r="D102" s="83" t="e">
        <f>VLOOKUP(C102,Project_Replicon[[#All],[Replicon Line w/code]:[Project2]],2,FALSE)</f>
        <v>#N/A</v>
      </c>
      <c r="E102" s="36" t="str">
        <f>_xlfn.IFNA(VLOOKUP(A102,$A$14:$C$21,3,FALSE),"")</f>
        <v/>
      </c>
      <c r="F102" s="84">
        <f>HLOOKUP($D$10,ReferenceTables!$AU$3:$CU$10,3,FALSE)</f>
        <v>44705</v>
      </c>
      <c r="G102" s="37" t="str">
        <f>_xlfn.IFNA(VLOOKUP(A102,$A$14:$L$21,7,FALSE),"")</f>
        <v/>
      </c>
      <c r="H102" s="16"/>
      <c r="I102" s="16"/>
      <c r="J102" s="16"/>
      <c r="K102" s="16"/>
      <c r="L102" s="16"/>
      <c r="M102" s="13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" hidden="1" outlineLevel="1" thickTop="1" x14ac:dyDescent="0.35">
      <c r="A103" t="e">
        <f t="shared" si="2"/>
        <v>#N/A</v>
      </c>
      <c r="B103" s="30">
        <v>1</v>
      </c>
      <c r="C103" s="98" t="s">
        <v>28</v>
      </c>
      <c r="D103" s="99" t="e">
        <f>VLOOKUP(C103,Project_Replicon[[#All],[Replicon Line w/code]:[Project2]],2,FALSE)</f>
        <v>#N/A</v>
      </c>
      <c r="E103" s="99" t="str">
        <f t="shared" si="8"/>
        <v/>
      </c>
      <c r="F103" s="71">
        <f>HLOOKUP($D$10,ReferenceTables!$AU$3:$CU$10,4,FALSE)</f>
        <v>44706</v>
      </c>
      <c r="G103" s="100" t="str">
        <f t="shared" ref="G103:G140" si="11">_xlfn.IFNA(VLOOKUP(A103,$A$14:$L$21,8,FALSE),"")</f>
        <v/>
      </c>
      <c r="H103" s="16"/>
      <c r="I103" s="28"/>
      <c r="J103" s="16"/>
      <c r="K103" s="16"/>
      <c r="L103" s="16"/>
      <c r="M103" s="13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idden="1" outlineLevel="1" x14ac:dyDescent="0.35">
      <c r="A104" t="e">
        <f t="shared" si="2"/>
        <v>#N/A</v>
      </c>
      <c r="B104" s="30">
        <v>2</v>
      </c>
      <c r="C104" s="86" t="s">
        <v>28</v>
      </c>
      <c r="D104" s="73" t="e">
        <f>VLOOKUP(C104,Project_Replicon[[#All],[Replicon Line w/code]:[Project2]],2,FALSE)</f>
        <v>#N/A</v>
      </c>
      <c r="E104" s="70" t="str">
        <f t="shared" si="8"/>
        <v/>
      </c>
      <c r="F104" s="71">
        <f>HLOOKUP($D$10,ReferenceTables!$AU$3:$CU$10,4,FALSE)</f>
        <v>44706</v>
      </c>
      <c r="G104" s="72" t="str">
        <f t="shared" si="11"/>
        <v/>
      </c>
      <c r="H104" s="16"/>
      <c r="I104" s="28"/>
      <c r="J104" s="16"/>
      <c r="K104" s="16"/>
      <c r="L104" s="16"/>
      <c r="M104" s="13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idden="1" outlineLevel="1" x14ac:dyDescent="0.35">
      <c r="A105" t="e">
        <f t="shared" si="2"/>
        <v>#N/A</v>
      </c>
      <c r="B105" s="30">
        <v>3</v>
      </c>
      <c r="C105" s="87" t="s">
        <v>28</v>
      </c>
      <c r="D105" s="25" t="e">
        <f>VLOOKUP(C105,Project_Replicon[[#All],[Replicon Line w/code]:[Project2]],2,FALSE)</f>
        <v>#N/A</v>
      </c>
      <c r="E105" s="34" t="str">
        <f>_xlfn.IFNA(VLOOKUP(A105,$A$14:$C$21,3,FALSE),"")</f>
        <v/>
      </c>
      <c r="F105" s="26">
        <f>HLOOKUP($D$10,ReferenceTables!$AU$3:$CU$10,4,FALSE)</f>
        <v>44706</v>
      </c>
      <c r="G105" s="35" t="str">
        <f>_xlfn.IFNA(VLOOKUP(A105,$A$14:$L$21,8,FALSE),"")</f>
        <v/>
      </c>
      <c r="H105" s="16"/>
      <c r="I105" s="28"/>
      <c r="J105" s="16"/>
      <c r="K105" s="16"/>
      <c r="L105" s="16"/>
      <c r="M105" s="13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idden="1" outlineLevel="1" x14ac:dyDescent="0.35">
      <c r="A106" t="e">
        <f t="shared" si="2"/>
        <v>#N/A</v>
      </c>
      <c r="B106" s="30">
        <v>1</v>
      </c>
      <c r="C106" s="88" t="s">
        <v>29</v>
      </c>
      <c r="D106" s="69" t="e">
        <f>VLOOKUP(C106,Project_Replicon[[#All],[Replicon Line w/code]:[Project2]],2,FALSE)</f>
        <v>#N/A</v>
      </c>
      <c r="E106" s="69" t="str">
        <f t="shared" si="8"/>
        <v/>
      </c>
      <c r="F106" s="67">
        <f>HLOOKUP($D$10,ReferenceTables!$AU$3:$CU$10,4,FALSE)</f>
        <v>44706</v>
      </c>
      <c r="G106" s="68" t="str">
        <f t="shared" si="11"/>
        <v/>
      </c>
      <c r="H106" s="16"/>
      <c r="I106" s="28"/>
      <c r="J106" s="16"/>
      <c r="K106" s="16"/>
      <c r="L106" s="16"/>
      <c r="M106" s="13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idden="1" outlineLevel="1" x14ac:dyDescent="0.35">
      <c r="A107" t="e">
        <f t="shared" si="2"/>
        <v>#N/A</v>
      </c>
      <c r="B107" s="30">
        <v>2</v>
      </c>
      <c r="C107" s="86" t="s">
        <v>29</v>
      </c>
      <c r="D107" s="73" t="e">
        <f>VLOOKUP(C107,Project_Replicon[[#All],[Replicon Line w/code]:[Project2]],2,FALSE)</f>
        <v>#N/A</v>
      </c>
      <c r="E107" s="70" t="str">
        <f t="shared" si="8"/>
        <v/>
      </c>
      <c r="F107" s="71">
        <f>HLOOKUP($D$10,ReferenceTables!$AU$3:$CU$10,4,FALSE)</f>
        <v>44706</v>
      </c>
      <c r="G107" s="72" t="str">
        <f t="shared" si="11"/>
        <v/>
      </c>
      <c r="H107" s="16"/>
      <c r="I107" s="28"/>
      <c r="J107" s="16"/>
      <c r="K107" s="16"/>
      <c r="L107" s="16"/>
      <c r="M107" s="13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idden="1" outlineLevel="1" x14ac:dyDescent="0.35">
      <c r="A108" t="e">
        <f t="shared" si="2"/>
        <v>#N/A</v>
      </c>
      <c r="B108" s="30">
        <v>3</v>
      </c>
      <c r="C108" s="87" t="s">
        <v>29</v>
      </c>
      <c r="D108" s="25" t="e">
        <f>VLOOKUP(C108,Project_Replicon[[#All],[Replicon Line w/code]:[Project2]],2,FALSE)</f>
        <v>#N/A</v>
      </c>
      <c r="E108" s="34" t="str">
        <f>_xlfn.IFNA(VLOOKUP(A108,$A$14:$C$21,3,FALSE),"")</f>
        <v/>
      </c>
      <c r="F108" s="26">
        <f>HLOOKUP($D$10,ReferenceTables!$AU$3:$CU$10,4,FALSE)</f>
        <v>44706</v>
      </c>
      <c r="G108" s="35" t="str">
        <f>_xlfn.IFNA(VLOOKUP(A108,$A$14:$L$21,8,FALSE),"")</f>
        <v/>
      </c>
      <c r="H108" s="16"/>
      <c r="I108" s="28"/>
      <c r="J108" s="16"/>
      <c r="K108" s="16"/>
      <c r="L108" s="16"/>
      <c r="M108" s="13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idden="1" outlineLevel="1" x14ac:dyDescent="0.35">
      <c r="A109" t="e">
        <f t="shared" si="2"/>
        <v>#N/A</v>
      </c>
      <c r="B109" s="30">
        <v>1</v>
      </c>
      <c r="C109" s="88" t="s">
        <v>30</v>
      </c>
      <c r="D109" s="69" t="e">
        <f>VLOOKUP(C109,Project_Replicon[[#All],[Replicon Line w/code]:[Project2]],2,FALSE)</f>
        <v>#N/A</v>
      </c>
      <c r="E109" s="69" t="str">
        <f t="shared" si="8"/>
        <v/>
      </c>
      <c r="F109" s="67">
        <f>HLOOKUP($D$10,ReferenceTables!$AU$3:$CU$10,4,FALSE)</f>
        <v>44706</v>
      </c>
      <c r="G109" s="68" t="str">
        <f t="shared" si="11"/>
        <v/>
      </c>
      <c r="H109" s="16"/>
      <c r="I109" s="28"/>
      <c r="J109" s="16"/>
      <c r="K109" s="16"/>
      <c r="L109" s="16"/>
      <c r="M109" s="13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idden="1" outlineLevel="1" x14ac:dyDescent="0.35">
      <c r="A110" t="e">
        <f t="shared" si="2"/>
        <v>#N/A</v>
      </c>
      <c r="B110" s="30">
        <v>2</v>
      </c>
      <c r="C110" s="86" t="s">
        <v>30</v>
      </c>
      <c r="D110" s="73" t="e">
        <f>VLOOKUP(C110,Project_Replicon[[#All],[Replicon Line w/code]:[Project2]],2,FALSE)</f>
        <v>#N/A</v>
      </c>
      <c r="E110" s="70" t="str">
        <f t="shared" si="8"/>
        <v/>
      </c>
      <c r="F110" s="71">
        <f>HLOOKUP($D$10,ReferenceTables!$AU$3:$CU$10,4,FALSE)</f>
        <v>44706</v>
      </c>
      <c r="G110" s="72" t="str">
        <f t="shared" si="11"/>
        <v/>
      </c>
      <c r="H110" s="16"/>
      <c r="I110" s="28"/>
      <c r="J110" s="16"/>
      <c r="K110" s="16"/>
      <c r="L110" s="16"/>
      <c r="M110" s="13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idden="1" outlineLevel="1" x14ac:dyDescent="0.35">
      <c r="A111" t="e">
        <f t="shared" si="2"/>
        <v>#N/A</v>
      </c>
      <c r="B111" s="30">
        <v>3</v>
      </c>
      <c r="C111" s="87" t="s">
        <v>30</v>
      </c>
      <c r="D111" s="25" t="e">
        <f>VLOOKUP(C111,Project_Replicon[[#All],[Replicon Line w/code]:[Project2]],2,FALSE)</f>
        <v>#N/A</v>
      </c>
      <c r="E111" s="34" t="str">
        <f>_xlfn.IFNA(VLOOKUP(A111,$A$14:$C$21,3,FALSE),"")</f>
        <v/>
      </c>
      <c r="F111" s="26">
        <f>HLOOKUP($D$10,ReferenceTables!$AU$3:$CU$10,4,FALSE)</f>
        <v>44706</v>
      </c>
      <c r="G111" s="35" t="str">
        <f>_xlfn.IFNA(VLOOKUP(A111,$A$14:$L$21,8,FALSE),"")</f>
        <v/>
      </c>
      <c r="H111" s="16"/>
      <c r="I111" s="28"/>
      <c r="J111" s="16"/>
      <c r="K111" s="16"/>
      <c r="L111" s="16"/>
      <c r="M111" s="13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idden="1" outlineLevel="1" x14ac:dyDescent="0.35">
      <c r="A112" t="e">
        <f t="shared" si="2"/>
        <v>#N/A</v>
      </c>
      <c r="B112" s="30">
        <v>1</v>
      </c>
      <c r="C112" s="88" t="s">
        <v>31</v>
      </c>
      <c r="D112" s="69" t="e">
        <f>VLOOKUP(C112,Project_Replicon[[#All],[Replicon Line w/code]:[Project2]],2,FALSE)</f>
        <v>#N/A</v>
      </c>
      <c r="E112" s="69" t="str">
        <f t="shared" si="8"/>
        <v/>
      </c>
      <c r="F112" s="67">
        <f>HLOOKUP($D$10,ReferenceTables!$AU$3:$CU$10,4,FALSE)</f>
        <v>44706</v>
      </c>
      <c r="G112" s="68" t="str">
        <f t="shared" si="11"/>
        <v/>
      </c>
      <c r="H112" s="16"/>
      <c r="I112" s="28"/>
      <c r="J112" s="16"/>
      <c r="K112" s="16"/>
      <c r="L112" s="16"/>
      <c r="M112" s="13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idden="1" outlineLevel="1" x14ac:dyDescent="0.35">
      <c r="A113" t="e">
        <f t="shared" si="2"/>
        <v>#N/A</v>
      </c>
      <c r="B113" s="30">
        <v>2</v>
      </c>
      <c r="C113" s="86" t="s">
        <v>31</v>
      </c>
      <c r="D113" s="73" t="e">
        <f>VLOOKUP(C113,Project_Replicon[[#All],[Replicon Line w/code]:[Project2]],2,FALSE)</f>
        <v>#N/A</v>
      </c>
      <c r="E113" s="70" t="str">
        <f t="shared" si="8"/>
        <v/>
      </c>
      <c r="F113" s="71">
        <f>HLOOKUP($D$10,ReferenceTables!$AU$3:$CU$10,4,FALSE)</f>
        <v>44706</v>
      </c>
      <c r="G113" s="72" t="str">
        <f t="shared" si="11"/>
        <v/>
      </c>
      <c r="H113" s="16"/>
      <c r="I113" s="28"/>
      <c r="J113" s="16"/>
      <c r="K113" s="16"/>
      <c r="L113" s="16"/>
      <c r="M113" s="13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idden="1" outlineLevel="1" x14ac:dyDescent="0.35">
      <c r="A114" t="e">
        <f t="shared" si="2"/>
        <v>#N/A</v>
      </c>
      <c r="B114" s="30">
        <v>3</v>
      </c>
      <c r="C114" s="87" t="s">
        <v>31</v>
      </c>
      <c r="D114" s="25" t="e">
        <f>VLOOKUP(C114,Project_Replicon[[#All],[Replicon Line w/code]:[Project2]],2,FALSE)</f>
        <v>#N/A</v>
      </c>
      <c r="E114" s="34" t="str">
        <f>_xlfn.IFNA(VLOOKUP(A114,$A$14:$C$21,3,FALSE),"")</f>
        <v/>
      </c>
      <c r="F114" s="26">
        <f>HLOOKUP($D$10,ReferenceTables!$AU$3:$CU$10,4,FALSE)</f>
        <v>44706</v>
      </c>
      <c r="G114" s="35" t="str">
        <f>_xlfn.IFNA(VLOOKUP(A114,$A$14:$L$21,8,FALSE),"")</f>
        <v/>
      </c>
      <c r="H114" s="16"/>
      <c r="I114" s="28"/>
      <c r="J114" s="16"/>
      <c r="K114" s="16"/>
      <c r="L114" s="16"/>
      <c r="M114" s="13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idden="1" outlineLevel="1" x14ac:dyDescent="0.35">
      <c r="A115" t="e">
        <f t="shared" si="2"/>
        <v>#N/A</v>
      </c>
      <c r="B115" s="30">
        <v>1</v>
      </c>
      <c r="C115" s="88" t="s">
        <v>32</v>
      </c>
      <c r="D115" s="69" t="e">
        <f>VLOOKUP(C115,Project_Replicon[[#All],[Replicon Line w/code]:[Project2]],2,FALSE)</f>
        <v>#N/A</v>
      </c>
      <c r="E115" s="69" t="str">
        <f t="shared" si="8"/>
        <v/>
      </c>
      <c r="F115" s="67">
        <f>HLOOKUP($D$10,ReferenceTables!$AU$3:$CU$10,4,FALSE)</f>
        <v>44706</v>
      </c>
      <c r="G115" s="68" t="str">
        <f t="shared" si="11"/>
        <v/>
      </c>
      <c r="H115" s="16"/>
      <c r="I115" s="28"/>
      <c r="J115" s="16"/>
      <c r="K115" s="16"/>
      <c r="L115" s="16"/>
      <c r="M115" s="13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idden="1" outlineLevel="1" x14ac:dyDescent="0.35">
      <c r="A116" t="e">
        <f t="shared" si="2"/>
        <v>#N/A</v>
      </c>
      <c r="B116" s="30">
        <v>2</v>
      </c>
      <c r="C116" s="86" t="s">
        <v>32</v>
      </c>
      <c r="D116" s="73" t="e">
        <f>VLOOKUP(C116,Project_Replicon[[#All],[Replicon Line w/code]:[Project2]],2,FALSE)</f>
        <v>#N/A</v>
      </c>
      <c r="E116" s="70" t="str">
        <f t="shared" si="8"/>
        <v/>
      </c>
      <c r="F116" s="71">
        <f>HLOOKUP($D$10,ReferenceTables!$AU$3:$CU$10,4,FALSE)</f>
        <v>44706</v>
      </c>
      <c r="G116" s="72" t="str">
        <f t="shared" si="11"/>
        <v/>
      </c>
      <c r="H116" s="16"/>
      <c r="I116" s="28"/>
      <c r="J116" s="16"/>
      <c r="K116" s="16"/>
      <c r="L116" s="16"/>
      <c r="M116" s="13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idden="1" outlineLevel="1" x14ac:dyDescent="0.35">
      <c r="A117" t="e">
        <f t="shared" si="2"/>
        <v>#N/A</v>
      </c>
      <c r="B117" s="30">
        <v>3</v>
      </c>
      <c r="C117" s="87" t="s">
        <v>32</v>
      </c>
      <c r="D117" s="25" t="e">
        <f>VLOOKUP(C117,Project_Replicon[[#All],[Replicon Line w/code]:[Project2]],2,FALSE)</f>
        <v>#N/A</v>
      </c>
      <c r="E117" s="34" t="str">
        <f>_xlfn.IFNA(VLOOKUP(A117,$A$14:$C$21,3,FALSE),"")</f>
        <v/>
      </c>
      <c r="F117" s="26">
        <f>HLOOKUP($D$10,ReferenceTables!$AU$3:$CU$10,4,FALSE)</f>
        <v>44706</v>
      </c>
      <c r="G117" s="35" t="str">
        <f>_xlfn.IFNA(VLOOKUP(A117,$A$14:$L$21,8,FALSE),"")</f>
        <v/>
      </c>
      <c r="H117" s="16"/>
      <c r="I117" s="28"/>
      <c r="J117" s="16"/>
      <c r="K117" s="16"/>
      <c r="L117" s="16"/>
      <c r="M117" s="13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idden="1" outlineLevel="1" x14ac:dyDescent="0.35">
      <c r="A118" t="str">
        <f t="shared" si="2"/>
        <v>1ABNAMRO-0026-07 P4 - Basel IVP4 - Basel IV</v>
      </c>
      <c r="B118" s="30">
        <v>1</v>
      </c>
      <c r="C118" s="88" t="s">
        <v>33</v>
      </c>
      <c r="D118" s="69" t="str">
        <f>VLOOKUP(C118,Project_Replicon[[#All],[Replicon Line w/code]:[Project2]],2,FALSE)</f>
        <v>P4 - Basel IV</v>
      </c>
      <c r="E118" s="69" t="str">
        <f t="shared" si="8"/>
        <v>Credit Risk</v>
      </c>
      <c r="F118" s="67">
        <f>HLOOKUP($D$10,ReferenceTables!$AU$3:$CU$10,4,FALSE)</f>
        <v>44706</v>
      </c>
      <c r="G118" s="68">
        <f t="shared" si="11"/>
        <v>8</v>
      </c>
      <c r="H118" s="16"/>
      <c r="I118" s="28"/>
      <c r="J118" s="16"/>
      <c r="K118" s="16"/>
      <c r="L118" s="16"/>
      <c r="M118" s="13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idden="1" outlineLevel="1" x14ac:dyDescent="0.35">
      <c r="A119" t="str">
        <f t="shared" si="2"/>
        <v>2ABNAMRO-0026-07 P4 - Basel IVP4 - Basel IV</v>
      </c>
      <c r="B119" s="30">
        <v>2</v>
      </c>
      <c r="C119" s="86" t="s">
        <v>33</v>
      </c>
      <c r="D119" s="73" t="str">
        <f>VLOOKUP(C119,Project_Replicon[[#All],[Replicon Line w/code]:[Project2]],2,FALSE)</f>
        <v>P4 - Basel IV</v>
      </c>
      <c r="E119" s="70" t="str">
        <f t="shared" si="8"/>
        <v/>
      </c>
      <c r="F119" s="71">
        <f>HLOOKUP($D$10,ReferenceTables!$AU$3:$CU$10,4,FALSE)</f>
        <v>44706</v>
      </c>
      <c r="G119" s="72" t="str">
        <f t="shared" si="11"/>
        <v/>
      </c>
      <c r="H119" s="16"/>
      <c r="I119" s="28"/>
      <c r="J119" s="16"/>
      <c r="K119" s="16"/>
      <c r="L119" s="16"/>
      <c r="M119" s="13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idden="1" outlineLevel="1" x14ac:dyDescent="0.35">
      <c r="A120" t="str">
        <f t="shared" ref="A120:A183" si="12">_xlfn.CONCAT(B120,C120,D120)</f>
        <v>3ABNAMRO-0026-07 P4 - Basel IVP4 - Basel IV</v>
      </c>
      <c r="B120" s="30">
        <v>3</v>
      </c>
      <c r="C120" s="87" t="s">
        <v>33</v>
      </c>
      <c r="D120" s="25" t="str">
        <f>VLOOKUP(C120,Project_Replicon[[#All],[Replicon Line w/code]:[Project2]],2,FALSE)</f>
        <v>P4 - Basel IV</v>
      </c>
      <c r="E120" s="34" t="str">
        <f>_xlfn.IFNA(VLOOKUP(A120,$A$14:$C$21,3,FALSE),"")</f>
        <v/>
      </c>
      <c r="F120" s="26">
        <f>HLOOKUP($D$10,ReferenceTables!$AU$3:$CU$10,4,FALSE)</f>
        <v>44706</v>
      </c>
      <c r="G120" s="35" t="str">
        <f>_xlfn.IFNA(VLOOKUP(A120,$A$14:$L$21,8,FALSE),"")</f>
        <v/>
      </c>
      <c r="H120" s="16"/>
      <c r="I120" s="28"/>
      <c r="J120" s="16"/>
      <c r="K120" s="16"/>
      <c r="L120" s="16"/>
      <c r="M120" s="13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idden="1" outlineLevel="1" x14ac:dyDescent="0.35">
      <c r="A121" t="e">
        <f t="shared" si="12"/>
        <v>#N/A</v>
      </c>
      <c r="B121" s="30">
        <v>1</v>
      </c>
      <c r="C121" s="88" t="s">
        <v>34</v>
      </c>
      <c r="D121" s="69" t="e">
        <f>VLOOKUP(C121,Project_Replicon[[#All],[Replicon Line w/code]:[Project2]],2,FALSE)</f>
        <v>#N/A</v>
      </c>
      <c r="E121" s="69" t="str">
        <f t="shared" si="8"/>
        <v/>
      </c>
      <c r="F121" s="67">
        <f>HLOOKUP($D$10,ReferenceTables!$AU$3:$CU$10,4,FALSE)</f>
        <v>44706</v>
      </c>
      <c r="G121" s="68" t="str">
        <f t="shared" si="11"/>
        <v/>
      </c>
      <c r="H121" s="16"/>
      <c r="I121" s="28"/>
      <c r="J121" s="16"/>
      <c r="K121" s="16"/>
      <c r="L121" s="16"/>
      <c r="M121" s="13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idden="1" outlineLevel="1" x14ac:dyDescent="0.35">
      <c r="A122" t="e">
        <f t="shared" si="12"/>
        <v>#N/A</v>
      </c>
      <c r="B122" s="30">
        <v>2</v>
      </c>
      <c r="C122" s="86" t="s">
        <v>34</v>
      </c>
      <c r="D122" s="73" t="e">
        <f>VLOOKUP(C122,Project_Replicon[[#All],[Replicon Line w/code]:[Project2]],2,FALSE)</f>
        <v>#N/A</v>
      </c>
      <c r="E122" s="70" t="str">
        <f t="shared" si="8"/>
        <v/>
      </c>
      <c r="F122" s="71">
        <f>HLOOKUP($D$10,ReferenceTables!$AU$3:$CU$10,4,FALSE)</f>
        <v>44706</v>
      </c>
      <c r="G122" s="72" t="str">
        <f t="shared" si="11"/>
        <v/>
      </c>
      <c r="H122" s="16"/>
      <c r="I122" s="28"/>
      <c r="J122" s="16"/>
      <c r="K122" s="16"/>
      <c r="L122" s="16"/>
      <c r="M122" s="13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idden="1" outlineLevel="1" x14ac:dyDescent="0.35">
      <c r="A123" t="e">
        <f t="shared" si="12"/>
        <v>#N/A</v>
      </c>
      <c r="B123" s="30">
        <v>3</v>
      </c>
      <c r="C123" s="87" t="s">
        <v>34</v>
      </c>
      <c r="D123" s="25" t="e">
        <f>VLOOKUP(C123,Project_Replicon[[#All],[Replicon Line w/code]:[Project2]],2,FALSE)</f>
        <v>#N/A</v>
      </c>
      <c r="E123" s="34" t="str">
        <f>_xlfn.IFNA(VLOOKUP(A123,$A$14:$C$21,3,FALSE),"")</f>
        <v/>
      </c>
      <c r="F123" s="26">
        <f>HLOOKUP($D$10,ReferenceTables!$AU$3:$CU$10,4,FALSE)</f>
        <v>44706</v>
      </c>
      <c r="G123" s="35" t="str">
        <f>_xlfn.IFNA(VLOOKUP(A123,$A$14:$L$21,8,FALSE),"")</f>
        <v/>
      </c>
      <c r="H123" s="16"/>
      <c r="I123" s="28"/>
      <c r="J123" s="16"/>
      <c r="K123" s="16"/>
      <c r="L123" s="16"/>
      <c r="M123" s="13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idden="1" outlineLevel="1" x14ac:dyDescent="0.35">
      <c r="A124" t="e">
        <f t="shared" si="12"/>
        <v>#N/A</v>
      </c>
      <c r="B124" s="30">
        <v>1</v>
      </c>
      <c r="C124" s="88" t="s">
        <v>35</v>
      </c>
      <c r="D124" s="69" t="e">
        <f>VLOOKUP(C124,Project_Replicon[[#All],[Replicon Line w/code]:[Project2]],2,FALSE)</f>
        <v>#N/A</v>
      </c>
      <c r="E124" s="69" t="str">
        <f t="shared" ref="E124:E179" si="13">_xlfn.IFNA(VLOOKUP(A124,$A$14:$C$21,3,FALSE),"")</f>
        <v/>
      </c>
      <c r="F124" s="67">
        <f>HLOOKUP($D$10,ReferenceTables!$AU$3:$CU$10,4,FALSE)</f>
        <v>44706</v>
      </c>
      <c r="G124" s="68" t="str">
        <f t="shared" si="11"/>
        <v/>
      </c>
      <c r="H124" s="16"/>
      <c r="I124" s="28"/>
      <c r="J124" s="16"/>
      <c r="K124" s="16"/>
      <c r="L124" s="16"/>
      <c r="M124" s="13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idden="1" outlineLevel="1" x14ac:dyDescent="0.35">
      <c r="A125" t="e">
        <f t="shared" si="12"/>
        <v>#N/A</v>
      </c>
      <c r="B125" s="30">
        <v>2</v>
      </c>
      <c r="C125" s="86" t="s">
        <v>35</v>
      </c>
      <c r="D125" s="73" t="e">
        <f>VLOOKUP(C125,Project_Replicon[[#All],[Replicon Line w/code]:[Project2]],2,FALSE)</f>
        <v>#N/A</v>
      </c>
      <c r="E125" s="70" t="str">
        <f t="shared" si="13"/>
        <v/>
      </c>
      <c r="F125" s="71">
        <f>HLOOKUP($D$10,ReferenceTables!$AU$3:$CU$10,4,FALSE)</f>
        <v>44706</v>
      </c>
      <c r="G125" s="72" t="str">
        <f t="shared" si="11"/>
        <v/>
      </c>
      <c r="H125" s="16"/>
      <c r="I125" s="16"/>
      <c r="J125" s="16"/>
      <c r="K125" s="16"/>
      <c r="L125" s="16"/>
      <c r="M125" s="13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idden="1" outlineLevel="1" x14ac:dyDescent="0.35">
      <c r="A126" t="e">
        <f t="shared" si="12"/>
        <v>#N/A</v>
      </c>
      <c r="B126" s="30">
        <v>3</v>
      </c>
      <c r="C126" s="87" t="s">
        <v>35</v>
      </c>
      <c r="D126" s="25" t="e">
        <f>VLOOKUP(C126,Project_Replicon[[#All],[Replicon Line w/code]:[Project2]],2,FALSE)</f>
        <v>#N/A</v>
      </c>
      <c r="E126" s="34" t="str">
        <f t="shared" ref="E126:E135" si="14">_xlfn.IFNA(VLOOKUP(A126,$A$14:$C$21,3,FALSE),"")</f>
        <v/>
      </c>
      <c r="F126" s="26">
        <f>HLOOKUP($D$10,ReferenceTables!$AU$3:$CU$10,4,FALSE)</f>
        <v>44706</v>
      </c>
      <c r="G126" s="35" t="str">
        <f t="shared" ref="G126:G135" si="15">_xlfn.IFNA(VLOOKUP(A126,$A$14:$L$21,8,FALSE),"")</f>
        <v/>
      </c>
      <c r="H126" s="16"/>
      <c r="I126" s="16"/>
      <c r="J126" s="16"/>
      <c r="K126" s="16"/>
      <c r="L126" s="16"/>
      <c r="M126" s="13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idden="1" outlineLevel="1" x14ac:dyDescent="0.35">
      <c r="A127" t="e">
        <f t="shared" si="12"/>
        <v>#N/A</v>
      </c>
      <c r="B127" s="30">
        <v>1</v>
      </c>
      <c r="C127" s="88" t="s">
        <v>36</v>
      </c>
      <c r="D127" s="69" t="e">
        <f>VLOOKUP(C127,Project_Replicon[[#All],[Replicon Line w/code]:[Project2]],2,FALSE)</f>
        <v>#N/A</v>
      </c>
      <c r="E127" s="69" t="str">
        <f t="shared" si="14"/>
        <v/>
      </c>
      <c r="F127" s="67">
        <f>HLOOKUP($D$10,ReferenceTables!$AU$3:$CU$10,4,FALSE)</f>
        <v>44706</v>
      </c>
      <c r="G127" s="68" t="str">
        <f t="shared" si="15"/>
        <v/>
      </c>
      <c r="H127" s="16"/>
      <c r="I127" s="16"/>
      <c r="J127" s="16"/>
      <c r="K127" s="16"/>
      <c r="L127" s="16"/>
      <c r="M127" s="13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idden="1" outlineLevel="1" x14ac:dyDescent="0.35">
      <c r="A128" t="e">
        <f t="shared" si="12"/>
        <v>#N/A</v>
      </c>
      <c r="B128" s="30">
        <v>2</v>
      </c>
      <c r="C128" s="86" t="s">
        <v>36</v>
      </c>
      <c r="D128" s="73" t="e">
        <f>VLOOKUP(C128,Project_Replicon[[#All],[Replicon Line w/code]:[Project2]],2,FALSE)</f>
        <v>#N/A</v>
      </c>
      <c r="E128" s="70" t="str">
        <f t="shared" si="14"/>
        <v/>
      </c>
      <c r="F128" s="71">
        <f>HLOOKUP($D$10,ReferenceTables!$AU$3:$CU$10,4,FALSE)</f>
        <v>44706</v>
      </c>
      <c r="G128" s="72" t="str">
        <f t="shared" si="15"/>
        <v/>
      </c>
      <c r="H128" s="16"/>
      <c r="I128" s="16"/>
      <c r="J128" s="16"/>
      <c r="K128" s="16"/>
      <c r="L128" s="16"/>
      <c r="M128" s="13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idden="1" outlineLevel="1" x14ac:dyDescent="0.35">
      <c r="A129" t="e">
        <f t="shared" si="12"/>
        <v>#N/A</v>
      </c>
      <c r="B129" s="30">
        <v>3</v>
      </c>
      <c r="C129" s="87" t="s">
        <v>36</v>
      </c>
      <c r="D129" s="25" t="e">
        <f>VLOOKUP(C129,Project_Replicon[[#All],[Replicon Line w/code]:[Project2]],2,FALSE)</f>
        <v>#N/A</v>
      </c>
      <c r="E129" s="34" t="str">
        <f t="shared" si="14"/>
        <v/>
      </c>
      <c r="F129" s="26">
        <f>HLOOKUP($D$10,ReferenceTables!$AU$3:$CU$10,4,FALSE)</f>
        <v>44706</v>
      </c>
      <c r="G129" s="35" t="str">
        <f t="shared" si="15"/>
        <v/>
      </c>
      <c r="H129" s="16"/>
      <c r="I129" s="16"/>
      <c r="J129" s="16"/>
      <c r="K129" s="16"/>
      <c r="L129" s="16"/>
      <c r="M129" s="13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idden="1" outlineLevel="1" x14ac:dyDescent="0.35">
      <c r="A130" t="e">
        <f t="shared" si="12"/>
        <v>#N/A</v>
      </c>
      <c r="B130" s="30">
        <v>1</v>
      </c>
      <c r="C130" s="88" t="s">
        <v>37</v>
      </c>
      <c r="D130" s="69" t="e">
        <f>VLOOKUP(C130,Project_Replicon[[#All],[Replicon Line w/code]:[Project2]],2,FALSE)</f>
        <v>#N/A</v>
      </c>
      <c r="E130" s="69" t="str">
        <f t="shared" si="14"/>
        <v/>
      </c>
      <c r="F130" s="67">
        <f>HLOOKUP($D$10,ReferenceTables!$AU$3:$CU$10,4,FALSE)</f>
        <v>44706</v>
      </c>
      <c r="G130" s="68" t="str">
        <f t="shared" si="15"/>
        <v/>
      </c>
      <c r="H130" s="16"/>
      <c r="I130" s="16"/>
      <c r="J130" s="16"/>
      <c r="K130" s="16"/>
      <c r="L130" s="16"/>
      <c r="M130" s="13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idden="1" outlineLevel="1" x14ac:dyDescent="0.35">
      <c r="A131" t="e">
        <f t="shared" si="12"/>
        <v>#N/A</v>
      </c>
      <c r="B131" s="30">
        <v>2</v>
      </c>
      <c r="C131" s="86" t="s">
        <v>37</v>
      </c>
      <c r="D131" s="73" t="e">
        <f>VLOOKUP(C131,Project_Replicon[[#All],[Replicon Line w/code]:[Project2]],2,FALSE)</f>
        <v>#N/A</v>
      </c>
      <c r="E131" s="70" t="str">
        <f t="shared" si="14"/>
        <v/>
      </c>
      <c r="F131" s="71">
        <f>HLOOKUP($D$10,ReferenceTables!$AU$3:$CU$10,4,FALSE)</f>
        <v>44706</v>
      </c>
      <c r="G131" s="72" t="str">
        <f t="shared" si="15"/>
        <v/>
      </c>
      <c r="H131" s="16"/>
      <c r="I131" s="16"/>
      <c r="J131" s="16"/>
      <c r="K131" s="16"/>
      <c r="L131" s="16"/>
      <c r="M131" s="13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idden="1" outlineLevel="1" x14ac:dyDescent="0.35">
      <c r="A132" t="e">
        <f t="shared" si="12"/>
        <v>#N/A</v>
      </c>
      <c r="B132" s="30">
        <v>3</v>
      </c>
      <c r="C132" s="87" t="s">
        <v>37</v>
      </c>
      <c r="D132" s="25" t="e">
        <f>VLOOKUP(C132,Project_Replicon[[#All],[Replicon Line w/code]:[Project2]],2,FALSE)</f>
        <v>#N/A</v>
      </c>
      <c r="E132" s="34" t="str">
        <f t="shared" si="14"/>
        <v/>
      </c>
      <c r="F132" s="26">
        <f>HLOOKUP($D$10,ReferenceTables!$AU$3:$CU$10,4,FALSE)</f>
        <v>44706</v>
      </c>
      <c r="G132" s="35" t="str">
        <f t="shared" si="15"/>
        <v/>
      </c>
      <c r="H132" s="16"/>
      <c r="I132" s="16"/>
      <c r="J132" s="16"/>
      <c r="K132" s="16"/>
      <c r="L132" s="16"/>
      <c r="M132" s="13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idden="1" outlineLevel="1" x14ac:dyDescent="0.35">
      <c r="A133" t="str">
        <f t="shared" si="12"/>
        <v>1ABNAMRO-0026-13 P2- Risk ServicesP2- Risk Services</v>
      </c>
      <c r="B133" s="30">
        <v>1</v>
      </c>
      <c r="C133" s="88" t="s">
        <v>38</v>
      </c>
      <c r="D133" s="69" t="str">
        <f>VLOOKUP(C133,Project_Replicon[[#All],[Replicon Line w/code]:[Project2]],2,FALSE)</f>
        <v>P2- Risk Services</v>
      </c>
      <c r="E133" s="69" t="str">
        <f t="shared" si="14"/>
        <v/>
      </c>
      <c r="F133" s="67">
        <f>HLOOKUP($D$10,ReferenceTables!$AU$3:$CU$10,4,FALSE)</f>
        <v>44706</v>
      </c>
      <c r="G133" s="68" t="str">
        <f t="shared" si="15"/>
        <v/>
      </c>
      <c r="H133" s="16"/>
      <c r="I133" s="16"/>
      <c r="J133" s="16"/>
      <c r="K133" s="16"/>
      <c r="L133" s="16"/>
      <c r="M133" s="13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idden="1" outlineLevel="1" x14ac:dyDescent="0.35">
      <c r="A134" t="str">
        <f t="shared" si="12"/>
        <v>2ABNAMRO-0026-13 P2- Risk ServicesP2- Risk Services</v>
      </c>
      <c r="B134" s="30">
        <v>2</v>
      </c>
      <c r="C134" s="86" t="s">
        <v>38</v>
      </c>
      <c r="D134" s="73" t="str">
        <f>VLOOKUP(C134,Project_Replicon[[#All],[Replicon Line w/code]:[Project2]],2,FALSE)</f>
        <v>P2- Risk Services</v>
      </c>
      <c r="E134" s="70" t="str">
        <f t="shared" si="14"/>
        <v/>
      </c>
      <c r="F134" s="71">
        <f>HLOOKUP($D$10,ReferenceTables!$AU$3:$CU$10,4,FALSE)</f>
        <v>44706</v>
      </c>
      <c r="G134" s="72" t="str">
        <f t="shared" si="15"/>
        <v/>
      </c>
      <c r="H134" s="16"/>
      <c r="I134" s="16"/>
      <c r="J134" s="16"/>
      <c r="K134" s="16"/>
      <c r="L134" s="16"/>
      <c r="M134" s="13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idden="1" outlineLevel="1" x14ac:dyDescent="0.35">
      <c r="A135" t="str">
        <f t="shared" si="12"/>
        <v>3ABNAMRO-0026-13 P2- Risk ServicesP2- Risk Services</v>
      </c>
      <c r="B135" s="30">
        <v>3</v>
      </c>
      <c r="C135" s="87" t="s">
        <v>38</v>
      </c>
      <c r="D135" s="25" t="str">
        <f>VLOOKUP(C135,Project_Replicon[[#All],[Replicon Line w/code]:[Project2]],2,FALSE)</f>
        <v>P2- Risk Services</v>
      </c>
      <c r="E135" s="34" t="str">
        <f t="shared" si="14"/>
        <v/>
      </c>
      <c r="F135" s="26">
        <f>HLOOKUP($D$10,ReferenceTables!$AU$3:$CU$10,4,FALSE)</f>
        <v>44706</v>
      </c>
      <c r="G135" s="35" t="str">
        <f t="shared" si="15"/>
        <v/>
      </c>
      <c r="H135" s="16"/>
      <c r="I135" s="16"/>
      <c r="J135" s="16"/>
      <c r="K135" s="16"/>
      <c r="L135" s="16"/>
      <c r="M135" s="13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idden="1" outlineLevel="1" x14ac:dyDescent="0.35">
      <c r="A136" t="e">
        <f t="shared" si="12"/>
        <v>#N/A</v>
      </c>
      <c r="B136" s="30">
        <v>1</v>
      </c>
      <c r="C136" s="88" t="s">
        <v>39</v>
      </c>
      <c r="D136" s="69" t="e">
        <f>VLOOKUP(C136,Project_Replicon[[#All],[Replicon Line w/code]:[Project2]],2,FALSE)</f>
        <v>#N/A</v>
      </c>
      <c r="E136" s="69" t="str">
        <f t="shared" si="13"/>
        <v/>
      </c>
      <c r="F136" s="67">
        <f>HLOOKUP($D$10,ReferenceTables!$AU$3:$CU$10,4,FALSE)</f>
        <v>44706</v>
      </c>
      <c r="G136" s="68" t="str">
        <f t="shared" si="11"/>
        <v/>
      </c>
      <c r="H136" s="16"/>
      <c r="I136" s="16"/>
      <c r="J136" s="16"/>
      <c r="K136" s="16"/>
      <c r="L136" s="16"/>
      <c r="M136" s="13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idden="1" outlineLevel="1" x14ac:dyDescent="0.35">
      <c r="A137" t="e">
        <f t="shared" si="12"/>
        <v>#N/A</v>
      </c>
      <c r="B137" s="30">
        <v>2</v>
      </c>
      <c r="C137" s="86" t="s">
        <v>39</v>
      </c>
      <c r="D137" s="73" t="e">
        <f>VLOOKUP(C137,Project_Replicon[[#All],[Replicon Line w/code]:[Project2]],2,FALSE)</f>
        <v>#N/A</v>
      </c>
      <c r="E137" s="70" t="str">
        <f t="shared" si="13"/>
        <v/>
      </c>
      <c r="F137" s="71">
        <f>HLOOKUP($D$10,ReferenceTables!$AU$3:$CU$10,4,FALSE)</f>
        <v>44706</v>
      </c>
      <c r="G137" s="72" t="str">
        <f t="shared" si="11"/>
        <v/>
      </c>
      <c r="H137" s="16"/>
      <c r="I137" s="16"/>
      <c r="J137" s="16"/>
      <c r="K137" s="16"/>
      <c r="L137" s="16"/>
      <c r="M137" s="13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idden="1" outlineLevel="1" x14ac:dyDescent="0.35">
      <c r="A138" t="e">
        <f t="shared" si="12"/>
        <v>#N/A</v>
      </c>
      <c r="B138" s="30">
        <v>3</v>
      </c>
      <c r="C138" s="87" t="s">
        <v>39</v>
      </c>
      <c r="D138" s="25" t="e">
        <f>VLOOKUP(C138,Project_Replicon[[#All],[Replicon Line w/code]:[Project2]],2,FALSE)</f>
        <v>#N/A</v>
      </c>
      <c r="E138" s="34" t="str">
        <f>_xlfn.IFNA(VLOOKUP(A138,$A$14:$C$21,3,FALSE),"")</f>
        <v/>
      </c>
      <c r="F138" s="26">
        <f>HLOOKUP($D$10,ReferenceTables!$AU$3:$CU$10,4,FALSE)</f>
        <v>44706</v>
      </c>
      <c r="G138" s="35" t="str">
        <f>_xlfn.IFNA(VLOOKUP(A138,$A$14:$L$21,8,FALSE),"")</f>
        <v/>
      </c>
      <c r="H138" s="16"/>
      <c r="I138" s="16"/>
      <c r="J138" s="16"/>
      <c r="K138" s="16"/>
      <c r="L138" s="16"/>
      <c r="M138" s="13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idden="1" outlineLevel="1" x14ac:dyDescent="0.35">
      <c r="A139" t="e">
        <f t="shared" si="12"/>
        <v>#N/A</v>
      </c>
      <c r="B139" s="30">
        <v>1</v>
      </c>
      <c r="C139" s="88" t="s">
        <v>40</v>
      </c>
      <c r="D139" s="69" t="e">
        <f>VLOOKUP(C139,Project_Replicon[[#All],[Replicon Line w/code]:[Project2]],2,FALSE)</f>
        <v>#N/A</v>
      </c>
      <c r="E139" s="69" t="str">
        <f t="shared" si="13"/>
        <v/>
      </c>
      <c r="F139" s="67">
        <f>HLOOKUP($D$10,ReferenceTables!$AU$3:$CU$10,4,FALSE)</f>
        <v>44706</v>
      </c>
      <c r="G139" s="68" t="str">
        <f t="shared" si="11"/>
        <v/>
      </c>
      <c r="H139" s="16"/>
      <c r="I139" s="16"/>
      <c r="J139" s="16"/>
      <c r="K139" s="16"/>
      <c r="L139" s="16"/>
      <c r="M139" s="13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idden="1" outlineLevel="1" x14ac:dyDescent="0.35">
      <c r="A140" t="e">
        <f t="shared" si="12"/>
        <v>#N/A</v>
      </c>
      <c r="B140" s="30">
        <v>2</v>
      </c>
      <c r="C140" s="86" t="s">
        <v>40</v>
      </c>
      <c r="D140" s="73" t="e">
        <f>VLOOKUP(C140,Project_Replicon[[#All],[Replicon Line w/code]:[Project2]],2,FALSE)</f>
        <v>#N/A</v>
      </c>
      <c r="E140" s="70" t="str">
        <f t="shared" si="13"/>
        <v/>
      </c>
      <c r="F140" s="71">
        <f>HLOOKUP($D$10,ReferenceTables!$AU$3:$CU$10,4,FALSE)</f>
        <v>44706</v>
      </c>
      <c r="G140" s="72" t="str">
        <f t="shared" si="11"/>
        <v/>
      </c>
      <c r="H140" s="16"/>
      <c r="I140" s="16"/>
      <c r="J140" s="16"/>
      <c r="K140" s="16"/>
      <c r="L140" s="16"/>
      <c r="M140" s="13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" hidden="1" outlineLevel="1" thickBot="1" x14ac:dyDescent="0.4">
      <c r="A141" t="e">
        <f t="shared" si="12"/>
        <v>#N/A</v>
      </c>
      <c r="B141" s="30">
        <v>3</v>
      </c>
      <c r="C141" s="89" t="s">
        <v>40</v>
      </c>
      <c r="D141" s="83" t="e">
        <f>VLOOKUP(C141,Project_Replicon[[#All],[Replicon Line w/code]:[Project2]],2,FALSE)</f>
        <v>#N/A</v>
      </c>
      <c r="E141" s="36" t="str">
        <f>_xlfn.IFNA(VLOOKUP(A141,$A$14:$C$21,3,FALSE),"")</f>
        <v/>
      </c>
      <c r="F141" s="84">
        <f>HLOOKUP($D$10,ReferenceTables!$AU$3:$CU$10,4,FALSE)</f>
        <v>44706</v>
      </c>
      <c r="G141" s="37" t="str">
        <f>_xlfn.IFNA(VLOOKUP(A141,$A$14:$L$21,8,FALSE),"")</f>
        <v/>
      </c>
      <c r="H141" s="16"/>
      <c r="I141" s="16"/>
      <c r="J141" s="16"/>
      <c r="K141" s="16"/>
      <c r="L141" s="16"/>
      <c r="M141" s="13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" hidden="1" outlineLevel="1" thickTop="1" x14ac:dyDescent="0.35">
      <c r="A142" t="e">
        <f t="shared" si="12"/>
        <v>#N/A</v>
      </c>
      <c r="B142" s="30">
        <v>1</v>
      </c>
      <c r="C142" s="98" t="s">
        <v>28</v>
      </c>
      <c r="D142" s="99" t="e">
        <f>VLOOKUP(C142,Project_Replicon[[#All],[Replicon Line w/code]:[Project2]],2,FALSE)</f>
        <v>#N/A</v>
      </c>
      <c r="E142" s="99" t="str">
        <f t="shared" si="13"/>
        <v/>
      </c>
      <c r="F142" s="71">
        <f>HLOOKUP($D$10,ReferenceTables!$AU$3:$CU$10,5,FALSE)</f>
        <v>44707</v>
      </c>
      <c r="G142" s="100" t="str">
        <f t="shared" ref="G142:G179" si="16">_xlfn.IFNA(VLOOKUP(A142,$A$14:$L$21,9,FALSE),"")</f>
        <v/>
      </c>
      <c r="H142" s="16"/>
      <c r="I142" s="28"/>
      <c r="J142" s="16"/>
      <c r="K142" s="16"/>
      <c r="L142" s="16"/>
      <c r="M142" s="13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idden="1" outlineLevel="1" x14ac:dyDescent="0.35">
      <c r="A143" t="e">
        <f t="shared" si="12"/>
        <v>#N/A</v>
      </c>
      <c r="B143" s="30">
        <v>2</v>
      </c>
      <c r="C143" s="86" t="s">
        <v>28</v>
      </c>
      <c r="D143" s="73" t="e">
        <f>VLOOKUP(C143,Project_Replicon[[#All],[Replicon Line w/code]:[Project2]],2,FALSE)</f>
        <v>#N/A</v>
      </c>
      <c r="E143" s="70" t="str">
        <f t="shared" si="13"/>
        <v/>
      </c>
      <c r="F143" s="71">
        <f>HLOOKUP($D$10,ReferenceTables!$AU$3:$CU$10,5,FALSE)</f>
        <v>44707</v>
      </c>
      <c r="G143" s="72" t="str">
        <f t="shared" si="16"/>
        <v/>
      </c>
      <c r="H143" s="16"/>
      <c r="I143" s="28"/>
      <c r="J143" s="16"/>
      <c r="K143" s="16"/>
      <c r="L143" s="16"/>
      <c r="M143" s="13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idden="1" outlineLevel="1" x14ac:dyDescent="0.35">
      <c r="A144" t="e">
        <f t="shared" si="12"/>
        <v>#N/A</v>
      </c>
      <c r="B144" s="30">
        <v>3</v>
      </c>
      <c r="C144" s="87" t="s">
        <v>28</v>
      </c>
      <c r="D144" s="25" t="e">
        <f>VLOOKUP(C144,Project_Replicon[[#All],[Replicon Line w/code]:[Project2]],2,FALSE)</f>
        <v>#N/A</v>
      </c>
      <c r="E144" s="34" t="str">
        <f>_xlfn.IFNA(VLOOKUP(A144,$A$14:$C$21,3,FALSE),"")</f>
        <v/>
      </c>
      <c r="F144" s="26">
        <f>HLOOKUP($D$10,ReferenceTables!$AU$3:$CU$10,5,FALSE)</f>
        <v>44707</v>
      </c>
      <c r="G144" s="35" t="str">
        <f>_xlfn.IFNA(VLOOKUP(A144,$A$14:$L$21,9,FALSE),"")</f>
        <v/>
      </c>
      <c r="H144" s="16"/>
      <c r="I144" s="28"/>
      <c r="J144" s="16"/>
      <c r="K144" s="16"/>
      <c r="L144" s="16"/>
      <c r="M144" s="13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idden="1" outlineLevel="1" x14ac:dyDescent="0.35">
      <c r="A145" t="e">
        <f t="shared" si="12"/>
        <v>#N/A</v>
      </c>
      <c r="B145" s="30">
        <v>1</v>
      </c>
      <c r="C145" s="88" t="s">
        <v>29</v>
      </c>
      <c r="D145" s="69" t="e">
        <f>VLOOKUP(C145,Project_Replicon[[#All],[Replicon Line w/code]:[Project2]],2,FALSE)</f>
        <v>#N/A</v>
      </c>
      <c r="E145" s="69" t="str">
        <f t="shared" si="13"/>
        <v/>
      </c>
      <c r="F145" s="67">
        <f>HLOOKUP($D$10,ReferenceTables!$AU$3:$CU$10,5,FALSE)</f>
        <v>44707</v>
      </c>
      <c r="G145" s="68" t="str">
        <f t="shared" si="16"/>
        <v/>
      </c>
      <c r="H145" s="16"/>
      <c r="I145" s="28"/>
      <c r="J145" s="16"/>
      <c r="K145" s="16"/>
      <c r="L145" s="16"/>
      <c r="M145" s="13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idden="1" outlineLevel="1" x14ac:dyDescent="0.35">
      <c r="A146" t="e">
        <f t="shared" si="12"/>
        <v>#N/A</v>
      </c>
      <c r="B146" s="30">
        <v>2</v>
      </c>
      <c r="C146" s="86" t="s">
        <v>29</v>
      </c>
      <c r="D146" s="73" t="e">
        <f>VLOOKUP(C146,Project_Replicon[[#All],[Replicon Line w/code]:[Project2]],2,FALSE)</f>
        <v>#N/A</v>
      </c>
      <c r="E146" s="70" t="str">
        <f t="shared" si="13"/>
        <v/>
      </c>
      <c r="F146" s="71">
        <f>HLOOKUP($D$10,ReferenceTables!$AU$3:$CU$10,5,FALSE)</f>
        <v>44707</v>
      </c>
      <c r="G146" s="72" t="str">
        <f t="shared" si="16"/>
        <v/>
      </c>
      <c r="H146" s="16"/>
      <c r="I146" s="28"/>
      <c r="J146" s="16"/>
      <c r="K146" s="16"/>
      <c r="L146" s="16"/>
      <c r="M146" s="13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idden="1" outlineLevel="1" x14ac:dyDescent="0.35">
      <c r="A147" t="e">
        <f t="shared" si="12"/>
        <v>#N/A</v>
      </c>
      <c r="B147" s="30">
        <v>3</v>
      </c>
      <c r="C147" s="87" t="s">
        <v>29</v>
      </c>
      <c r="D147" s="25" t="e">
        <f>VLOOKUP(C147,Project_Replicon[[#All],[Replicon Line w/code]:[Project2]],2,FALSE)</f>
        <v>#N/A</v>
      </c>
      <c r="E147" s="34" t="str">
        <f>_xlfn.IFNA(VLOOKUP(A147,$A$14:$C$21,3,FALSE),"")</f>
        <v/>
      </c>
      <c r="F147" s="26">
        <f>HLOOKUP($D$10,ReferenceTables!$AU$3:$CU$10,5,FALSE)</f>
        <v>44707</v>
      </c>
      <c r="G147" s="35" t="str">
        <f>_xlfn.IFNA(VLOOKUP(A147,$A$14:$L$21,9,FALSE),"")</f>
        <v/>
      </c>
      <c r="H147" s="16"/>
      <c r="I147" s="28"/>
      <c r="J147" s="16"/>
      <c r="K147" s="16"/>
      <c r="L147" s="16"/>
      <c r="M147" s="13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idden="1" outlineLevel="1" x14ac:dyDescent="0.35">
      <c r="A148" t="e">
        <f t="shared" si="12"/>
        <v>#N/A</v>
      </c>
      <c r="B148" s="30">
        <v>1</v>
      </c>
      <c r="C148" s="88" t="s">
        <v>30</v>
      </c>
      <c r="D148" s="69" t="e">
        <f>VLOOKUP(C148,Project_Replicon[[#All],[Replicon Line w/code]:[Project2]],2,FALSE)</f>
        <v>#N/A</v>
      </c>
      <c r="E148" s="69" t="str">
        <f t="shared" si="13"/>
        <v/>
      </c>
      <c r="F148" s="67">
        <f>HLOOKUP($D$10,ReferenceTables!$AU$3:$CU$10,5,FALSE)</f>
        <v>44707</v>
      </c>
      <c r="G148" s="68" t="str">
        <f>_xlfn.IFNA(VLOOKUP(A148,$A$14:$L$21,9,FALSE),"")</f>
        <v/>
      </c>
      <c r="H148" s="16"/>
      <c r="I148" s="28"/>
      <c r="J148" s="16"/>
      <c r="K148" s="16"/>
      <c r="L148" s="16"/>
      <c r="M148" s="13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idden="1" outlineLevel="1" x14ac:dyDescent="0.35">
      <c r="A149" t="e">
        <f t="shared" si="12"/>
        <v>#N/A</v>
      </c>
      <c r="B149" s="30">
        <v>2</v>
      </c>
      <c r="C149" s="86" t="s">
        <v>30</v>
      </c>
      <c r="D149" s="73" t="e">
        <f>VLOOKUP(C149,Project_Replicon[[#All],[Replicon Line w/code]:[Project2]],2,FALSE)</f>
        <v>#N/A</v>
      </c>
      <c r="E149" s="70" t="str">
        <f t="shared" si="13"/>
        <v/>
      </c>
      <c r="F149" s="71">
        <f>HLOOKUP($D$10,ReferenceTables!$AU$3:$CU$10,5,FALSE)</f>
        <v>44707</v>
      </c>
      <c r="G149" s="72" t="str">
        <f t="shared" si="16"/>
        <v/>
      </c>
      <c r="H149" s="16"/>
      <c r="I149" s="28"/>
      <c r="J149" s="16"/>
      <c r="K149" s="16"/>
      <c r="L149" s="16"/>
      <c r="M149" s="13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idden="1" outlineLevel="1" x14ac:dyDescent="0.35">
      <c r="A150" t="e">
        <f t="shared" si="12"/>
        <v>#N/A</v>
      </c>
      <c r="B150" s="30">
        <v>3</v>
      </c>
      <c r="C150" s="87" t="s">
        <v>30</v>
      </c>
      <c r="D150" s="25" t="e">
        <f>VLOOKUP(C150,Project_Replicon[[#All],[Replicon Line w/code]:[Project2]],2,FALSE)</f>
        <v>#N/A</v>
      </c>
      <c r="E150" s="34" t="str">
        <f>_xlfn.IFNA(VLOOKUP(A150,$A$14:$C$21,3,FALSE),"")</f>
        <v/>
      </c>
      <c r="F150" s="26">
        <f>HLOOKUP($D$10,ReferenceTables!$AU$3:$CU$10,5,FALSE)</f>
        <v>44707</v>
      </c>
      <c r="G150" s="35" t="str">
        <f>_xlfn.IFNA(VLOOKUP(A150,$A$14:$L$21,9,FALSE),"")</f>
        <v/>
      </c>
      <c r="H150" s="16"/>
      <c r="I150" s="28"/>
      <c r="J150" s="16"/>
      <c r="K150" s="16"/>
      <c r="L150" s="16"/>
      <c r="M150" s="13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idden="1" outlineLevel="1" x14ac:dyDescent="0.35">
      <c r="A151" t="e">
        <f t="shared" si="12"/>
        <v>#N/A</v>
      </c>
      <c r="B151" s="30">
        <v>1</v>
      </c>
      <c r="C151" s="88" t="s">
        <v>31</v>
      </c>
      <c r="D151" s="69" t="e">
        <f>VLOOKUP(C151,Project_Replicon[[#All],[Replicon Line w/code]:[Project2]],2,FALSE)</f>
        <v>#N/A</v>
      </c>
      <c r="E151" s="69" t="str">
        <f t="shared" si="13"/>
        <v/>
      </c>
      <c r="F151" s="67">
        <f>HLOOKUP($D$10,ReferenceTables!$AU$3:$CU$10,5,FALSE)</f>
        <v>44707</v>
      </c>
      <c r="G151" s="68" t="str">
        <f t="shared" si="16"/>
        <v/>
      </c>
      <c r="H151" s="16"/>
      <c r="I151" s="28"/>
      <c r="J151" s="16"/>
      <c r="K151" s="16"/>
      <c r="L151" s="16"/>
      <c r="M151" s="13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idden="1" outlineLevel="1" x14ac:dyDescent="0.35">
      <c r="A152" t="e">
        <f t="shared" si="12"/>
        <v>#N/A</v>
      </c>
      <c r="B152" s="30">
        <v>2</v>
      </c>
      <c r="C152" s="86" t="s">
        <v>31</v>
      </c>
      <c r="D152" s="73" t="e">
        <f>VLOOKUP(C152,Project_Replicon[[#All],[Replicon Line w/code]:[Project2]],2,FALSE)</f>
        <v>#N/A</v>
      </c>
      <c r="E152" s="70" t="str">
        <f t="shared" si="13"/>
        <v/>
      </c>
      <c r="F152" s="71">
        <f>HLOOKUP($D$10,ReferenceTables!$AU$3:$CU$10,5,FALSE)</f>
        <v>44707</v>
      </c>
      <c r="G152" s="72" t="str">
        <f t="shared" si="16"/>
        <v/>
      </c>
      <c r="H152" s="16"/>
      <c r="I152" s="28"/>
      <c r="J152" s="16"/>
      <c r="K152" s="16"/>
      <c r="L152" s="16"/>
      <c r="M152" s="13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idden="1" outlineLevel="1" x14ac:dyDescent="0.35">
      <c r="A153" t="e">
        <f t="shared" si="12"/>
        <v>#N/A</v>
      </c>
      <c r="B153" s="30">
        <v>3</v>
      </c>
      <c r="C153" s="87" t="s">
        <v>31</v>
      </c>
      <c r="D153" s="25" t="e">
        <f>VLOOKUP(C153,Project_Replicon[[#All],[Replicon Line w/code]:[Project2]],2,FALSE)</f>
        <v>#N/A</v>
      </c>
      <c r="E153" s="34" t="str">
        <f>_xlfn.IFNA(VLOOKUP(A153,$A$14:$C$21,3,FALSE),"")</f>
        <v/>
      </c>
      <c r="F153" s="26">
        <f>HLOOKUP($D$10,ReferenceTables!$AU$3:$CU$10,5,FALSE)</f>
        <v>44707</v>
      </c>
      <c r="G153" s="35" t="str">
        <f>_xlfn.IFNA(VLOOKUP(A153,$A$14:$L$21,9,FALSE),"")</f>
        <v/>
      </c>
      <c r="H153" s="16"/>
      <c r="I153" s="28"/>
      <c r="J153" s="16"/>
      <c r="K153" s="16"/>
      <c r="L153" s="16"/>
      <c r="M153" s="13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idden="1" outlineLevel="1" x14ac:dyDescent="0.35">
      <c r="A154" t="e">
        <f t="shared" si="12"/>
        <v>#N/A</v>
      </c>
      <c r="B154" s="30">
        <v>1</v>
      </c>
      <c r="C154" s="88" t="s">
        <v>32</v>
      </c>
      <c r="D154" s="69" t="e">
        <f>VLOOKUP(C154,Project_Replicon[[#All],[Replicon Line w/code]:[Project2]],2,FALSE)</f>
        <v>#N/A</v>
      </c>
      <c r="E154" s="69" t="str">
        <f t="shared" si="13"/>
        <v/>
      </c>
      <c r="F154" s="67">
        <f>HLOOKUP($D$10,ReferenceTables!$AU$3:$CU$10,5,FALSE)</f>
        <v>44707</v>
      </c>
      <c r="G154" s="68" t="str">
        <f t="shared" si="16"/>
        <v/>
      </c>
      <c r="H154" s="16"/>
      <c r="I154" s="28"/>
      <c r="J154" s="16"/>
      <c r="K154" s="16"/>
      <c r="L154" s="16"/>
      <c r="M154" s="13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idden="1" outlineLevel="1" x14ac:dyDescent="0.35">
      <c r="A155" t="e">
        <f t="shared" si="12"/>
        <v>#N/A</v>
      </c>
      <c r="B155" s="30">
        <v>2</v>
      </c>
      <c r="C155" s="86" t="s">
        <v>32</v>
      </c>
      <c r="D155" s="73" t="e">
        <f>VLOOKUP(C155,Project_Replicon[[#All],[Replicon Line w/code]:[Project2]],2,FALSE)</f>
        <v>#N/A</v>
      </c>
      <c r="E155" s="70" t="str">
        <f t="shared" si="13"/>
        <v/>
      </c>
      <c r="F155" s="71">
        <f>HLOOKUP($D$10,ReferenceTables!$AU$3:$CU$10,5,FALSE)</f>
        <v>44707</v>
      </c>
      <c r="G155" s="72" t="str">
        <f t="shared" si="16"/>
        <v/>
      </c>
      <c r="H155" s="16"/>
      <c r="I155" s="28"/>
      <c r="J155" s="16"/>
      <c r="K155" s="16"/>
      <c r="L155" s="16"/>
      <c r="M155" s="13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idden="1" outlineLevel="1" x14ac:dyDescent="0.35">
      <c r="A156" t="e">
        <f t="shared" si="12"/>
        <v>#N/A</v>
      </c>
      <c r="B156" s="30">
        <v>3</v>
      </c>
      <c r="C156" s="87" t="s">
        <v>32</v>
      </c>
      <c r="D156" s="25" t="e">
        <f>VLOOKUP(C156,Project_Replicon[[#All],[Replicon Line w/code]:[Project2]],2,FALSE)</f>
        <v>#N/A</v>
      </c>
      <c r="E156" s="34" t="str">
        <f>_xlfn.IFNA(VLOOKUP(A156,$A$14:$C$21,3,FALSE),"")</f>
        <v/>
      </c>
      <c r="F156" s="26">
        <f>HLOOKUP($D$10,ReferenceTables!$AU$3:$CU$10,5,FALSE)</f>
        <v>44707</v>
      </c>
      <c r="G156" s="35" t="str">
        <f>_xlfn.IFNA(VLOOKUP(A156,$A$14:$L$21,9,FALSE),"")</f>
        <v/>
      </c>
      <c r="H156" s="16"/>
      <c r="I156" s="28"/>
      <c r="J156" s="16"/>
      <c r="K156" s="16"/>
      <c r="L156" s="16"/>
      <c r="M156" s="13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idden="1" outlineLevel="1" x14ac:dyDescent="0.35">
      <c r="A157" t="str">
        <f t="shared" si="12"/>
        <v>1ABNAMRO-0026-07 P4 - Basel IVP4 - Basel IV</v>
      </c>
      <c r="B157" s="30">
        <v>1</v>
      </c>
      <c r="C157" s="88" t="s">
        <v>33</v>
      </c>
      <c r="D157" s="69" t="str">
        <f>VLOOKUP(C157,Project_Replicon[[#All],[Replicon Line w/code]:[Project2]],2,FALSE)</f>
        <v>P4 - Basel IV</v>
      </c>
      <c r="E157" s="69" t="str">
        <f t="shared" si="13"/>
        <v>Credit Risk</v>
      </c>
      <c r="F157" s="67">
        <f>HLOOKUP($D$10,ReferenceTables!$AU$3:$CU$10,5,FALSE)</f>
        <v>44707</v>
      </c>
      <c r="G157" s="68">
        <f t="shared" si="16"/>
        <v>0</v>
      </c>
      <c r="H157" s="16"/>
      <c r="I157" s="28"/>
      <c r="J157" s="16"/>
      <c r="K157" s="16"/>
      <c r="L157" s="16"/>
      <c r="M157" s="13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idden="1" outlineLevel="1" x14ac:dyDescent="0.35">
      <c r="A158" t="str">
        <f t="shared" si="12"/>
        <v>2ABNAMRO-0026-07 P4 - Basel IVP4 - Basel IV</v>
      </c>
      <c r="B158" s="30">
        <v>2</v>
      </c>
      <c r="C158" s="86" t="s">
        <v>33</v>
      </c>
      <c r="D158" s="73" t="str">
        <f>VLOOKUP(C158,Project_Replicon[[#All],[Replicon Line w/code]:[Project2]],2,FALSE)</f>
        <v>P4 - Basel IV</v>
      </c>
      <c r="E158" s="70" t="str">
        <f t="shared" si="13"/>
        <v/>
      </c>
      <c r="F158" s="71">
        <f>HLOOKUP($D$10,ReferenceTables!$AU$3:$CU$10,5,FALSE)</f>
        <v>44707</v>
      </c>
      <c r="G158" s="72" t="str">
        <f t="shared" si="16"/>
        <v/>
      </c>
      <c r="H158" s="16"/>
      <c r="I158" s="28"/>
      <c r="J158" s="16"/>
      <c r="K158" s="16"/>
      <c r="L158" s="16"/>
      <c r="M158" s="13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idden="1" outlineLevel="1" x14ac:dyDescent="0.35">
      <c r="A159" t="str">
        <f t="shared" si="12"/>
        <v>3ABNAMRO-0026-07 P4 - Basel IVP4 - Basel IV</v>
      </c>
      <c r="B159" s="30">
        <v>3</v>
      </c>
      <c r="C159" s="87" t="s">
        <v>33</v>
      </c>
      <c r="D159" s="25" t="str">
        <f>VLOOKUP(C159,Project_Replicon[[#All],[Replicon Line w/code]:[Project2]],2,FALSE)</f>
        <v>P4 - Basel IV</v>
      </c>
      <c r="E159" s="34" t="str">
        <f>_xlfn.IFNA(VLOOKUP(A159,$A$14:$C$21,3,FALSE),"")</f>
        <v/>
      </c>
      <c r="F159" s="26">
        <f>HLOOKUP($D$10,ReferenceTables!$AU$3:$CU$10,5,FALSE)</f>
        <v>44707</v>
      </c>
      <c r="G159" s="35" t="str">
        <f>_xlfn.IFNA(VLOOKUP(A159,$A$14:$L$21,9,FALSE),"")</f>
        <v/>
      </c>
      <c r="H159" s="16"/>
      <c r="I159" s="28"/>
      <c r="J159" s="16"/>
      <c r="K159" s="16"/>
      <c r="L159" s="16"/>
      <c r="M159" s="13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idden="1" outlineLevel="1" x14ac:dyDescent="0.35">
      <c r="A160" t="e">
        <f t="shared" si="12"/>
        <v>#N/A</v>
      </c>
      <c r="B160" s="30">
        <v>1</v>
      </c>
      <c r="C160" s="88" t="s">
        <v>34</v>
      </c>
      <c r="D160" s="69" t="e">
        <f>VLOOKUP(C160,Project_Replicon[[#All],[Replicon Line w/code]:[Project2]],2,FALSE)</f>
        <v>#N/A</v>
      </c>
      <c r="E160" s="69" t="str">
        <f t="shared" si="13"/>
        <v/>
      </c>
      <c r="F160" s="67">
        <f>HLOOKUP($D$10,ReferenceTables!$AU$3:$CU$10,5,FALSE)</f>
        <v>44707</v>
      </c>
      <c r="G160" s="68" t="str">
        <f t="shared" si="16"/>
        <v/>
      </c>
      <c r="H160" s="16"/>
      <c r="I160" s="28"/>
      <c r="J160" s="16"/>
      <c r="K160" s="16"/>
      <c r="L160" s="16"/>
      <c r="M160" s="13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idden="1" outlineLevel="1" x14ac:dyDescent="0.35">
      <c r="A161" t="e">
        <f t="shared" si="12"/>
        <v>#N/A</v>
      </c>
      <c r="B161" s="30">
        <v>2</v>
      </c>
      <c r="C161" s="86" t="s">
        <v>34</v>
      </c>
      <c r="D161" s="73" t="e">
        <f>VLOOKUP(C161,Project_Replicon[[#All],[Replicon Line w/code]:[Project2]],2,FALSE)</f>
        <v>#N/A</v>
      </c>
      <c r="E161" s="70" t="str">
        <f t="shared" si="13"/>
        <v/>
      </c>
      <c r="F161" s="71">
        <f>HLOOKUP($D$10,ReferenceTables!$AU$3:$CU$10,5,FALSE)</f>
        <v>44707</v>
      </c>
      <c r="G161" s="72" t="str">
        <f t="shared" si="16"/>
        <v/>
      </c>
      <c r="H161" s="16"/>
      <c r="I161" s="28"/>
      <c r="J161" s="16"/>
      <c r="K161" s="16"/>
      <c r="L161" s="16"/>
      <c r="M161" s="13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idden="1" outlineLevel="1" x14ac:dyDescent="0.35">
      <c r="A162" t="e">
        <f t="shared" si="12"/>
        <v>#N/A</v>
      </c>
      <c r="B162" s="30">
        <v>3</v>
      </c>
      <c r="C162" s="87" t="s">
        <v>34</v>
      </c>
      <c r="D162" s="25" t="e">
        <f>VLOOKUP(C162,Project_Replicon[[#All],[Replicon Line w/code]:[Project2]],2,FALSE)</f>
        <v>#N/A</v>
      </c>
      <c r="E162" s="34" t="str">
        <f>_xlfn.IFNA(VLOOKUP(A162,$A$14:$C$21,3,FALSE),"")</f>
        <v/>
      </c>
      <c r="F162" s="26">
        <f>HLOOKUP($D$10,ReferenceTables!$AU$3:$CU$10,5,FALSE)</f>
        <v>44707</v>
      </c>
      <c r="G162" s="35" t="str">
        <f>_xlfn.IFNA(VLOOKUP(A162,$A$14:$L$21,9,FALSE),"")</f>
        <v/>
      </c>
      <c r="H162" s="16"/>
      <c r="I162" s="28"/>
      <c r="J162" s="16"/>
      <c r="K162" s="16"/>
      <c r="L162" s="16"/>
      <c r="M162" s="13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idden="1" outlineLevel="1" x14ac:dyDescent="0.35">
      <c r="A163" t="e">
        <f t="shared" si="12"/>
        <v>#N/A</v>
      </c>
      <c r="B163" s="30">
        <v>1</v>
      </c>
      <c r="C163" s="88" t="s">
        <v>35</v>
      </c>
      <c r="D163" s="69" t="e">
        <f>VLOOKUP(C163,Project_Replicon[[#All],[Replicon Line w/code]:[Project2]],2,FALSE)</f>
        <v>#N/A</v>
      </c>
      <c r="E163" s="69" t="str">
        <f t="shared" si="13"/>
        <v/>
      </c>
      <c r="F163" s="67">
        <f>HLOOKUP($D$10,ReferenceTables!$AU$3:$CU$10,5,FALSE)</f>
        <v>44707</v>
      </c>
      <c r="G163" s="68" t="str">
        <f t="shared" si="16"/>
        <v/>
      </c>
      <c r="H163" s="16"/>
      <c r="I163" s="28"/>
      <c r="J163" s="16"/>
      <c r="K163" s="16"/>
      <c r="L163" s="16"/>
      <c r="M163" s="13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idden="1" outlineLevel="1" x14ac:dyDescent="0.35">
      <c r="A164" t="e">
        <f t="shared" si="12"/>
        <v>#N/A</v>
      </c>
      <c r="B164" s="30">
        <v>2</v>
      </c>
      <c r="C164" s="86" t="s">
        <v>35</v>
      </c>
      <c r="D164" s="73" t="e">
        <f>VLOOKUP(C164,Project_Replicon[[#All],[Replicon Line w/code]:[Project2]],2,FALSE)</f>
        <v>#N/A</v>
      </c>
      <c r="E164" s="70" t="str">
        <f t="shared" si="13"/>
        <v/>
      </c>
      <c r="F164" s="71">
        <f>HLOOKUP($D$10,ReferenceTables!$AU$3:$CU$10,5,FALSE)</f>
        <v>44707</v>
      </c>
      <c r="G164" s="72" t="str">
        <f t="shared" si="16"/>
        <v/>
      </c>
      <c r="H164" s="16"/>
      <c r="I164" s="16"/>
      <c r="J164" s="16"/>
      <c r="K164" s="16"/>
      <c r="L164" s="16"/>
      <c r="M164" s="13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idden="1" outlineLevel="1" x14ac:dyDescent="0.35">
      <c r="A165" t="e">
        <f t="shared" si="12"/>
        <v>#N/A</v>
      </c>
      <c r="B165" s="30">
        <v>3</v>
      </c>
      <c r="C165" s="87" t="s">
        <v>35</v>
      </c>
      <c r="D165" s="25" t="e">
        <f>VLOOKUP(C165,Project_Replicon[[#All],[Replicon Line w/code]:[Project2]],2,FALSE)</f>
        <v>#N/A</v>
      </c>
      <c r="E165" s="34" t="str">
        <f>_xlfn.IFNA(VLOOKUP(A165,$A$14:$C$21,3,FALSE),"")</f>
        <v/>
      </c>
      <c r="F165" s="26">
        <f>HLOOKUP($D$10,ReferenceTables!$AU$3:$CU$10,5,FALSE)</f>
        <v>44707</v>
      </c>
      <c r="G165" s="35" t="str">
        <f>_xlfn.IFNA(VLOOKUP(A165,$A$14:$L$21,9,FALSE),"")</f>
        <v/>
      </c>
      <c r="H165" s="16"/>
      <c r="I165" s="16"/>
      <c r="J165" s="16"/>
      <c r="K165" s="16"/>
      <c r="L165" s="16"/>
      <c r="M165" s="13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idden="1" outlineLevel="1" x14ac:dyDescent="0.35">
      <c r="A166" t="e">
        <f t="shared" si="12"/>
        <v>#N/A</v>
      </c>
      <c r="B166" s="30">
        <v>1</v>
      </c>
      <c r="C166" s="88" t="s">
        <v>36</v>
      </c>
      <c r="D166" s="69" t="e">
        <f>VLOOKUP(C166,Project_Replicon[[#All],[Replicon Line w/code]:[Project2]],2,FALSE)</f>
        <v>#N/A</v>
      </c>
      <c r="E166" s="69" t="str">
        <f t="shared" si="13"/>
        <v/>
      </c>
      <c r="F166" s="67">
        <f>HLOOKUP($D$10,ReferenceTables!$AU$3:$CU$10,5,FALSE)</f>
        <v>44707</v>
      </c>
      <c r="G166" s="68" t="str">
        <f t="shared" ref="G166:G173" si="17">_xlfn.IFNA(VLOOKUP(A166,$A$14:$L$21,9,FALSE),"")</f>
        <v/>
      </c>
      <c r="H166" s="16"/>
      <c r="I166" s="16"/>
      <c r="J166" s="16"/>
      <c r="K166" s="16"/>
      <c r="L166" s="16"/>
      <c r="M166" s="13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idden="1" outlineLevel="1" x14ac:dyDescent="0.35">
      <c r="A167" t="e">
        <f t="shared" si="12"/>
        <v>#N/A</v>
      </c>
      <c r="B167" s="30">
        <v>2</v>
      </c>
      <c r="C167" s="86" t="s">
        <v>36</v>
      </c>
      <c r="D167" s="73" t="e">
        <f>VLOOKUP(C167,Project_Replicon[[#All],[Replicon Line w/code]:[Project2]],2,FALSE)</f>
        <v>#N/A</v>
      </c>
      <c r="E167" s="70" t="str">
        <f t="shared" si="13"/>
        <v/>
      </c>
      <c r="F167" s="71">
        <f>HLOOKUP($D$10,ReferenceTables!$AU$3:$CU$10,5,FALSE)</f>
        <v>44707</v>
      </c>
      <c r="G167" s="72" t="str">
        <f t="shared" si="17"/>
        <v/>
      </c>
      <c r="H167" s="16"/>
      <c r="I167" s="16"/>
      <c r="J167" s="16"/>
      <c r="K167" s="16"/>
      <c r="L167" s="16"/>
      <c r="M167" s="13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idden="1" outlineLevel="1" x14ac:dyDescent="0.35">
      <c r="A168" t="e">
        <f t="shared" si="12"/>
        <v>#N/A</v>
      </c>
      <c r="B168" s="30">
        <v>3</v>
      </c>
      <c r="C168" s="87" t="s">
        <v>36</v>
      </c>
      <c r="D168" s="25" t="e">
        <f>VLOOKUP(C168,Project_Replicon[[#All],[Replicon Line w/code]:[Project2]],2,FALSE)</f>
        <v>#N/A</v>
      </c>
      <c r="E168" s="34" t="str">
        <f t="shared" ref="E168:E174" si="18">_xlfn.IFNA(VLOOKUP(A168,$A$14:$C$21,3,FALSE),"")</f>
        <v/>
      </c>
      <c r="F168" s="26">
        <f>HLOOKUP($D$10,ReferenceTables!$AU$3:$CU$10,5,FALSE)</f>
        <v>44707</v>
      </c>
      <c r="G168" s="35" t="str">
        <f>_xlfn.IFNA(VLOOKUP(A168,$A$14:$L$21,9,FALSE),"")</f>
        <v/>
      </c>
      <c r="H168" s="16"/>
      <c r="I168" s="16"/>
      <c r="J168" s="16"/>
      <c r="K168" s="16"/>
      <c r="L168" s="16"/>
      <c r="M168" s="13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idden="1" outlineLevel="1" x14ac:dyDescent="0.35">
      <c r="A169" t="e">
        <f t="shared" si="12"/>
        <v>#N/A</v>
      </c>
      <c r="B169" s="30">
        <v>1</v>
      </c>
      <c r="C169" s="88" t="s">
        <v>37</v>
      </c>
      <c r="D169" s="69" t="e">
        <f>VLOOKUP(C169,Project_Replicon[[#All],[Replicon Line w/code]:[Project2]],2,FALSE)</f>
        <v>#N/A</v>
      </c>
      <c r="E169" s="69" t="str">
        <f t="shared" si="18"/>
        <v/>
      </c>
      <c r="F169" s="67">
        <f>HLOOKUP($D$10,ReferenceTables!$AU$3:$CU$10,5,FALSE)</f>
        <v>44707</v>
      </c>
      <c r="G169" s="68" t="str">
        <f t="shared" si="17"/>
        <v/>
      </c>
      <c r="H169" s="16"/>
      <c r="I169" s="16"/>
      <c r="J169" s="16"/>
      <c r="K169" s="16"/>
      <c r="L169" s="16"/>
      <c r="M169" s="13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idden="1" outlineLevel="1" x14ac:dyDescent="0.35">
      <c r="A170" t="e">
        <f t="shared" si="12"/>
        <v>#N/A</v>
      </c>
      <c r="B170" s="30">
        <v>2</v>
      </c>
      <c r="C170" s="86" t="s">
        <v>37</v>
      </c>
      <c r="D170" s="73" t="e">
        <f>VLOOKUP(C170,Project_Replicon[[#All],[Replicon Line w/code]:[Project2]],2,FALSE)</f>
        <v>#N/A</v>
      </c>
      <c r="E170" s="70" t="str">
        <f t="shared" si="18"/>
        <v/>
      </c>
      <c r="F170" s="71">
        <f>HLOOKUP($D$10,ReferenceTables!$AU$3:$CU$10,5,FALSE)</f>
        <v>44707</v>
      </c>
      <c r="G170" s="72" t="str">
        <f t="shared" si="17"/>
        <v/>
      </c>
      <c r="H170" s="16"/>
      <c r="I170" s="16"/>
      <c r="J170" s="16"/>
      <c r="K170" s="16"/>
      <c r="L170" s="16"/>
      <c r="M170" s="13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idden="1" outlineLevel="1" x14ac:dyDescent="0.35">
      <c r="A171" t="e">
        <f t="shared" si="12"/>
        <v>#N/A</v>
      </c>
      <c r="B171" s="30">
        <v>3</v>
      </c>
      <c r="C171" s="87" t="s">
        <v>37</v>
      </c>
      <c r="D171" s="25" t="e">
        <f>VLOOKUP(C171,Project_Replicon[[#All],[Replicon Line w/code]:[Project2]],2,FALSE)</f>
        <v>#N/A</v>
      </c>
      <c r="E171" s="34" t="str">
        <f t="shared" si="18"/>
        <v/>
      </c>
      <c r="F171" s="26">
        <f>HLOOKUP($D$10,ReferenceTables!$AU$3:$CU$10,5,FALSE)</f>
        <v>44707</v>
      </c>
      <c r="G171" s="35" t="str">
        <f>_xlfn.IFNA(VLOOKUP(A171,$A$14:$L$21,9,FALSE),"")</f>
        <v/>
      </c>
      <c r="H171" s="16"/>
      <c r="I171" s="16"/>
      <c r="J171" s="16"/>
      <c r="K171" s="16"/>
      <c r="L171" s="16"/>
      <c r="M171" s="13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idden="1" outlineLevel="1" x14ac:dyDescent="0.35">
      <c r="A172" t="str">
        <f t="shared" si="12"/>
        <v>1ABNAMRO-0026-13 P2- Risk ServicesP2- Risk Services</v>
      </c>
      <c r="B172" s="30">
        <v>1</v>
      </c>
      <c r="C172" s="88" t="s">
        <v>38</v>
      </c>
      <c r="D172" s="69" t="str">
        <f>VLOOKUP(C172,Project_Replicon[[#All],[Replicon Line w/code]:[Project2]],2,FALSE)</f>
        <v>P2- Risk Services</v>
      </c>
      <c r="E172" s="69" t="str">
        <f t="shared" si="18"/>
        <v/>
      </c>
      <c r="F172" s="67">
        <f>HLOOKUP($D$10,ReferenceTables!$AU$3:$CU$10,5,FALSE)</f>
        <v>44707</v>
      </c>
      <c r="G172" s="68" t="str">
        <f t="shared" si="17"/>
        <v/>
      </c>
      <c r="H172" s="16"/>
      <c r="I172" s="16"/>
      <c r="J172" s="16"/>
      <c r="K172" s="16"/>
      <c r="L172" s="16"/>
      <c r="M172" s="13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idden="1" outlineLevel="1" x14ac:dyDescent="0.35">
      <c r="A173" t="str">
        <f t="shared" si="12"/>
        <v>2ABNAMRO-0026-13 P2- Risk ServicesP2- Risk Services</v>
      </c>
      <c r="B173" s="30">
        <v>2</v>
      </c>
      <c r="C173" s="86" t="s">
        <v>38</v>
      </c>
      <c r="D173" s="73" t="str">
        <f>VLOOKUP(C173,Project_Replicon[[#All],[Replicon Line w/code]:[Project2]],2,FALSE)</f>
        <v>P2- Risk Services</v>
      </c>
      <c r="E173" s="70" t="str">
        <f t="shared" si="18"/>
        <v/>
      </c>
      <c r="F173" s="71">
        <f>HLOOKUP($D$10,ReferenceTables!$AU$3:$CU$10,5,FALSE)</f>
        <v>44707</v>
      </c>
      <c r="G173" s="72" t="str">
        <f t="shared" si="17"/>
        <v/>
      </c>
      <c r="H173" s="16"/>
      <c r="I173" s="16"/>
      <c r="J173" s="16"/>
      <c r="K173" s="16"/>
      <c r="L173" s="16"/>
      <c r="M173" s="13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idden="1" outlineLevel="1" x14ac:dyDescent="0.35">
      <c r="A174" t="str">
        <f t="shared" si="12"/>
        <v>3ABNAMRO-0026-13 P2- Risk ServicesP2- Risk Services</v>
      </c>
      <c r="B174" s="30">
        <v>3</v>
      </c>
      <c r="C174" s="87" t="s">
        <v>38</v>
      </c>
      <c r="D174" s="25" t="str">
        <f>VLOOKUP(C174,Project_Replicon[[#All],[Replicon Line w/code]:[Project2]],2,FALSE)</f>
        <v>P2- Risk Services</v>
      </c>
      <c r="E174" s="34" t="str">
        <f t="shared" si="18"/>
        <v/>
      </c>
      <c r="F174" s="26">
        <f>HLOOKUP($D$10,ReferenceTables!$AU$3:$CU$10,5,FALSE)</f>
        <v>44707</v>
      </c>
      <c r="G174" s="35" t="str">
        <f>_xlfn.IFNA(VLOOKUP(A174,$A$14:$L$21,9,FALSE),"")</f>
        <v/>
      </c>
      <c r="H174" s="16"/>
      <c r="I174" s="16"/>
      <c r="J174" s="16"/>
      <c r="K174" s="16"/>
      <c r="L174" s="16"/>
      <c r="M174" s="13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idden="1" outlineLevel="1" x14ac:dyDescent="0.35">
      <c r="A175" t="e">
        <f t="shared" si="12"/>
        <v>#N/A</v>
      </c>
      <c r="B175" s="30">
        <v>1</v>
      </c>
      <c r="C175" s="88" t="s">
        <v>39</v>
      </c>
      <c r="D175" s="69" t="e">
        <f>VLOOKUP(C175,Project_Replicon[[#All],[Replicon Line w/code]:[Project2]],2,FALSE)</f>
        <v>#N/A</v>
      </c>
      <c r="E175" s="69" t="str">
        <f t="shared" si="13"/>
        <v/>
      </c>
      <c r="F175" s="67">
        <f>HLOOKUP($D$10,ReferenceTables!$AU$3:$CU$10,5,FALSE)</f>
        <v>44707</v>
      </c>
      <c r="G175" s="68" t="str">
        <f t="shared" si="16"/>
        <v/>
      </c>
      <c r="H175" s="16"/>
      <c r="I175" s="16"/>
      <c r="J175" s="16"/>
      <c r="K175" s="16"/>
      <c r="L175" s="16"/>
      <c r="M175" s="13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idden="1" outlineLevel="1" x14ac:dyDescent="0.35">
      <c r="A176" t="e">
        <f t="shared" si="12"/>
        <v>#N/A</v>
      </c>
      <c r="B176" s="30">
        <v>2</v>
      </c>
      <c r="C176" s="86" t="s">
        <v>39</v>
      </c>
      <c r="D176" s="73" t="e">
        <f>VLOOKUP(C176,Project_Replicon[[#All],[Replicon Line w/code]:[Project2]],2,FALSE)</f>
        <v>#N/A</v>
      </c>
      <c r="E176" s="70" t="str">
        <f t="shared" si="13"/>
        <v/>
      </c>
      <c r="F176" s="71">
        <f>HLOOKUP($D$10,ReferenceTables!$AU$3:$CU$10,5,FALSE)</f>
        <v>44707</v>
      </c>
      <c r="G176" s="72" t="str">
        <f t="shared" si="16"/>
        <v/>
      </c>
      <c r="H176" s="16"/>
      <c r="I176" s="16"/>
      <c r="J176" s="16"/>
      <c r="K176" s="16"/>
      <c r="L176" s="16"/>
      <c r="M176" s="13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idden="1" outlineLevel="1" x14ac:dyDescent="0.35">
      <c r="A177" t="e">
        <f t="shared" si="12"/>
        <v>#N/A</v>
      </c>
      <c r="B177" s="30">
        <v>3</v>
      </c>
      <c r="C177" s="87" t="s">
        <v>39</v>
      </c>
      <c r="D177" s="25" t="e">
        <f>VLOOKUP(C177,Project_Replicon[[#All],[Replicon Line w/code]:[Project2]],2,FALSE)</f>
        <v>#N/A</v>
      </c>
      <c r="E177" s="34" t="str">
        <f>_xlfn.IFNA(VLOOKUP(A177,$A$14:$C$21,3,FALSE),"")</f>
        <v/>
      </c>
      <c r="F177" s="26">
        <f>HLOOKUP($D$10,ReferenceTables!$AU$3:$CU$10,5,FALSE)</f>
        <v>44707</v>
      </c>
      <c r="G177" s="35" t="str">
        <f>_xlfn.IFNA(VLOOKUP(A177,$A$14:$L$21,9,FALSE),"")</f>
        <v/>
      </c>
      <c r="H177" s="16"/>
      <c r="I177" s="16"/>
      <c r="J177" s="16"/>
      <c r="K177" s="16"/>
      <c r="L177" s="16"/>
      <c r="M177" s="13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idden="1" outlineLevel="1" x14ac:dyDescent="0.35">
      <c r="A178" t="e">
        <f t="shared" si="12"/>
        <v>#N/A</v>
      </c>
      <c r="B178" s="30">
        <v>1</v>
      </c>
      <c r="C178" s="88" t="s">
        <v>40</v>
      </c>
      <c r="D178" s="69" t="e">
        <f>VLOOKUP(C178,Project_Replicon[[#All],[Replicon Line w/code]:[Project2]],2,FALSE)</f>
        <v>#N/A</v>
      </c>
      <c r="E178" s="69" t="str">
        <f t="shared" si="13"/>
        <v/>
      </c>
      <c r="F178" s="67">
        <f>HLOOKUP($D$10,ReferenceTables!$AU$3:$CU$10,5,FALSE)</f>
        <v>44707</v>
      </c>
      <c r="G178" s="68" t="str">
        <f t="shared" si="16"/>
        <v/>
      </c>
      <c r="H178" s="16"/>
      <c r="I178" s="16"/>
      <c r="J178" s="16"/>
      <c r="K178" s="16"/>
      <c r="L178" s="16"/>
      <c r="M178" s="13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idden="1" outlineLevel="1" x14ac:dyDescent="0.35">
      <c r="A179" t="e">
        <f t="shared" si="12"/>
        <v>#N/A</v>
      </c>
      <c r="B179" s="30">
        <v>2</v>
      </c>
      <c r="C179" s="86" t="s">
        <v>40</v>
      </c>
      <c r="D179" s="73" t="e">
        <f>VLOOKUP(C179,Project_Replicon[[#All],[Replicon Line w/code]:[Project2]],2,FALSE)</f>
        <v>#N/A</v>
      </c>
      <c r="E179" s="70" t="str">
        <f t="shared" si="13"/>
        <v/>
      </c>
      <c r="F179" s="71">
        <f>HLOOKUP($D$10,ReferenceTables!$AU$3:$CU$10,5,FALSE)</f>
        <v>44707</v>
      </c>
      <c r="G179" s="72" t="str">
        <f t="shared" si="16"/>
        <v/>
      </c>
      <c r="H179" s="16"/>
      <c r="I179" s="16"/>
      <c r="J179" s="16"/>
      <c r="K179" s="16"/>
      <c r="L179" s="16"/>
      <c r="M179" s="13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" hidden="1" outlineLevel="1" thickBot="1" x14ac:dyDescent="0.4">
      <c r="A180" t="e">
        <f t="shared" si="12"/>
        <v>#N/A</v>
      </c>
      <c r="B180" s="30">
        <v>3</v>
      </c>
      <c r="C180" s="89" t="s">
        <v>40</v>
      </c>
      <c r="D180" s="83" t="e">
        <f>VLOOKUP(C180,Project_Replicon[[#All],[Replicon Line w/code]:[Project2]],2,FALSE)</f>
        <v>#N/A</v>
      </c>
      <c r="E180" s="36" t="str">
        <f>_xlfn.IFNA(VLOOKUP(A180,$A$14:$C$21,3,FALSE),"")</f>
        <v/>
      </c>
      <c r="F180" s="84">
        <f>HLOOKUP($D$10,ReferenceTables!$AU$3:$CU$10,5,FALSE)</f>
        <v>44707</v>
      </c>
      <c r="G180" s="37" t="str">
        <f>_xlfn.IFNA(VLOOKUP(A180,$A$14:$L$21,9,FALSE),"")</f>
        <v/>
      </c>
      <c r="H180" s="16"/>
      <c r="I180" s="16"/>
      <c r="J180" s="16"/>
      <c r="K180" s="16"/>
      <c r="L180" s="16"/>
      <c r="M180" s="13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" hidden="1" outlineLevel="1" thickTop="1" x14ac:dyDescent="0.35">
      <c r="A181" t="e">
        <f t="shared" si="12"/>
        <v>#N/A</v>
      </c>
      <c r="B181" s="30">
        <v>1</v>
      </c>
      <c r="C181" s="98" t="s">
        <v>28</v>
      </c>
      <c r="D181" s="99" t="e">
        <f>VLOOKUP(C181,Project_Replicon[[#All],[Replicon Line w/code]:[Project2]],2,FALSE)</f>
        <v>#N/A</v>
      </c>
      <c r="E181" s="99" t="str">
        <f t="shared" ref="E181:E227" si="19">_xlfn.IFNA(VLOOKUP(A181,$A$14:$C$21,3,FALSE),"")</f>
        <v/>
      </c>
      <c r="F181" s="71">
        <f>HLOOKUP($D$10,ReferenceTables!$AU$3:$CU$10,6,FALSE)</f>
        <v>44708</v>
      </c>
      <c r="G181" s="100" t="str">
        <f t="shared" ref="G181:G218" si="20">_xlfn.IFNA(VLOOKUP(A181,$A$14:$L$21,10,FALSE),"")</f>
        <v/>
      </c>
      <c r="H181" s="16"/>
      <c r="I181" s="28"/>
      <c r="J181" s="16"/>
      <c r="K181" s="16"/>
      <c r="L181" s="16"/>
      <c r="M181" s="13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idden="1" outlineLevel="1" x14ac:dyDescent="0.35">
      <c r="A182" t="e">
        <f t="shared" si="12"/>
        <v>#N/A</v>
      </c>
      <c r="B182" s="30">
        <v>2</v>
      </c>
      <c r="C182" s="86" t="s">
        <v>28</v>
      </c>
      <c r="D182" s="73" t="e">
        <f>VLOOKUP(C182,Project_Replicon[[#All],[Replicon Line w/code]:[Project2]],2,FALSE)</f>
        <v>#N/A</v>
      </c>
      <c r="E182" s="70" t="str">
        <f t="shared" si="19"/>
        <v/>
      </c>
      <c r="F182" s="71">
        <f>HLOOKUP($D$10,ReferenceTables!$AU$3:$CU$10,6,FALSE)</f>
        <v>44708</v>
      </c>
      <c r="G182" s="72" t="str">
        <f t="shared" si="20"/>
        <v/>
      </c>
      <c r="H182" s="16"/>
      <c r="I182" s="28"/>
      <c r="J182" s="16"/>
      <c r="K182" s="16"/>
      <c r="L182" s="16"/>
      <c r="M182" s="13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idden="1" outlineLevel="1" x14ac:dyDescent="0.35">
      <c r="A183" t="e">
        <f t="shared" si="12"/>
        <v>#N/A</v>
      </c>
      <c r="B183" s="30">
        <v>3</v>
      </c>
      <c r="C183" s="87" t="s">
        <v>28</v>
      </c>
      <c r="D183" s="25" t="e">
        <f>VLOOKUP(C183,Project_Replicon[[#All],[Replicon Line w/code]:[Project2]],2,FALSE)</f>
        <v>#N/A</v>
      </c>
      <c r="E183" s="34" t="str">
        <f>_xlfn.IFNA(VLOOKUP(A183,$A$14:$C$21,3,FALSE),"")</f>
        <v/>
      </c>
      <c r="F183" s="26">
        <f>HLOOKUP($D$10,ReferenceTables!$AU$3:$CU$10,6,FALSE)</f>
        <v>44708</v>
      </c>
      <c r="G183" s="35" t="str">
        <f>_xlfn.IFNA(VLOOKUP(A183,$A$14:$L$21,10,FALSE),"")</f>
        <v/>
      </c>
      <c r="H183" s="16"/>
      <c r="I183" s="28"/>
      <c r="J183" s="16"/>
      <c r="K183" s="16"/>
      <c r="L183" s="16"/>
      <c r="M183" s="13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idden="1" outlineLevel="1" x14ac:dyDescent="0.35">
      <c r="A184" t="e">
        <f t="shared" ref="A184:A247" si="21">_xlfn.CONCAT(B184,C184,D184)</f>
        <v>#N/A</v>
      </c>
      <c r="B184" s="30">
        <v>1</v>
      </c>
      <c r="C184" s="88" t="s">
        <v>29</v>
      </c>
      <c r="D184" s="69" t="e">
        <f>VLOOKUP(C184,Project_Replicon[[#All],[Replicon Line w/code]:[Project2]],2,FALSE)</f>
        <v>#N/A</v>
      </c>
      <c r="E184" s="69" t="str">
        <f t="shared" si="19"/>
        <v/>
      </c>
      <c r="F184" s="67">
        <f>HLOOKUP($D$10,ReferenceTables!$AU$3:$CU$10,6,FALSE)</f>
        <v>44708</v>
      </c>
      <c r="G184" s="68" t="str">
        <f t="shared" si="20"/>
        <v/>
      </c>
      <c r="H184" s="16"/>
      <c r="I184" s="28"/>
      <c r="J184" s="16"/>
      <c r="K184" s="16"/>
      <c r="L184" s="16"/>
      <c r="M184" s="13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idden="1" outlineLevel="1" x14ac:dyDescent="0.35">
      <c r="A185" t="e">
        <f t="shared" si="21"/>
        <v>#N/A</v>
      </c>
      <c r="B185" s="30">
        <v>2</v>
      </c>
      <c r="C185" s="86" t="s">
        <v>29</v>
      </c>
      <c r="D185" s="73" t="e">
        <f>VLOOKUP(C185,Project_Replicon[[#All],[Replicon Line w/code]:[Project2]],2,FALSE)</f>
        <v>#N/A</v>
      </c>
      <c r="E185" s="70" t="str">
        <f t="shared" si="19"/>
        <v/>
      </c>
      <c r="F185" s="71">
        <f>HLOOKUP($D$10,ReferenceTables!$AU$3:$CU$10,6,FALSE)</f>
        <v>44708</v>
      </c>
      <c r="G185" s="72" t="str">
        <f t="shared" si="20"/>
        <v/>
      </c>
      <c r="H185" s="16"/>
      <c r="I185" s="28"/>
      <c r="J185" s="16"/>
      <c r="K185" s="16"/>
      <c r="L185" s="16"/>
      <c r="M185" s="13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idden="1" outlineLevel="1" x14ac:dyDescent="0.35">
      <c r="A186" t="e">
        <f t="shared" si="21"/>
        <v>#N/A</v>
      </c>
      <c r="B186" s="30">
        <v>3</v>
      </c>
      <c r="C186" s="87" t="s">
        <v>29</v>
      </c>
      <c r="D186" s="25" t="e">
        <f>VLOOKUP(C186,Project_Replicon[[#All],[Replicon Line w/code]:[Project2]],2,FALSE)</f>
        <v>#N/A</v>
      </c>
      <c r="E186" s="34" t="str">
        <f>_xlfn.IFNA(VLOOKUP(A186,$A$14:$C$21,3,FALSE),"")</f>
        <v/>
      </c>
      <c r="F186" s="26">
        <f>HLOOKUP($D$10,ReferenceTables!$AU$3:$CU$10,6,FALSE)</f>
        <v>44708</v>
      </c>
      <c r="G186" s="35" t="str">
        <f>_xlfn.IFNA(VLOOKUP(A186,$A$14:$L$21,10,FALSE),"")</f>
        <v/>
      </c>
      <c r="H186" s="16"/>
      <c r="I186" s="28"/>
      <c r="J186" s="16"/>
      <c r="K186" s="16"/>
      <c r="L186" s="16"/>
      <c r="M186" s="13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idden="1" outlineLevel="1" x14ac:dyDescent="0.35">
      <c r="A187" t="e">
        <f t="shared" si="21"/>
        <v>#N/A</v>
      </c>
      <c r="B187" s="30">
        <v>1</v>
      </c>
      <c r="C187" s="88" t="s">
        <v>30</v>
      </c>
      <c r="D187" s="69" t="e">
        <f>VLOOKUP(C187,Project_Replicon[[#All],[Replicon Line w/code]:[Project2]],2,FALSE)</f>
        <v>#N/A</v>
      </c>
      <c r="E187" s="69" t="str">
        <f t="shared" si="19"/>
        <v/>
      </c>
      <c r="F187" s="67">
        <f>HLOOKUP($D$10,ReferenceTables!$AU$3:$CU$10,6,FALSE)</f>
        <v>44708</v>
      </c>
      <c r="G187" s="68" t="str">
        <f t="shared" si="20"/>
        <v/>
      </c>
      <c r="H187" s="16"/>
      <c r="I187" s="28"/>
      <c r="J187" s="16"/>
      <c r="K187" s="16"/>
      <c r="L187" s="16"/>
      <c r="M187" s="13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idden="1" outlineLevel="1" x14ac:dyDescent="0.35">
      <c r="A188" t="e">
        <f t="shared" si="21"/>
        <v>#N/A</v>
      </c>
      <c r="B188" s="30">
        <v>2</v>
      </c>
      <c r="C188" s="86" t="s">
        <v>30</v>
      </c>
      <c r="D188" s="73" t="e">
        <f>VLOOKUP(C188,Project_Replicon[[#All],[Replicon Line w/code]:[Project2]],2,FALSE)</f>
        <v>#N/A</v>
      </c>
      <c r="E188" s="70" t="str">
        <f t="shared" si="19"/>
        <v/>
      </c>
      <c r="F188" s="71">
        <f>HLOOKUP($D$10,ReferenceTables!$AU$3:$CU$10,6,FALSE)</f>
        <v>44708</v>
      </c>
      <c r="G188" s="72" t="str">
        <f t="shared" si="20"/>
        <v/>
      </c>
      <c r="H188" s="16"/>
      <c r="I188" s="28"/>
      <c r="J188" s="16"/>
      <c r="K188" s="16"/>
      <c r="L188" s="16"/>
      <c r="M188" s="13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idden="1" outlineLevel="1" x14ac:dyDescent="0.35">
      <c r="A189" t="e">
        <f t="shared" si="21"/>
        <v>#N/A</v>
      </c>
      <c r="B189" s="30">
        <v>3</v>
      </c>
      <c r="C189" s="87" t="s">
        <v>30</v>
      </c>
      <c r="D189" s="25" t="e">
        <f>VLOOKUP(C189,Project_Replicon[[#All],[Replicon Line w/code]:[Project2]],2,FALSE)</f>
        <v>#N/A</v>
      </c>
      <c r="E189" s="34" t="str">
        <f>_xlfn.IFNA(VLOOKUP(A189,$A$14:$C$21,3,FALSE),"")</f>
        <v/>
      </c>
      <c r="F189" s="26">
        <f>HLOOKUP($D$10,ReferenceTables!$AU$3:$CU$10,6,FALSE)</f>
        <v>44708</v>
      </c>
      <c r="G189" s="35" t="str">
        <f>_xlfn.IFNA(VLOOKUP(A189,$A$14:$L$21,10,FALSE),"")</f>
        <v/>
      </c>
      <c r="H189" s="16"/>
      <c r="I189" s="28"/>
      <c r="J189" s="16"/>
      <c r="K189" s="16"/>
      <c r="L189" s="16"/>
      <c r="M189" s="13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idden="1" outlineLevel="1" x14ac:dyDescent="0.35">
      <c r="A190" t="e">
        <f t="shared" si="21"/>
        <v>#N/A</v>
      </c>
      <c r="B190" s="30">
        <v>1</v>
      </c>
      <c r="C190" s="88" t="s">
        <v>31</v>
      </c>
      <c r="D190" s="69" t="e">
        <f>VLOOKUP(C190,Project_Replicon[[#All],[Replicon Line w/code]:[Project2]],2,FALSE)</f>
        <v>#N/A</v>
      </c>
      <c r="E190" s="69" t="str">
        <f t="shared" si="19"/>
        <v/>
      </c>
      <c r="F190" s="67">
        <f>HLOOKUP($D$10,ReferenceTables!$AU$3:$CU$10,6,FALSE)</f>
        <v>44708</v>
      </c>
      <c r="G190" s="68" t="str">
        <f t="shared" si="20"/>
        <v/>
      </c>
      <c r="H190" s="16"/>
      <c r="I190" s="28"/>
      <c r="J190" s="16"/>
      <c r="K190" s="16"/>
      <c r="L190" s="16"/>
      <c r="M190" s="13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idden="1" outlineLevel="1" x14ac:dyDescent="0.35">
      <c r="A191" t="e">
        <f t="shared" si="21"/>
        <v>#N/A</v>
      </c>
      <c r="B191" s="30">
        <v>2</v>
      </c>
      <c r="C191" s="86" t="s">
        <v>31</v>
      </c>
      <c r="D191" s="73" t="e">
        <f>VLOOKUP(C191,Project_Replicon[[#All],[Replicon Line w/code]:[Project2]],2,FALSE)</f>
        <v>#N/A</v>
      </c>
      <c r="E191" s="70" t="str">
        <f t="shared" si="19"/>
        <v/>
      </c>
      <c r="F191" s="71">
        <f>HLOOKUP($D$10,ReferenceTables!$AU$3:$CU$10,6,FALSE)</f>
        <v>44708</v>
      </c>
      <c r="G191" s="72" t="str">
        <f t="shared" si="20"/>
        <v/>
      </c>
      <c r="H191" s="16"/>
      <c r="I191" s="28"/>
      <c r="J191" s="16"/>
      <c r="K191" s="16"/>
      <c r="L191" s="16"/>
      <c r="M191" s="13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idden="1" outlineLevel="1" x14ac:dyDescent="0.35">
      <c r="A192" t="e">
        <f t="shared" si="21"/>
        <v>#N/A</v>
      </c>
      <c r="B192" s="30">
        <v>3</v>
      </c>
      <c r="C192" s="87" t="s">
        <v>31</v>
      </c>
      <c r="D192" s="25" t="e">
        <f>VLOOKUP(C192,Project_Replicon[[#All],[Replicon Line w/code]:[Project2]],2,FALSE)</f>
        <v>#N/A</v>
      </c>
      <c r="E192" s="34" t="str">
        <f>_xlfn.IFNA(VLOOKUP(A192,$A$14:$C$21,3,FALSE),"")</f>
        <v/>
      </c>
      <c r="F192" s="26">
        <f>HLOOKUP($D$10,ReferenceTables!$AU$3:$CU$10,6,FALSE)</f>
        <v>44708</v>
      </c>
      <c r="G192" s="35" t="str">
        <f>_xlfn.IFNA(VLOOKUP(A192,$A$14:$L$21,10,FALSE),"")</f>
        <v/>
      </c>
      <c r="H192" s="16"/>
      <c r="I192" s="28"/>
      <c r="J192" s="16"/>
      <c r="K192" s="16"/>
      <c r="L192" s="16"/>
      <c r="M192" s="13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idden="1" outlineLevel="1" x14ac:dyDescent="0.35">
      <c r="A193" t="e">
        <f t="shared" si="21"/>
        <v>#N/A</v>
      </c>
      <c r="B193" s="30">
        <v>1</v>
      </c>
      <c r="C193" s="88" t="s">
        <v>32</v>
      </c>
      <c r="D193" s="69" t="e">
        <f>VLOOKUP(C193,Project_Replicon[[#All],[Replicon Line w/code]:[Project2]],2,FALSE)</f>
        <v>#N/A</v>
      </c>
      <c r="E193" s="69" t="str">
        <f t="shared" si="19"/>
        <v/>
      </c>
      <c r="F193" s="67">
        <f>HLOOKUP($D$10,ReferenceTables!$AU$3:$CU$10,6,FALSE)</f>
        <v>44708</v>
      </c>
      <c r="G193" s="68" t="str">
        <f t="shared" si="20"/>
        <v/>
      </c>
      <c r="H193" s="16"/>
      <c r="I193" s="28"/>
      <c r="J193" s="16"/>
      <c r="K193" s="16"/>
      <c r="L193" s="16"/>
      <c r="M193" s="13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idden="1" outlineLevel="1" x14ac:dyDescent="0.35">
      <c r="A194" t="e">
        <f t="shared" si="21"/>
        <v>#N/A</v>
      </c>
      <c r="B194" s="30">
        <v>2</v>
      </c>
      <c r="C194" s="86" t="s">
        <v>32</v>
      </c>
      <c r="D194" s="73" t="e">
        <f>VLOOKUP(C194,Project_Replicon[[#All],[Replicon Line w/code]:[Project2]],2,FALSE)</f>
        <v>#N/A</v>
      </c>
      <c r="E194" s="70" t="str">
        <f t="shared" si="19"/>
        <v/>
      </c>
      <c r="F194" s="71">
        <f>HLOOKUP($D$10,ReferenceTables!$AU$3:$CU$10,6,FALSE)</f>
        <v>44708</v>
      </c>
      <c r="G194" s="72" t="str">
        <f t="shared" si="20"/>
        <v/>
      </c>
      <c r="H194" s="16"/>
      <c r="I194" s="28"/>
      <c r="J194" s="16"/>
      <c r="K194" s="16"/>
      <c r="L194" s="16"/>
      <c r="M194" s="13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idden="1" outlineLevel="1" x14ac:dyDescent="0.35">
      <c r="A195" t="e">
        <f t="shared" si="21"/>
        <v>#N/A</v>
      </c>
      <c r="B195" s="30">
        <v>3</v>
      </c>
      <c r="C195" s="87" t="s">
        <v>32</v>
      </c>
      <c r="D195" s="25" t="e">
        <f>VLOOKUP(C195,Project_Replicon[[#All],[Replicon Line w/code]:[Project2]],2,FALSE)</f>
        <v>#N/A</v>
      </c>
      <c r="E195" s="34" t="str">
        <f>_xlfn.IFNA(VLOOKUP(A195,$A$14:$C$21,3,FALSE),"")</f>
        <v/>
      </c>
      <c r="F195" s="26">
        <f>HLOOKUP($D$10,ReferenceTables!$AU$3:$CU$10,6,FALSE)</f>
        <v>44708</v>
      </c>
      <c r="G195" s="35" t="str">
        <f>_xlfn.IFNA(VLOOKUP(A195,$A$14:$L$21,10,FALSE),"")</f>
        <v/>
      </c>
      <c r="H195" s="16"/>
      <c r="I195" s="28"/>
      <c r="J195" s="16"/>
      <c r="K195" s="16"/>
      <c r="L195" s="16"/>
      <c r="M195" s="13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idden="1" outlineLevel="1" x14ac:dyDescent="0.35">
      <c r="A196" t="str">
        <f t="shared" si="21"/>
        <v>1ABNAMRO-0026-07 P4 - Basel IVP4 - Basel IV</v>
      </c>
      <c r="B196" s="30">
        <v>1</v>
      </c>
      <c r="C196" s="88" t="s">
        <v>33</v>
      </c>
      <c r="D196" s="69" t="str">
        <f>VLOOKUP(C196,Project_Replicon[[#All],[Replicon Line w/code]:[Project2]],2,FALSE)</f>
        <v>P4 - Basel IV</v>
      </c>
      <c r="E196" s="69" t="str">
        <f t="shared" si="19"/>
        <v>Credit Risk</v>
      </c>
      <c r="F196" s="67">
        <f>HLOOKUP($D$10,ReferenceTables!$AU$3:$CU$10,6,FALSE)</f>
        <v>44708</v>
      </c>
      <c r="G196" s="68">
        <f t="shared" si="20"/>
        <v>8</v>
      </c>
      <c r="H196" s="16"/>
      <c r="I196" s="28"/>
      <c r="J196" s="16"/>
      <c r="K196" s="16"/>
      <c r="L196" s="16"/>
      <c r="M196" s="13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idden="1" outlineLevel="1" x14ac:dyDescent="0.35">
      <c r="A197" t="str">
        <f t="shared" si="21"/>
        <v>2ABNAMRO-0026-07 P4 - Basel IVP4 - Basel IV</v>
      </c>
      <c r="B197" s="30">
        <v>2</v>
      </c>
      <c r="C197" s="86" t="s">
        <v>33</v>
      </c>
      <c r="D197" s="73" t="str">
        <f>VLOOKUP(C197,Project_Replicon[[#All],[Replicon Line w/code]:[Project2]],2,FALSE)</f>
        <v>P4 - Basel IV</v>
      </c>
      <c r="E197" s="70" t="str">
        <f t="shared" si="19"/>
        <v/>
      </c>
      <c r="F197" s="71">
        <f>HLOOKUP($D$10,ReferenceTables!$AU$3:$CU$10,6,FALSE)</f>
        <v>44708</v>
      </c>
      <c r="G197" s="72" t="str">
        <f t="shared" si="20"/>
        <v/>
      </c>
      <c r="H197" s="16"/>
      <c r="I197" s="28"/>
      <c r="J197" s="16"/>
      <c r="K197" s="16"/>
      <c r="L197" s="16"/>
      <c r="M197" s="13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idden="1" outlineLevel="1" x14ac:dyDescent="0.35">
      <c r="A198" t="str">
        <f t="shared" si="21"/>
        <v>3ABNAMRO-0026-07 P4 - Basel IVP4 - Basel IV</v>
      </c>
      <c r="B198" s="30">
        <v>3</v>
      </c>
      <c r="C198" s="87" t="s">
        <v>33</v>
      </c>
      <c r="D198" s="25" t="str">
        <f>VLOOKUP(C198,Project_Replicon[[#All],[Replicon Line w/code]:[Project2]],2,FALSE)</f>
        <v>P4 - Basel IV</v>
      </c>
      <c r="E198" s="34" t="str">
        <f>_xlfn.IFNA(VLOOKUP(A198,$A$14:$C$21,3,FALSE),"")</f>
        <v/>
      </c>
      <c r="F198" s="26">
        <f>HLOOKUP($D$10,ReferenceTables!$AU$3:$CU$10,6,FALSE)</f>
        <v>44708</v>
      </c>
      <c r="G198" s="35" t="str">
        <f>_xlfn.IFNA(VLOOKUP(A198,$A$14:$L$21,10,FALSE),"")</f>
        <v/>
      </c>
      <c r="H198" s="16"/>
      <c r="I198" s="28"/>
      <c r="J198" s="16"/>
      <c r="K198" s="16"/>
      <c r="L198" s="16"/>
      <c r="M198" s="13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idden="1" outlineLevel="1" x14ac:dyDescent="0.35">
      <c r="A199" t="e">
        <f t="shared" si="21"/>
        <v>#N/A</v>
      </c>
      <c r="B199" s="30">
        <v>1</v>
      </c>
      <c r="C199" s="88" t="s">
        <v>34</v>
      </c>
      <c r="D199" s="69" t="e">
        <f>VLOOKUP(C199,Project_Replicon[[#All],[Replicon Line w/code]:[Project2]],2,FALSE)</f>
        <v>#N/A</v>
      </c>
      <c r="E199" s="69" t="str">
        <f t="shared" si="19"/>
        <v/>
      </c>
      <c r="F199" s="67">
        <f>HLOOKUP($D$10,ReferenceTables!$AU$3:$CU$10,6,FALSE)</f>
        <v>44708</v>
      </c>
      <c r="G199" s="68" t="str">
        <f t="shared" si="20"/>
        <v/>
      </c>
      <c r="H199" s="16"/>
      <c r="I199" s="28"/>
      <c r="J199" s="16"/>
      <c r="K199" s="16"/>
      <c r="L199" s="16"/>
      <c r="M199" s="13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idden="1" outlineLevel="1" x14ac:dyDescent="0.35">
      <c r="A200" t="e">
        <f t="shared" si="21"/>
        <v>#N/A</v>
      </c>
      <c r="B200" s="30">
        <v>2</v>
      </c>
      <c r="C200" s="86" t="s">
        <v>34</v>
      </c>
      <c r="D200" s="73" t="e">
        <f>VLOOKUP(C200,Project_Replicon[[#All],[Replicon Line w/code]:[Project2]],2,FALSE)</f>
        <v>#N/A</v>
      </c>
      <c r="E200" s="70" t="str">
        <f t="shared" si="19"/>
        <v/>
      </c>
      <c r="F200" s="71">
        <f>HLOOKUP($D$10,ReferenceTables!$AU$3:$CU$10,6,FALSE)</f>
        <v>44708</v>
      </c>
      <c r="G200" s="72" t="str">
        <f t="shared" si="20"/>
        <v/>
      </c>
      <c r="H200" s="16"/>
      <c r="I200" s="28"/>
      <c r="J200" s="16"/>
      <c r="K200" s="16"/>
      <c r="L200" s="16"/>
      <c r="M200" s="13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idden="1" outlineLevel="1" x14ac:dyDescent="0.35">
      <c r="A201" t="e">
        <f t="shared" si="21"/>
        <v>#N/A</v>
      </c>
      <c r="B201" s="30">
        <v>3</v>
      </c>
      <c r="C201" s="87" t="s">
        <v>34</v>
      </c>
      <c r="D201" s="25" t="e">
        <f>VLOOKUP(C201,Project_Replicon[[#All],[Replicon Line w/code]:[Project2]],2,FALSE)</f>
        <v>#N/A</v>
      </c>
      <c r="E201" s="34" t="str">
        <f>_xlfn.IFNA(VLOOKUP(A201,$A$14:$C$21,3,FALSE),"")</f>
        <v/>
      </c>
      <c r="F201" s="26">
        <f>HLOOKUP($D$10,ReferenceTables!$AU$3:$CU$10,6,FALSE)</f>
        <v>44708</v>
      </c>
      <c r="G201" s="35" t="str">
        <f>_xlfn.IFNA(VLOOKUP(A201,$A$14:$L$21,10,FALSE),"")</f>
        <v/>
      </c>
      <c r="H201" s="16"/>
      <c r="I201" s="28"/>
      <c r="J201" s="16"/>
      <c r="K201" s="16"/>
      <c r="L201" s="16"/>
      <c r="M201" s="13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idden="1" outlineLevel="1" x14ac:dyDescent="0.35">
      <c r="A202" t="e">
        <f t="shared" si="21"/>
        <v>#N/A</v>
      </c>
      <c r="B202" s="30">
        <v>1</v>
      </c>
      <c r="C202" s="88" t="s">
        <v>35</v>
      </c>
      <c r="D202" s="69" t="e">
        <f>VLOOKUP(C202,Project_Replicon[[#All],[Replicon Line w/code]:[Project2]],2,FALSE)</f>
        <v>#N/A</v>
      </c>
      <c r="E202" s="69" t="str">
        <f t="shared" si="19"/>
        <v/>
      </c>
      <c r="F202" s="67">
        <f>HLOOKUP($D$10,ReferenceTables!$AU$3:$CU$10,6,FALSE)</f>
        <v>44708</v>
      </c>
      <c r="G202" s="68" t="str">
        <f t="shared" si="20"/>
        <v/>
      </c>
      <c r="H202" s="16"/>
      <c r="I202" s="28"/>
      <c r="J202" s="16"/>
      <c r="K202" s="16"/>
      <c r="L202" s="16"/>
      <c r="M202" s="13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idden="1" outlineLevel="1" x14ac:dyDescent="0.35">
      <c r="A203" t="e">
        <f t="shared" si="21"/>
        <v>#N/A</v>
      </c>
      <c r="B203" s="30">
        <v>2</v>
      </c>
      <c r="C203" s="86" t="s">
        <v>35</v>
      </c>
      <c r="D203" s="73" t="e">
        <f>VLOOKUP(C203,Project_Replicon[[#All],[Replicon Line w/code]:[Project2]],2,FALSE)</f>
        <v>#N/A</v>
      </c>
      <c r="E203" s="70" t="str">
        <f t="shared" si="19"/>
        <v/>
      </c>
      <c r="F203" s="71">
        <f>HLOOKUP($D$10,ReferenceTables!$AU$3:$CU$10,6,FALSE)</f>
        <v>44708</v>
      </c>
      <c r="G203" s="72" t="str">
        <f t="shared" si="20"/>
        <v/>
      </c>
      <c r="H203" s="16"/>
      <c r="I203" s="16"/>
      <c r="J203" s="16"/>
      <c r="K203" s="16"/>
      <c r="L203" s="16"/>
      <c r="M203" s="13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idden="1" outlineLevel="1" x14ac:dyDescent="0.35">
      <c r="A204" t="e">
        <f t="shared" si="21"/>
        <v>#N/A</v>
      </c>
      <c r="B204" s="30">
        <v>3</v>
      </c>
      <c r="C204" s="87" t="s">
        <v>35</v>
      </c>
      <c r="D204" s="25" t="e">
        <f>VLOOKUP(C204,Project_Replicon[[#All],[Replicon Line w/code]:[Project2]],2,FALSE)</f>
        <v>#N/A</v>
      </c>
      <c r="E204" s="34" t="str">
        <f t="shared" ref="E204:E213" si="22">_xlfn.IFNA(VLOOKUP(A204,$A$14:$C$21,3,FALSE),"")</f>
        <v/>
      </c>
      <c r="F204" s="26">
        <f>HLOOKUP($D$10,ReferenceTables!$AU$3:$CU$10,6,FALSE)</f>
        <v>44708</v>
      </c>
      <c r="G204" s="35" t="str">
        <f t="shared" ref="G204:G213" si="23">_xlfn.IFNA(VLOOKUP(A204,$A$14:$L$21,10,FALSE),"")</f>
        <v/>
      </c>
      <c r="H204" s="16"/>
      <c r="I204" s="16"/>
      <c r="J204" s="16"/>
      <c r="K204" s="16"/>
      <c r="L204" s="16"/>
      <c r="M204" s="13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idden="1" outlineLevel="1" collapsed="1" x14ac:dyDescent="0.35">
      <c r="A205" t="e">
        <f t="shared" si="21"/>
        <v>#N/A</v>
      </c>
      <c r="B205" s="30">
        <v>1</v>
      </c>
      <c r="C205" s="88" t="s">
        <v>36</v>
      </c>
      <c r="D205" s="69" t="e">
        <f>VLOOKUP(C205,Project_Replicon[[#All],[Replicon Line w/code]:[Project2]],2,FALSE)</f>
        <v>#N/A</v>
      </c>
      <c r="E205" s="69" t="str">
        <f t="shared" si="22"/>
        <v/>
      </c>
      <c r="F205" s="67">
        <f>HLOOKUP($D$10,ReferenceTables!$AU$3:$CU$10,6,FALSE)</f>
        <v>44708</v>
      </c>
      <c r="G205" s="68" t="str">
        <f t="shared" si="23"/>
        <v/>
      </c>
      <c r="H205" s="16"/>
      <c r="I205" s="16"/>
      <c r="J205" s="16"/>
      <c r="K205" s="16"/>
      <c r="L205" s="16"/>
      <c r="M205" s="13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idden="1" outlineLevel="1" x14ac:dyDescent="0.35">
      <c r="A206" t="e">
        <f t="shared" si="21"/>
        <v>#N/A</v>
      </c>
      <c r="B206" s="30">
        <v>2</v>
      </c>
      <c r="C206" s="86" t="s">
        <v>36</v>
      </c>
      <c r="D206" s="73" t="e">
        <f>VLOOKUP(C206,Project_Replicon[[#All],[Replicon Line w/code]:[Project2]],2,FALSE)</f>
        <v>#N/A</v>
      </c>
      <c r="E206" s="70" t="str">
        <f t="shared" si="22"/>
        <v/>
      </c>
      <c r="F206" s="71">
        <f>HLOOKUP($D$10,ReferenceTables!$AU$3:$CU$10,6,FALSE)</f>
        <v>44708</v>
      </c>
      <c r="G206" s="72" t="str">
        <f t="shared" si="23"/>
        <v/>
      </c>
      <c r="H206" s="16"/>
      <c r="I206" s="16"/>
      <c r="J206" s="16"/>
      <c r="K206" s="16"/>
      <c r="L206" s="16"/>
      <c r="M206" s="13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idden="1" outlineLevel="1" x14ac:dyDescent="0.35">
      <c r="A207" t="e">
        <f t="shared" si="21"/>
        <v>#N/A</v>
      </c>
      <c r="B207" s="30">
        <v>3</v>
      </c>
      <c r="C207" s="87" t="s">
        <v>36</v>
      </c>
      <c r="D207" s="25" t="e">
        <f>VLOOKUP(C207,Project_Replicon[[#All],[Replicon Line w/code]:[Project2]],2,FALSE)</f>
        <v>#N/A</v>
      </c>
      <c r="E207" s="34" t="str">
        <f t="shared" si="22"/>
        <v/>
      </c>
      <c r="F207" s="26">
        <f>HLOOKUP($D$10,ReferenceTables!$AU$3:$CU$10,6,FALSE)</f>
        <v>44708</v>
      </c>
      <c r="G207" s="35" t="str">
        <f t="shared" si="23"/>
        <v/>
      </c>
      <c r="H207" s="16"/>
      <c r="I207" s="16"/>
      <c r="J207" s="16"/>
      <c r="K207" s="16"/>
      <c r="L207" s="16"/>
      <c r="M207" s="13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idden="1" outlineLevel="1" x14ac:dyDescent="0.35">
      <c r="A208" t="e">
        <f t="shared" si="21"/>
        <v>#N/A</v>
      </c>
      <c r="B208" s="30">
        <v>1</v>
      </c>
      <c r="C208" s="88" t="s">
        <v>37</v>
      </c>
      <c r="D208" s="69" t="e">
        <f>VLOOKUP(C208,Project_Replicon[[#All],[Replicon Line w/code]:[Project2]],2,FALSE)</f>
        <v>#N/A</v>
      </c>
      <c r="E208" s="69" t="str">
        <f t="shared" si="22"/>
        <v/>
      </c>
      <c r="F208" s="67">
        <f>HLOOKUP($D$10,ReferenceTables!$AU$3:$CU$10,6,FALSE)</f>
        <v>44708</v>
      </c>
      <c r="G208" s="68" t="str">
        <f t="shared" si="23"/>
        <v/>
      </c>
      <c r="H208" s="16"/>
      <c r="I208" s="16"/>
      <c r="J208" s="16"/>
      <c r="K208" s="16"/>
      <c r="L208" s="16"/>
      <c r="M208" s="13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idden="1" outlineLevel="1" x14ac:dyDescent="0.35">
      <c r="A209" t="e">
        <f t="shared" si="21"/>
        <v>#N/A</v>
      </c>
      <c r="B209" s="30">
        <v>2</v>
      </c>
      <c r="C209" s="86" t="s">
        <v>37</v>
      </c>
      <c r="D209" s="73" t="e">
        <f>VLOOKUP(C209,Project_Replicon[[#All],[Replicon Line w/code]:[Project2]],2,FALSE)</f>
        <v>#N/A</v>
      </c>
      <c r="E209" s="70" t="str">
        <f t="shared" si="22"/>
        <v/>
      </c>
      <c r="F209" s="71">
        <f>HLOOKUP($D$10,ReferenceTables!$AU$3:$CU$10,6,FALSE)</f>
        <v>44708</v>
      </c>
      <c r="G209" s="72" t="str">
        <f t="shared" si="23"/>
        <v/>
      </c>
      <c r="H209" s="16"/>
      <c r="I209" s="16"/>
      <c r="J209" s="16"/>
      <c r="K209" s="16"/>
      <c r="L209" s="16"/>
      <c r="M209" s="13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idden="1" outlineLevel="1" x14ac:dyDescent="0.35">
      <c r="A210" t="e">
        <f t="shared" si="21"/>
        <v>#N/A</v>
      </c>
      <c r="B210" s="30">
        <v>3</v>
      </c>
      <c r="C210" s="87" t="s">
        <v>37</v>
      </c>
      <c r="D210" s="25" t="e">
        <f>VLOOKUP(C210,Project_Replicon[[#All],[Replicon Line w/code]:[Project2]],2,FALSE)</f>
        <v>#N/A</v>
      </c>
      <c r="E210" s="34" t="str">
        <f t="shared" si="22"/>
        <v/>
      </c>
      <c r="F210" s="26">
        <f>HLOOKUP($D$10,ReferenceTables!$AU$3:$CU$10,6,FALSE)</f>
        <v>44708</v>
      </c>
      <c r="G210" s="35" t="str">
        <f t="shared" si="23"/>
        <v/>
      </c>
      <c r="H210" s="16"/>
      <c r="I210" s="16"/>
      <c r="J210" s="16"/>
      <c r="K210" s="16"/>
      <c r="L210" s="16"/>
      <c r="M210" s="13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idden="1" outlineLevel="1" collapsed="1" x14ac:dyDescent="0.35">
      <c r="A211" t="str">
        <f t="shared" si="21"/>
        <v>1ABNAMRO-0026-13 P2- Risk ServicesP2- Risk Services</v>
      </c>
      <c r="B211" s="30">
        <v>1</v>
      </c>
      <c r="C211" s="88" t="s">
        <v>38</v>
      </c>
      <c r="D211" s="69" t="str">
        <f>VLOOKUP(C211,Project_Replicon[[#All],[Replicon Line w/code]:[Project2]],2,FALSE)</f>
        <v>P2- Risk Services</v>
      </c>
      <c r="E211" s="69" t="str">
        <f t="shared" si="22"/>
        <v/>
      </c>
      <c r="F211" s="67">
        <f>HLOOKUP($D$10,ReferenceTables!$AU$3:$CU$10,6,FALSE)</f>
        <v>44708</v>
      </c>
      <c r="G211" s="68" t="str">
        <f t="shared" si="23"/>
        <v/>
      </c>
      <c r="H211" s="16"/>
      <c r="I211" s="16"/>
      <c r="J211" s="16"/>
      <c r="K211" s="16"/>
      <c r="L211" s="16"/>
      <c r="M211" s="13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idden="1" outlineLevel="1" x14ac:dyDescent="0.35">
      <c r="A212" t="str">
        <f t="shared" si="21"/>
        <v>2ABNAMRO-0026-13 P2- Risk ServicesP2- Risk Services</v>
      </c>
      <c r="B212" s="30">
        <v>2</v>
      </c>
      <c r="C212" s="86" t="s">
        <v>38</v>
      </c>
      <c r="D212" s="73" t="str">
        <f>VLOOKUP(C212,Project_Replicon[[#All],[Replicon Line w/code]:[Project2]],2,FALSE)</f>
        <v>P2- Risk Services</v>
      </c>
      <c r="E212" s="70" t="str">
        <f t="shared" si="22"/>
        <v/>
      </c>
      <c r="F212" s="71">
        <f>HLOOKUP($D$10,ReferenceTables!$AU$3:$CU$10,6,FALSE)</f>
        <v>44708</v>
      </c>
      <c r="G212" s="72" t="str">
        <f t="shared" si="23"/>
        <v/>
      </c>
      <c r="H212" s="16"/>
      <c r="I212" s="16"/>
      <c r="J212" s="16"/>
      <c r="K212" s="16"/>
      <c r="L212" s="16"/>
      <c r="M212" s="13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idden="1" outlineLevel="1" x14ac:dyDescent="0.35">
      <c r="A213" t="str">
        <f t="shared" si="21"/>
        <v>3ABNAMRO-0026-13 P2- Risk ServicesP2- Risk Services</v>
      </c>
      <c r="B213" s="30">
        <v>3</v>
      </c>
      <c r="C213" s="87" t="s">
        <v>38</v>
      </c>
      <c r="D213" s="25" t="str">
        <f>VLOOKUP(C213,Project_Replicon[[#All],[Replicon Line w/code]:[Project2]],2,FALSE)</f>
        <v>P2- Risk Services</v>
      </c>
      <c r="E213" s="34" t="str">
        <f t="shared" si="22"/>
        <v/>
      </c>
      <c r="F213" s="26">
        <f>HLOOKUP($D$10,ReferenceTables!$AU$3:$CU$10,6,FALSE)</f>
        <v>44708</v>
      </c>
      <c r="G213" s="35" t="str">
        <f t="shared" si="23"/>
        <v/>
      </c>
      <c r="H213" s="16"/>
      <c r="I213" s="16"/>
      <c r="J213" s="16"/>
      <c r="K213" s="16"/>
      <c r="L213" s="16"/>
      <c r="M213" s="13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idden="1" outlineLevel="1" x14ac:dyDescent="0.35">
      <c r="A214" t="e">
        <f t="shared" si="21"/>
        <v>#N/A</v>
      </c>
      <c r="B214" s="30">
        <v>1</v>
      </c>
      <c r="C214" s="88" t="s">
        <v>39</v>
      </c>
      <c r="D214" s="69" t="e">
        <f>VLOOKUP(C214,Project_Replicon[[#All],[Replicon Line w/code]:[Project2]],2,FALSE)</f>
        <v>#N/A</v>
      </c>
      <c r="E214" s="69" t="str">
        <f t="shared" si="19"/>
        <v/>
      </c>
      <c r="F214" s="67">
        <f>HLOOKUP($D$10,ReferenceTables!$AU$3:$CU$10,6,FALSE)</f>
        <v>44708</v>
      </c>
      <c r="G214" s="68" t="str">
        <f t="shared" si="20"/>
        <v/>
      </c>
      <c r="H214" s="16"/>
      <c r="I214" s="16"/>
      <c r="J214" s="16"/>
      <c r="K214" s="16"/>
      <c r="L214" s="16"/>
      <c r="M214" s="13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idden="1" outlineLevel="1" x14ac:dyDescent="0.35">
      <c r="A215" t="e">
        <f t="shared" si="21"/>
        <v>#N/A</v>
      </c>
      <c r="B215" s="30">
        <v>2</v>
      </c>
      <c r="C215" s="86" t="s">
        <v>39</v>
      </c>
      <c r="D215" s="73" t="e">
        <f>VLOOKUP(C215,Project_Replicon[[#All],[Replicon Line w/code]:[Project2]],2,FALSE)</f>
        <v>#N/A</v>
      </c>
      <c r="E215" s="70" t="str">
        <f t="shared" si="19"/>
        <v/>
      </c>
      <c r="F215" s="71">
        <f>HLOOKUP($D$10,ReferenceTables!$AU$3:$CU$10,6,FALSE)</f>
        <v>44708</v>
      </c>
      <c r="G215" s="72" t="str">
        <f t="shared" si="20"/>
        <v/>
      </c>
      <c r="H215" s="16"/>
      <c r="I215" s="16"/>
      <c r="J215" s="16"/>
      <c r="K215" s="16"/>
      <c r="L215" s="16"/>
      <c r="M215" s="13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idden="1" outlineLevel="1" x14ac:dyDescent="0.35">
      <c r="A216" t="e">
        <f t="shared" si="21"/>
        <v>#N/A</v>
      </c>
      <c r="B216" s="30">
        <v>3</v>
      </c>
      <c r="C216" s="87" t="s">
        <v>39</v>
      </c>
      <c r="D216" s="25" t="e">
        <f>VLOOKUP(C216,Project_Replicon[[#All],[Replicon Line w/code]:[Project2]],2,FALSE)</f>
        <v>#N/A</v>
      </c>
      <c r="E216" s="34" t="str">
        <f>_xlfn.IFNA(VLOOKUP(A216,$A$14:$C$21,3,FALSE),"")</f>
        <v/>
      </c>
      <c r="F216" s="26">
        <f>HLOOKUP($D$10,ReferenceTables!$AU$3:$CU$10,6,FALSE)</f>
        <v>44708</v>
      </c>
      <c r="G216" s="35" t="str">
        <f>_xlfn.IFNA(VLOOKUP(A216,$A$14:$L$21,10,FALSE),"")</f>
        <v/>
      </c>
      <c r="H216" s="16"/>
      <c r="I216" s="16"/>
      <c r="J216" s="16"/>
      <c r="K216" s="16"/>
      <c r="L216" s="16"/>
      <c r="M216" s="13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idden="1" outlineLevel="1" x14ac:dyDescent="0.35">
      <c r="A217" t="e">
        <f t="shared" si="21"/>
        <v>#N/A</v>
      </c>
      <c r="B217" s="30">
        <v>1</v>
      </c>
      <c r="C217" s="88" t="s">
        <v>40</v>
      </c>
      <c r="D217" s="69" t="e">
        <f>VLOOKUP(C217,Project_Replicon[[#All],[Replicon Line w/code]:[Project2]],2,FALSE)</f>
        <v>#N/A</v>
      </c>
      <c r="E217" s="69" t="str">
        <f t="shared" si="19"/>
        <v/>
      </c>
      <c r="F217" s="67">
        <f>HLOOKUP($D$10,ReferenceTables!$AU$3:$CU$10,6,FALSE)</f>
        <v>44708</v>
      </c>
      <c r="G217" s="68" t="str">
        <f t="shared" si="20"/>
        <v/>
      </c>
      <c r="H217" s="16"/>
      <c r="I217" s="16"/>
      <c r="J217" s="16"/>
      <c r="K217" s="16"/>
      <c r="L217" s="16"/>
      <c r="M217" s="13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idden="1" outlineLevel="1" x14ac:dyDescent="0.35">
      <c r="A218" t="e">
        <f t="shared" si="21"/>
        <v>#N/A</v>
      </c>
      <c r="B218" s="30">
        <v>2</v>
      </c>
      <c r="C218" s="86" t="s">
        <v>40</v>
      </c>
      <c r="D218" s="73" t="e">
        <f>VLOOKUP(C218,Project_Replicon[[#All],[Replicon Line w/code]:[Project2]],2,FALSE)</f>
        <v>#N/A</v>
      </c>
      <c r="E218" s="70" t="str">
        <f t="shared" si="19"/>
        <v/>
      </c>
      <c r="F218" s="71">
        <f>HLOOKUP($D$10,ReferenceTables!$AU$3:$CU$10,6,FALSE)</f>
        <v>44708</v>
      </c>
      <c r="G218" s="72" t="str">
        <f t="shared" si="20"/>
        <v/>
      </c>
      <c r="H218" s="16"/>
      <c r="I218" s="16"/>
      <c r="J218" s="16"/>
      <c r="K218" s="16"/>
      <c r="L218" s="16"/>
      <c r="M218" s="13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" hidden="1" outlineLevel="1" thickBot="1" x14ac:dyDescent="0.4">
      <c r="A219" t="e">
        <f t="shared" si="21"/>
        <v>#N/A</v>
      </c>
      <c r="B219" s="30">
        <v>3</v>
      </c>
      <c r="C219" s="89" t="s">
        <v>40</v>
      </c>
      <c r="D219" s="83" t="e">
        <f>VLOOKUP(C219,Project_Replicon[[#All],[Replicon Line w/code]:[Project2]],2,FALSE)</f>
        <v>#N/A</v>
      </c>
      <c r="E219" s="36" t="str">
        <f>_xlfn.IFNA(VLOOKUP(A219,$A$14:$C$21,3,FALSE),"")</f>
        <v/>
      </c>
      <c r="F219" s="84">
        <f>HLOOKUP($D$10,ReferenceTables!$AU$3:$CU$10,6,FALSE)</f>
        <v>44708</v>
      </c>
      <c r="G219" s="37" t="str">
        <f>_xlfn.IFNA(VLOOKUP(A219,$A$14:$L$21,10,FALSE),"")</f>
        <v/>
      </c>
      <c r="H219" s="16"/>
      <c r="I219" s="16"/>
      <c r="J219" s="16"/>
      <c r="K219" s="16"/>
      <c r="L219" s="16"/>
      <c r="M219" s="13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" hidden="1" outlineLevel="1" thickTop="1" x14ac:dyDescent="0.35">
      <c r="A220" t="e">
        <f t="shared" si="21"/>
        <v>#N/A</v>
      </c>
      <c r="B220" s="30">
        <v>1</v>
      </c>
      <c r="C220" s="90" t="s">
        <v>28</v>
      </c>
      <c r="D220" s="82" t="e">
        <f>VLOOKUP(C220,Project_Replicon[[#All],[Replicon Line w/code]:[Project2]],2,FALSE)</f>
        <v>#N/A</v>
      </c>
      <c r="E220" s="82" t="str">
        <f t="shared" si="19"/>
        <v/>
      </c>
      <c r="F220" s="77">
        <f>HLOOKUP($D$10,ReferenceTables!$AU$3:$CU$10,7,FALSE)</f>
        <v>44709</v>
      </c>
      <c r="G220" s="65" t="str">
        <f t="shared" ref="G220:G242" si="24">_xlfn.IFNA(VLOOKUP(A220,$A$14:$L$21,11,FALSE),"")</f>
        <v/>
      </c>
      <c r="H220" s="16"/>
      <c r="I220" s="28"/>
      <c r="J220" s="16"/>
      <c r="K220" s="16"/>
      <c r="L220" s="16"/>
      <c r="M220" s="13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idden="1" outlineLevel="1" x14ac:dyDescent="0.35">
      <c r="A221" t="e">
        <f t="shared" si="21"/>
        <v>#N/A</v>
      </c>
      <c r="B221" s="30">
        <v>2</v>
      </c>
      <c r="C221" s="91" t="s">
        <v>28</v>
      </c>
      <c r="D221" s="80" t="e">
        <f>VLOOKUP(C221,Project_Replicon[[#All],[Replicon Line w/code]:[Project2]],2,FALSE)</f>
        <v>#N/A</v>
      </c>
      <c r="E221" s="80" t="str">
        <f t="shared" si="19"/>
        <v/>
      </c>
      <c r="F221" s="77">
        <f>HLOOKUP($D$10,ReferenceTables!$AU$3:$CU$10,7,FALSE)</f>
        <v>44709</v>
      </c>
      <c r="G221" s="78" t="str">
        <f t="shared" si="24"/>
        <v/>
      </c>
      <c r="H221" s="16"/>
      <c r="I221" s="28"/>
      <c r="J221" s="16"/>
      <c r="K221" s="16"/>
      <c r="L221" s="16"/>
      <c r="M221" s="13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idden="1" outlineLevel="1" x14ac:dyDescent="0.35">
      <c r="A222" t="e">
        <f t="shared" si="21"/>
        <v>#N/A</v>
      </c>
      <c r="B222" s="30">
        <v>3</v>
      </c>
      <c r="C222" s="92" t="s">
        <v>28</v>
      </c>
      <c r="D222" s="27" t="e">
        <f>VLOOKUP(C222,Project_Replicon[[#All],[Replicon Line w/code]:[Project2]],2,FALSE)</f>
        <v>#N/A</v>
      </c>
      <c r="E222" s="81" t="str">
        <f>_xlfn.IFNA(VLOOKUP(A222,$A$14:$C$21,3,FALSE),"")</f>
        <v/>
      </c>
      <c r="F222" s="79">
        <f>HLOOKUP($D$10,ReferenceTables!$AU$3:$CU$10,7,FALSE)</f>
        <v>44709</v>
      </c>
      <c r="G222" s="38" t="str">
        <f>_xlfn.IFNA(VLOOKUP(A222,$A$14:$L$21,11,FALSE),"")</f>
        <v/>
      </c>
      <c r="H222" s="16"/>
      <c r="I222" s="28"/>
      <c r="J222" s="16"/>
      <c r="K222" s="16"/>
      <c r="L222" s="16"/>
      <c r="M222" s="13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idden="1" outlineLevel="1" x14ac:dyDescent="0.35">
      <c r="A223" t="e">
        <f t="shared" si="21"/>
        <v>#N/A</v>
      </c>
      <c r="B223" s="30">
        <v>1</v>
      </c>
      <c r="C223" s="93" t="s">
        <v>29</v>
      </c>
      <c r="D223" s="74" t="e">
        <f>VLOOKUP(C223,Project_Replicon[[#All],[Replicon Line w/code]:[Project2]],2,FALSE)</f>
        <v>#N/A</v>
      </c>
      <c r="E223" s="74" t="str">
        <f t="shared" si="19"/>
        <v/>
      </c>
      <c r="F223" s="75">
        <f>HLOOKUP($D$10,ReferenceTables!$AU$3:$CU$10,7,FALSE)</f>
        <v>44709</v>
      </c>
      <c r="G223" s="76" t="str">
        <f t="shared" si="24"/>
        <v/>
      </c>
      <c r="H223" s="16"/>
      <c r="I223" s="28"/>
      <c r="J223" s="16"/>
      <c r="K223" s="16"/>
      <c r="L223" s="16"/>
      <c r="M223" s="13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idden="1" outlineLevel="1" x14ac:dyDescent="0.35">
      <c r="A224" t="e">
        <f t="shared" si="21"/>
        <v>#N/A</v>
      </c>
      <c r="B224" s="30">
        <v>2</v>
      </c>
      <c r="C224" s="91" t="s">
        <v>29</v>
      </c>
      <c r="D224" s="80" t="e">
        <f>VLOOKUP(C224,Project_Replicon[[#All],[Replicon Line w/code]:[Project2]],2,FALSE)</f>
        <v>#N/A</v>
      </c>
      <c r="E224" s="80" t="str">
        <f t="shared" si="19"/>
        <v/>
      </c>
      <c r="F224" s="77">
        <f>HLOOKUP($D$10,ReferenceTables!$AU$3:$CU$10,7,FALSE)</f>
        <v>44709</v>
      </c>
      <c r="G224" s="78" t="str">
        <f t="shared" si="24"/>
        <v/>
      </c>
      <c r="H224" s="16"/>
      <c r="I224" s="28"/>
      <c r="J224" s="16"/>
      <c r="K224" s="16"/>
      <c r="L224" s="16"/>
      <c r="M224" s="13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idden="1" outlineLevel="1" x14ac:dyDescent="0.35">
      <c r="A225" t="e">
        <f t="shared" si="21"/>
        <v>#N/A</v>
      </c>
      <c r="B225" s="30">
        <v>3</v>
      </c>
      <c r="C225" s="92" t="s">
        <v>29</v>
      </c>
      <c r="D225" s="27" t="e">
        <f>VLOOKUP(C225,Project_Replicon[[#All],[Replicon Line w/code]:[Project2]],2,FALSE)</f>
        <v>#N/A</v>
      </c>
      <c r="E225" s="81" t="str">
        <f>_xlfn.IFNA(VLOOKUP(A225,$A$14:$C$21,3,FALSE),"")</f>
        <v/>
      </c>
      <c r="F225" s="79">
        <f>HLOOKUP($D$10,ReferenceTables!$AU$3:$CU$10,7,FALSE)</f>
        <v>44709</v>
      </c>
      <c r="G225" s="38" t="str">
        <f>_xlfn.IFNA(VLOOKUP(A225,$A$14:$L$21,11,FALSE),"")</f>
        <v/>
      </c>
      <c r="H225" s="16"/>
      <c r="I225" s="28"/>
      <c r="J225" s="16"/>
      <c r="K225" s="16"/>
      <c r="L225" s="16"/>
      <c r="M225" s="13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idden="1" outlineLevel="1" x14ac:dyDescent="0.35">
      <c r="A226" t="e">
        <f t="shared" si="21"/>
        <v>#N/A</v>
      </c>
      <c r="B226" s="30">
        <v>1</v>
      </c>
      <c r="C226" s="93" t="s">
        <v>30</v>
      </c>
      <c r="D226" s="74" t="e">
        <f>VLOOKUP(C226,Project_Replicon[[#All],[Replicon Line w/code]:[Project2]],2,FALSE)</f>
        <v>#N/A</v>
      </c>
      <c r="E226" s="74" t="str">
        <f t="shared" si="19"/>
        <v/>
      </c>
      <c r="F226" s="75">
        <f>HLOOKUP($D$10,ReferenceTables!$AU$3:$CU$10,7,FALSE)</f>
        <v>44709</v>
      </c>
      <c r="G226" s="76" t="str">
        <f t="shared" si="24"/>
        <v/>
      </c>
      <c r="H226" s="16"/>
      <c r="I226" s="28"/>
      <c r="J226" s="16"/>
      <c r="K226" s="16"/>
      <c r="L226" s="16"/>
      <c r="M226" s="13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idden="1" outlineLevel="1" x14ac:dyDescent="0.35">
      <c r="A227" t="e">
        <f t="shared" si="21"/>
        <v>#N/A</v>
      </c>
      <c r="B227" s="30">
        <v>2</v>
      </c>
      <c r="C227" s="91" t="s">
        <v>30</v>
      </c>
      <c r="D227" s="80" t="e">
        <f>VLOOKUP(C227,Project_Replicon[[#All],[Replicon Line w/code]:[Project2]],2,FALSE)</f>
        <v>#N/A</v>
      </c>
      <c r="E227" s="80" t="str">
        <f t="shared" si="19"/>
        <v/>
      </c>
      <c r="F227" s="77">
        <f>HLOOKUP($D$10,ReferenceTables!$AU$3:$CU$10,7,FALSE)</f>
        <v>44709</v>
      </c>
      <c r="G227" s="78" t="str">
        <f t="shared" si="24"/>
        <v/>
      </c>
      <c r="H227" s="16"/>
      <c r="I227" s="28"/>
      <c r="J227" s="16"/>
      <c r="K227" s="16"/>
      <c r="L227" s="16"/>
      <c r="M227" s="13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idden="1" outlineLevel="1" x14ac:dyDescent="0.35">
      <c r="A228" t="e">
        <f t="shared" si="21"/>
        <v>#N/A</v>
      </c>
      <c r="B228" s="30">
        <v>3</v>
      </c>
      <c r="C228" s="92" t="s">
        <v>30</v>
      </c>
      <c r="D228" s="27" t="e">
        <f>VLOOKUP(C228,Project_Replicon[[#All],[Replicon Line w/code]:[Project2]],2,FALSE)</f>
        <v>#N/A</v>
      </c>
      <c r="E228" s="81" t="str">
        <f>_xlfn.IFNA(VLOOKUP(A228,$A$14:$C$21,3,FALSE),"")</f>
        <v/>
      </c>
      <c r="F228" s="79">
        <f>HLOOKUP($D$10,ReferenceTables!$AU$3:$CU$10,7,FALSE)</f>
        <v>44709</v>
      </c>
      <c r="G228" s="38" t="str">
        <f>_xlfn.IFNA(VLOOKUP(A228,$A$14:$L$21,11,FALSE),"")</f>
        <v/>
      </c>
      <c r="H228" s="16"/>
      <c r="I228" s="28"/>
      <c r="J228" s="16"/>
      <c r="K228" s="16"/>
      <c r="L228" s="16"/>
      <c r="M228" s="13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idden="1" outlineLevel="1" x14ac:dyDescent="0.35">
      <c r="A229" t="e">
        <f t="shared" si="21"/>
        <v>#N/A</v>
      </c>
      <c r="B229" s="30">
        <v>1</v>
      </c>
      <c r="C229" s="93" t="s">
        <v>31</v>
      </c>
      <c r="D229" s="74" t="e">
        <f>VLOOKUP(C229,Project_Replicon[[#All],[Replicon Line w/code]:[Project2]],2,FALSE)</f>
        <v>#N/A</v>
      </c>
      <c r="E229" s="74" t="str">
        <f t="shared" ref="E229:E242" si="25">_xlfn.IFNA(VLOOKUP(A229,$A$14:$C$21,3,FALSE),"")</f>
        <v/>
      </c>
      <c r="F229" s="75">
        <f>HLOOKUP($D$10,ReferenceTables!$AU$3:$CU$10,7,FALSE)</f>
        <v>44709</v>
      </c>
      <c r="G229" s="76" t="str">
        <f t="shared" si="24"/>
        <v/>
      </c>
      <c r="H229" s="16"/>
      <c r="I229" s="28"/>
      <c r="J229" s="16"/>
      <c r="K229" s="16"/>
      <c r="L229" s="16"/>
      <c r="M229" s="13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idden="1" outlineLevel="1" x14ac:dyDescent="0.35">
      <c r="A230" t="e">
        <f t="shared" si="21"/>
        <v>#N/A</v>
      </c>
      <c r="B230" s="30">
        <v>2</v>
      </c>
      <c r="C230" s="91" t="s">
        <v>31</v>
      </c>
      <c r="D230" s="80" t="e">
        <f>VLOOKUP(C230,Project_Replicon[[#All],[Replicon Line w/code]:[Project2]],2,FALSE)</f>
        <v>#N/A</v>
      </c>
      <c r="E230" s="80" t="str">
        <f t="shared" si="25"/>
        <v/>
      </c>
      <c r="F230" s="77">
        <f>HLOOKUP($D$10,ReferenceTables!$AU$3:$CU$10,7,FALSE)</f>
        <v>44709</v>
      </c>
      <c r="G230" s="78" t="str">
        <f t="shared" si="24"/>
        <v/>
      </c>
      <c r="H230" s="16"/>
      <c r="I230" s="28"/>
      <c r="J230" s="16"/>
      <c r="K230" s="16"/>
      <c r="L230" s="16"/>
      <c r="M230" s="13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idden="1" outlineLevel="1" x14ac:dyDescent="0.35">
      <c r="A231" t="e">
        <f t="shared" si="21"/>
        <v>#N/A</v>
      </c>
      <c r="B231" s="30">
        <v>3</v>
      </c>
      <c r="C231" s="92" t="s">
        <v>31</v>
      </c>
      <c r="D231" s="27" t="e">
        <f>VLOOKUP(C231,Project_Replicon[[#All],[Replicon Line w/code]:[Project2]],2,FALSE)</f>
        <v>#N/A</v>
      </c>
      <c r="E231" s="81" t="str">
        <f>_xlfn.IFNA(VLOOKUP(A231,$A$14:$C$21,3,FALSE),"")</f>
        <v/>
      </c>
      <c r="F231" s="79">
        <f>HLOOKUP($D$10,ReferenceTables!$AU$3:$CU$10,7,FALSE)</f>
        <v>44709</v>
      </c>
      <c r="G231" s="38" t="str">
        <f>_xlfn.IFNA(VLOOKUP(A231,$A$14:$L$21,11,FALSE),"")</f>
        <v/>
      </c>
      <c r="H231" s="16"/>
      <c r="I231" s="28"/>
      <c r="J231" s="16"/>
      <c r="K231" s="16"/>
      <c r="L231" s="16"/>
      <c r="M231" s="13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idden="1" outlineLevel="1" x14ac:dyDescent="0.35">
      <c r="A232" t="e">
        <f t="shared" si="21"/>
        <v>#N/A</v>
      </c>
      <c r="B232" s="30">
        <v>1</v>
      </c>
      <c r="C232" s="93" t="s">
        <v>32</v>
      </c>
      <c r="D232" s="74" t="e">
        <f>VLOOKUP(C232,Project_Replicon[[#All],[Replicon Line w/code]:[Project2]],2,FALSE)</f>
        <v>#N/A</v>
      </c>
      <c r="E232" s="74" t="str">
        <f t="shared" si="25"/>
        <v/>
      </c>
      <c r="F232" s="75">
        <f>HLOOKUP($D$10,ReferenceTables!$AU$3:$CU$10,7,FALSE)</f>
        <v>44709</v>
      </c>
      <c r="G232" s="76" t="str">
        <f t="shared" si="24"/>
        <v/>
      </c>
      <c r="H232" s="16"/>
      <c r="I232" s="28"/>
      <c r="J232" s="16"/>
      <c r="K232" s="16"/>
      <c r="L232" s="16"/>
      <c r="M232" s="13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idden="1" outlineLevel="1" x14ac:dyDescent="0.35">
      <c r="A233" t="e">
        <f t="shared" si="21"/>
        <v>#N/A</v>
      </c>
      <c r="B233" s="30">
        <v>2</v>
      </c>
      <c r="C233" s="91" t="s">
        <v>32</v>
      </c>
      <c r="D233" s="80" t="e">
        <f>VLOOKUP(C233,Project_Replicon[[#All],[Replicon Line w/code]:[Project2]],2,FALSE)</f>
        <v>#N/A</v>
      </c>
      <c r="E233" s="80" t="str">
        <f t="shared" si="25"/>
        <v/>
      </c>
      <c r="F233" s="77">
        <f>HLOOKUP($D$10,ReferenceTables!$AU$3:$CU$10,7,FALSE)</f>
        <v>44709</v>
      </c>
      <c r="G233" s="78" t="str">
        <f t="shared" si="24"/>
        <v/>
      </c>
      <c r="H233" s="16"/>
      <c r="I233" s="28"/>
      <c r="J233" s="16"/>
      <c r="K233" s="16"/>
      <c r="L233" s="16"/>
      <c r="M233" s="13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idden="1" outlineLevel="1" x14ac:dyDescent="0.35">
      <c r="A234" t="e">
        <f t="shared" si="21"/>
        <v>#N/A</v>
      </c>
      <c r="B234" s="30">
        <v>3</v>
      </c>
      <c r="C234" s="92" t="s">
        <v>32</v>
      </c>
      <c r="D234" s="27" t="e">
        <f>VLOOKUP(C234,Project_Replicon[[#All],[Replicon Line w/code]:[Project2]],2,FALSE)</f>
        <v>#N/A</v>
      </c>
      <c r="E234" s="81" t="str">
        <f>_xlfn.IFNA(VLOOKUP(A234,$A$14:$C$21,3,FALSE),"")</f>
        <v/>
      </c>
      <c r="F234" s="79">
        <f>HLOOKUP($D$10,ReferenceTables!$AU$3:$CU$10,7,FALSE)</f>
        <v>44709</v>
      </c>
      <c r="G234" s="38" t="str">
        <f>_xlfn.IFNA(VLOOKUP(A234,$A$14:$L$21,11,FALSE),"")</f>
        <v/>
      </c>
      <c r="H234" s="16"/>
      <c r="I234" s="28"/>
      <c r="J234" s="16"/>
      <c r="K234" s="16"/>
      <c r="L234" s="16"/>
      <c r="M234" s="13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idden="1" outlineLevel="1" x14ac:dyDescent="0.35">
      <c r="A235" t="str">
        <f t="shared" si="21"/>
        <v>1ABNAMRO-0026-07 P4 - Basel IVP4 - Basel IV</v>
      </c>
      <c r="B235" s="30">
        <v>1</v>
      </c>
      <c r="C235" s="93" t="s">
        <v>33</v>
      </c>
      <c r="D235" s="74" t="str">
        <f>VLOOKUP(C235,Project_Replicon[[#All],[Replicon Line w/code]:[Project2]],2,FALSE)</f>
        <v>P4 - Basel IV</v>
      </c>
      <c r="E235" s="74" t="str">
        <f t="shared" si="25"/>
        <v>Credit Risk</v>
      </c>
      <c r="F235" s="75">
        <f>HLOOKUP($D$10,ReferenceTables!$AU$3:$CU$10,7,FALSE)</f>
        <v>44709</v>
      </c>
      <c r="G235" s="76">
        <f t="shared" si="24"/>
        <v>0</v>
      </c>
      <c r="H235" s="16"/>
      <c r="I235" s="28"/>
      <c r="J235" s="16"/>
      <c r="K235" s="16"/>
      <c r="L235" s="16"/>
      <c r="M235" s="13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idden="1" outlineLevel="1" x14ac:dyDescent="0.35">
      <c r="A236" t="str">
        <f t="shared" si="21"/>
        <v>2ABNAMRO-0026-07 P4 - Basel IVP4 - Basel IV</v>
      </c>
      <c r="B236" s="30">
        <v>2</v>
      </c>
      <c r="C236" s="91" t="s">
        <v>33</v>
      </c>
      <c r="D236" s="80" t="str">
        <f>VLOOKUP(C236,Project_Replicon[[#All],[Replicon Line w/code]:[Project2]],2,FALSE)</f>
        <v>P4 - Basel IV</v>
      </c>
      <c r="E236" s="80" t="str">
        <f t="shared" si="25"/>
        <v/>
      </c>
      <c r="F236" s="77">
        <f>HLOOKUP($D$10,ReferenceTables!$AU$3:$CU$10,7,FALSE)</f>
        <v>44709</v>
      </c>
      <c r="G236" s="78" t="str">
        <f t="shared" si="24"/>
        <v/>
      </c>
      <c r="H236" s="16"/>
      <c r="I236" s="28"/>
      <c r="J236" s="16"/>
      <c r="K236" s="16"/>
      <c r="L236" s="16"/>
      <c r="M236" s="13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idden="1" outlineLevel="1" x14ac:dyDescent="0.35">
      <c r="A237" t="str">
        <f t="shared" si="21"/>
        <v>3ABNAMRO-0026-07 P4 - Basel IVP4 - Basel IV</v>
      </c>
      <c r="B237" s="30">
        <v>3</v>
      </c>
      <c r="C237" s="92" t="s">
        <v>33</v>
      </c>
      <c r="D237" s="27" t="str">
        <f>VLOOKUP(C237,Project_Replicon[[#All],[Replicon Line w/code]:[Project2]],2,FALSE)</f>
        <v>P4 - Basel IV</v>
      </c>
      <c r="E237" s="81" t="str">
        <f>_xlfn.IFNA(VLOOKUP(A237,$A$14:$C$21,3,FALSE),"")</f>
        <v/>
      </c>
      <c r="F237" s="79">
        <f>HLOOKUP($D$10,ReferenceTables!$AU$3:$CU$10,7,FALSE)</f>
        <v>44709</v>
      </c>
      <c r="G237" s="38" t="str">
        <f>_xlfn.IFNA(VLOOKUP(A237,$A$14:$L$21,11,FALSE),"")</f>
        <v/>
      </c>
      <c r="H237" s="16"/>
      <c r="I237" s="28"/>
      <c r="J237" s="16"/>
      <c r="K237" s="16"/>
      <c r="L237" s="16"/>
      <c r="M237" s="13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idden="1" outlineLevel="1" x14ac:dyDescent="0.35">
      <c r="A238" t="e">
        <f t="shared" si="21"/>
        <v>#N/A</v>
      </c>
      <c r="B238" s="30">
        <v>1</v>
      </c>
      <c r="C238" s="93" t="s">
        <v>34</v>
      </c>
      <c r="D238" s="74" t="e">
        <f>VLOOKUP(C238,Project_Replicon[[#All],[Replicon Line w/code]:[Project2]],2,FALSE)</f>
        <v>#N/A</v>
      </c>
      <c r="E238" s="74" t="str">
        <f t="shared" si="25"/>
        <v/>
      </c>
      <c r="F238" s="75">
        <f>HLOOKUP($D$10,ReferenceTables!$AU$3:$CU$10,7,FALSE)</f>
        <v>44709</v>
      </c>
      <c r="G238" s="76" t="str">
        <f t="shared" si="24"/>
        <v/>
      </c>
      <c r="H238" s="16"/>
      <c r="I238" s="28"/>
      <c r="J238" s="16"/>
      <c r="K238" s="16"/>
      <c r="L238" s="16"/>
      <c r="M238" s="13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idden="1" outlineLevel="1" x14ac:dyDescent="0.35">
      <c r="A239" t="e">
        <f t="shared" si="21"/>
        <v>#N/A</v>
      </c>
      <c r="B239" s="30">
        <v>2</v>
      </c>
      <c r="C239" s="91" t="s">
        <v>34</v>
      </c>
      <c r="D239" s="80" t="e">
        <f>VLOOKUP(C239,Project_Replicon[[#All],[Replicon Line w/code]:[Project2]],2,FALSE)</f>
        <v>#N/A</v>
      </c>
      <c r="E239" s="80" t="str">
        <f t="shared" si="25"/>
        <v/>
      </c>
      <c r="F239" s="77">
        <f>HLOOKUP($D$10,ReferenceTables!$AU$3:$CU$10,7,FALSE)</f>
        <v>44709</v>
      </c>
      <c r="G239" s="78" t="str">
        <f t="shared" si="24"/>
        <v/>
      </c>
      <c r="H239" s="16"/>
      <c r="I239" s="28"/>
      <c r="J239" s="16"/>
      <c r="K239" s="16"/>
      <c r="L239" s="16"/>
      <c r="M239" s="13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idden="1" outlineLevel="1" x14ac:dyDescent="0.35">
      <c r="A240" t="e">
        <f t="shared" si="21"/>
        <v>#N/A</v>
      </c>
      <c r="B240" s="30">
        <v>3</v>
      </c>
      <c r="C240" s="92" t="s">
        <v>34</v>
      </c>
      <c r="D240" s="27" t="e">
        <f>VLOOKUP(C240,Project_Replicon[[#All],[Replicon Line w/code]:[Project2]],2,FALSE)</f>
        <v>#N/A</v>
      </c>
      <c r="E240" s="81" t="str">
        <f>_xlfn.IFNA(VLOOKUP(A240,$A$14:$C$21,3,FALSE),"")</f>
        <v/>
      </c>
      <c r="F240" s="79">
        <f>HLOOKUP($D$10,ReferenceTables!$AU$3:$CU$10,7,FALSE)</f>
        <v>44709</v>
      </c>
      <c r="G240" s="38" t="str">
        <f>_xlfn.IFNA(VLOOKUP(A240,$A$14:$L$21,11,FALSE),"")</f>
        <v/>
      </c>
      <c r="H240" s="16"/>
      <c r="I240" s="28"/>
      <c r="J240" s="16"/>
      <c r="K240" s="16"/>
      <c r="L240" s="16"/>
      <c r="M240" s="13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idden="1" outlineLevel="1" x14ac:dyDescent="0.35">
      <c r="A241" t="e">
        <f t="shared" si="21"/>
        <v>#N/A</v>
      </c>
      <c r="B241" s="30">
        <v>1</v>
      </c>
      <c r="C241" s="93" t="s">
        <v>35</v>
      </c>
      <c r="D241" s="74" t="e">
        <f>VLOOKUP(C241,Project_Replicon[[#All],[Replicon Line w/code]:[Project2]],2,FALSE)</f>
        <v>#N/A</v>
      </c>
      <c r="E241" s="74" t="str">
        <f t="shared" si="25"/>
        <v/>
      </c>
      <c r="F241" s="75">
        <f>HLOOKUP($D$10,ReferenceTables!$AU$3:$CU$10,7,FALSE)</f>
        <v>44709</v>
      </c>
      <c r="G241" s="76" t="str">
        <f t="shared" si="24"/>
        <v/>
      </c>
      <c r="H241" s="16"/>
      <c r="I241" s="28"/>
      <c r="J241" s="16"/>
      <c r="K241" s="16"/>
      <c r="L241" s="16"/>
      <c r="M241" s="13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idden="1" outlineLevel="1" x14ac:dyDescent="0.35">
      <c r="A242" t="e">
        <f t="shared" si="21"/>
        <v>#N/A</v>
      </c>
      <c r="B242" s="30">
        <v>2</v>
      </c>
      <c r="C242" s="91" t="s">
        <v>35</v>
      </c>
      <c r="D242" s="80" t="e">
        <f>VLOOKUP(C242,Project_Replicon[[#All],[Replicon Line w/code]:[Project2]],2,FALSE)</f>
        <v>#N/A</v>
      </c>
      <c r="E242" s="80" t="str">
        <f t="shared" si="25"/>
        <v/>
      </c>
      <c r="F242" s="77">
        <f>HLOOKUP($D$10,ReferenceTables!$AU$3:$CU$10,7,FALSE)</f>
        <v>44709</v>
      </c>
      <c r="G242" s="78" t="str">
        <f t="shared" si="24"/>
        <v/>
      </c>
      <c r="H242" s="16"/>
      <c r="I242" s="16"/>
      <c r="J242" s="16"/>
      <c r="K242" s="16"/>
      <c r="L242" s="16"/>
      <c r="M242" s="13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idden="1" outlineLevel="1" x14ac:dyDescent="0.35">
      <c r="A243" t="e">
        <f t="shared" si="21"/>
        <v>#N/A</v>
      </c>
      <c r="B243" s="30">
        <v>3</v>
      </c>
      <c r="C243" s="92" t="s">
        <v>35</v>
      </c>
      <c r="D243" s="27" t="e">
        <f>VLOOKUP(C243,Project_Replicon[[#All],[Replicon Line w/code]:[Project2]],2,FALSE)</f>
        <v>#N/A</v>
      </c>
      <c r="E243" s="81" t="str">
        <f>_xlfn.IFNA(VLOOKUP(A243,$A$14:$C$21,3,FALSE),"")</f>
        <v/>
      </c>
      <c r="F243" s="79">
        <f>HLOOKUP($D$10,ReferenceTables!$AU$3:$CU$10,7,FALSE)</f>
        <v>44709</v>
      </c>
      <c r="G243" s="38" t="str">
        <f t="shared" ref="G243:G258" si="26">_xlfn.IFNA(VLOOKUP(A243,$A$14:$L$21,11,FALSE),"")</f>
        <v/>
      </c>
      <c r="H243" s="16"/>
      <c r="I243" s="16"/>
      <c r="J243" s="16"/>
      <c r="K243" s="16"/>
      <c r="L243" s="16"/>
      <c r="M243" s="13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idden="1" outlineLevel="1" x14ac:dyDescent="0.35">
      <c r="A244" t="e">
        <f t="shared" si="21"/>
        <v>#N/A</v>
      </c>
      <c r="B244" s="30">
        <v>1</v>
      </c>
      <c r="C244" s="93" t="s">
        <v>36</v>
      </c>
      <c r="D244" s="74" t="e">
        <f>VLOOKUP(C244,Project_Replicon[[#All],[Replicon Line w/code]:[Project2]],2,FALSE)</f>
        <v>#N/A</v>
      </c>
      <c r="E244" s="74" t="str">
        <f t="shared" ref="E244:E249" si="27">_xlfn.IFNA(VLOOKUP(A247,$A$14:$C$21,3,FALSE),"")</f>
        <v/>
      </c>
      <c r="F244" s="75">
        <f>HLOOKUP($D$10,ReferenceTables!$AU$3:$CU$10,7,FALSE)</f>
        <v>44709</v>
      </c>
      <c r="G244" s="76" t="str">
        <f t="shared" si="26"/>
        <v/>
      </c>
      <c r="H244" s="16"/>
      <c r="I244" s="16"/>
      <c r="J244" s="16"/>
      <c r="K244" s="16"/>
      <c r="L244" s="16"/>
      <c r="M244" s="13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idden="1" outlineLevel="1" x14ac:dyDescent="0.35">
      <c r="A245" t="e">
        <f t="shared" si="21"/>
        <v>#N/A</v>
      </c>
      <c r="B245" s="30">
        <v>2</v>
      </c>
      <c r="C245" s="91" t="s">
        <v>36</v>
      </c>
      <c r="D245" s="80" t="e">
        <f>VLOOKUP(C245,Project_Replicon[[#All],[Replicon Line w/code]:[Project2]],2,FALSE)</f>
        <v>#N/A</v>
      </c>
      <c r="E245" s="80" t="str">
        <f t="shared" si="27"/>
        <v/>
      </c>
      <c r="F245" s="77">
        <f>HLOOKUP($D$10,ReferenceTables!$AU$3:$CU$10,7,FALSE)</f>
        <v>44709</v>
      </c>
      <c r="G245" s="78" t="str">
        <f t="shared" si="26"/>
        <v/>
      </c>
      <c r="H245" s="16"/>
      <c r="I245" s="16"/>
      <c r="J245" s="16"/>
      <c r="K245" s="16"/>
      <c r="L245" s="16"/>
      <c r="M245" s="13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idden="1" outlineLevel="1" x14ac:dyDescent="0.35">
      <c r="A246" t="e">
        <f t="shared" si="21"/>
        <v>#N/A</v>
      </c>
      <c r="B246" s="30">
        <v>3</v>
      </c>
      <c r="C246" s="92" t="s">
        <v>36</v>
      </c>
      <c r="D246" s="27" t="e">
        <f>VLOOKUP(C246,Project_Replicon[[#All],[Replicon Line w/code]:[Project2]],2,FALSE)</f>
        <v>#N/A</v>
      </c>
      <c r="E246" s="81" t="str">
        <f t="shared" si="27"/>
        <v/>
      </c>
      <c r="F246" s="79">
        <f>HLOOKUP($D$10,ReferenceTables!$AU$3:$CU$10,7,FALSE)</f>
        <v>44709</v>
      </c>
      <c r="G246" s="38" t="str">
        <f t="shared" si="26"/>
        <v/>
      </c>
      <c r="H246" s="16"/>
      <c r="I246" s="16"/>
      <c r="J246" s="16"/>
      <c r="K246" s="16"/>
      <c r="L246" s="16"/>
      <c r="M246" s="13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idden="1" outlineLevel="1" x14ac:dyDescent="0.35">
      <c r="A247" t="e">
        <f t="shared" si="21"/>
        <v>#N/A</v>
      </c>
      <c r="B247" s="30">
        <v>1</v>
      </c>
      <c r="C247" s="93" t="s">
        <v>37</v>
      </c>
      <c r="D247" s="74" t="e">
        <f>VLOOKUP(C247,Project_Replicon[[#All],[Replicon Line w/code]:[Project2]],2,FALSE)</f>
        <v>#N/A</v>
      </c>
      <c r="E247" s="74" t="str">
        <f t="shared" si="27"/>
        <v/>
      </c>
      <c r="F247" s="75">
        <f>HLOOKUP($D$10,ReferenceTables!$AU$3:$CU$10,7,FALSE)</f>
        <v>44709</v>
      </c>
      <c r="G247" s="76" t="str">
        <f t="shared" si="26"/>
        <v/>
      </c>
      <c r="H247" s="16"/>
      <c r="I247" s="16"/>
      <c r="J247" s="16"/>
      <c r="K247" s="16"/>
      <c r="L247" s="16"/>
      <c r="M247" s="13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idden="1" outlineLevel="1" x14ac:dyDescent="0.35">
      <c r="A248" t="e">
        <f t="shared" ref="A248:A297" si="28">_xlfn.CONCAT(B248,C248,D248)</f>
        <v>#N/A</v>
      </c>
      <c r="B248" s="30">
        <v>2</v>
      </c>
      <c r="C248" s="91" t="s">
        <v>37</v>
      </c>
      <c r="D248" s="80" t="e">
        <f>VLOOKUP(C248,Project_Replicon[[#All],[Replicon Line w/code]:[Project2]],2,FALSE)</f>
        <v>#N/A</v>
      </c>
      <c r="E248" s="80" t="str">
        <f t="shared" si="27"/>
        <v/>
      </c>
      <c r="F248" s="77">
        <f>HLOOKUP($D$10,ReferenceTables!$AU$3:$CU$10,7,FALSE)</f>
        <v>44709</v>
      </c>
      <c r="G248" s="78" t="str">
        <f t="shared" si="26"/>
        <v/>
      </c>
      <c r="H248" s="16"/>
      <c r="I248" s="16"/>
      <c r="J248" s="16"/>
      <c r="K248" s="16"/>
      <c r="L248" s="16"/>
      <c r="M248" s="13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idden="1" outlineLevel="1" x14ac:dyDescent="0.35">
      <c r="A249" t="e">
        <f t="shared" si="28"/>
        <v>#N/A</v>
      </c>
      <c r="B249" s="30">
        <v>3</v>
      </c>
      <c r="C249" s="92" t="s">
        <v>37</v>
      </c>
      <c r="D249" s="27" t="e">
        <f>VLOOKUP(C249,Project_Replicon[[#All],[Replicon Line w/code]:[Project2]],2,FALSE)</f>
        <v>#N/A</v>
      </c>
      <c r="E249" s="81" t="str">
        <f t="shared" si="27"/>
        <v/>
      </c>
      <c r="F249" s="79">
        <f>HLOOKUP($D$10,ReferenceTables!$AU$3:$CU$10,7,FALSE)</f>
        <v>44709</v>
      </c>
      <c r="G249" s="38" t="str">
        <f t="shared" si="26"/>
        <v/>
      </c>
      <c r="H249" s="16"/>
      <c r="I249" s="16"/>
      <c r="J249" s="16"/>
      <c r="K249" s="16"/>
      <c r="L249" s="16"/>
      <c r="M249" s="13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idden="1" outlineLevel="1" x14ac:dyDescent="0.35">
      <c r="A250" t="str">
        <f t="shared" si="28"/>
        <v>1ABNAMRO-0026-13 P2- Risk ServicesP2- Risk Services</v>
      </c>
      <c r="B250" s="30">
        <v>1</v>
      </c>
      <c r="C250" s="93" t="s">
        <v>38</v>
      </c>
      <c r="D250" s="74" t="str">
        <f>VLOOKUP(C250,Project_Replicon[[#All],[Replicon Line w/code]:[Project2]],2,FALSE)</f>
        <v>P2- Risk Services</v>
      </c>
      <c r="E250" s="74" t="str">
        <f t="shared" ref="E250:E255" si="29">_xlfn.IFNA(VLOOKUP(A253,$A$14:$C$21,3,FALSE),"")</f>
        <v/>
      </c>
      <c r="F250" s="75">
        <f>HLOOKUP($D$10,ReferenceTables!$AU$3:$CU$10,7,FALSE)</f>
        <v>44709</v>
      </c>
      <c r="G250" s="76" t="str">
        <f t="shared" si="26"/>
        <v/>
      </c>
      <c r="H250" s="16"/>
      <c r="I250" s="16"/>
      <c r="J250" s="16"/>
      <c r="K250" s="16"/>
      <c r="L250" s="16"/>
      <c r="M250" s="13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idden="1" outlineLevel="1" x14ac:dyDescent="0.35">
      <c r="A251" t="str">
        <f t="shared" si="28"/>
        <v>2ABNAMRO-0026-13 P2- Risk ServicesP2- Risk Services</v>
      </c>
      <c r="B251" s="30">
        <v>2</v>
      </c>
      <c r="C251" s="91" t="s">
        <v>38</v>
      </c>
      <c r="D251" s="80" t="str">
        <f>VLOOKUP(C251,Project_Replicon[[#All],[Replicon Line w/code]:[Project2]],2,FALSE)</f>
        <v>P2- Risk Services</v>
      </c>
      <c r="E251" s="80" t="str">
        <f t="shared" si="29"/>
        <v/>
      </c>
      <c r="F251" s="77">
        <f>HLOOKUP($D$10,ReferenceTables!$AU$3:$CU$10,7,FALSE)</f>
        <v>44709</v>
      </c>
      <c r="G251" s="78" t="str">
        <f t="shared" si="26"/>
        <v/>
      </c>
      <c r="H251" s="16"/>
      <c r="I251" s="16"/>
      <c r="J251" s="16"/>
      <c r="K251" s="16"/>
      <c r="L251" s="16"/>
      <c r="M251" s="13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idden="1" outlineLevel="1" x14ac:dyDescent="0.35">
      <c r="A252" t="str">
        <f t="shared" si="28"/>
        <v>3ABNAMRO-0026-13 P2- Risk ServicesP2- Risk Services</v>
      </c>
      <c r="B252" s="30">
        <v>3</v>
      </c>
      <c r="C252" s="92" t="s">
        <v>38</v>
      </c>
      <c r="D252" s="27" t="str">
        <f>VLOOKUP(C252,Project_Replicon[[#All],[Replicon Line w/code]:[Project2]],2,FALSE)</f>
        <v>P2- Risk Services</v>
      </c>
      <c r="E252" s="81" t="str">
        <f t="shared" si="29"/>
        <v/>
      </c>
      <c r="F252" s="79">
        <f>HLOOKUP($D$10,ReferenceTables!$AU$3:$CU$10,7,FALSE)</f>
        <v>44709</v>
      </c>
      <c r="G252" s="38" t="str">
        <f t="shared" si="26"/>
        <v/>
      </c>
      <c r="H252" s="16"/>
      <c r="I252" s="16"/>
      <c r="J252" s="16"/>
      <c r="K252" s="16"/>
      <c r="L252" s="16"/>
      <c r="M252" s="13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idden="1" outlineLevel="1" x14ac:dyDescent="0.35">
      <c r="A253" t="e">
        <f t="shared" si="28"/>
        <v>#N/A</v>
      </c>
      <c r="B253" s="30">
        <v>1</v>
      </c>
      <c r="C253" s="93" t="s">
        <v>39</v>
      </c>
      <c r="D253" s="74" t="e">
        <f>VLOOKUP(C253,Project_Replicon[[#All],[Replicon Line w/code]:[Project2]],2,FALSE)</f>
        <v>#N/A</v>
      </c>
      <c r="E253" s="74" t="str">
        <f t="shared" si="29"/>
        <v/>
      </c>
      <c r="F253" s="75">
        <f>HLOOKUP($D$10,ReferenceTables!$AU$3:$CU$10,7,FALSE)</f>
        <v>44709</v>
      </c>
      <c r="G253" s="76" t="str">
        <f t="shared" si="26"/>
        <v/>
      </c>
      <c r="H253" s="16"/>
      <c r="I253" s="16"/>
      <c r="J253" s="16"/>
      <c r="K253" s="16"/>
      <c r="L253" s="16"/>
      <c r="M253" s="13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idden="1" outlineLevel="1" x14ac:dyDescent="0.35">
      <c r="A254" t="e">
        <f t="shared" si="28"/>
        <v>#N/A</v>
      </c>
      <c r="B254" s="30">
        <v>2</v>
      </c>
      <c r="C254" s="91" t="s">
        <v>39</v>
      </c>
      <c r="D254" s="80" t="e">
        <f>VLOOKUP(C254,Project_Replicon[[#All],[Replicon Line w/code]:[Project2]],2,FALSE)</f>
        <v>#N/A</v>
      </c>
      <c r="E254" s="80" t="str">
        <f t="shared" si="29"/>
        <v/>
      </c>
      <c r="F254" s="77">
        <f>HLOOKUP($D$10,ReferenceTables!$AU$3:$CU$10,7,FALSE)</f>
        <v>44709</v>
      </c>
      <c r="G254" s="78" t="str">
        <f t="shared" si="26"/>
        <v/>
      </c>
      <c r="H254" s="16"/>
      <c r="I254" s="16"/>
      <c r="J254" s="16"/>
      <c r="K254" s="16"/>
      <c r="L254" s="16"/>
      <c r="M254" s="13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idden="1" outlineLevel="1" x14ac:dyDescent="0.35">
      <c r="A255" t="e">
        <f t="shared" si="28"/>
        <v>#N/A</v>
      </c>
      <c r="B255" s="30">
        <v>3</v>
      </c>
      <c r="C255" s="92" t="s">
        <v>39</v>
      </c>
      <c r="D255" s="27" t="e">
        <f>VLOOKUP(C255,Project_Replicon[[#All],[Replicon Line w/code]:[Project2]],2,FALSE)</f>
        <v>#N/A</v>
      </c>
      <c r="E255" s="81" t="str">
        <f t="shared" si="29"/>
        <v/>
      </c>
      <c r="F255" s="79">
        <f>HLOOKUP($D$10,ReferenceTables!$AU$3:$CU$10,7,FALSE)</f>
        <v>44709</v>
      </c>
      <c r="G255" s="38" t="str">
        <f t="shared" si="26"/>
        <v/>
      </c>
      <c r="H255" s="16"/>
      <c r="I255" s="16"/>
      <c r="J255" s="16"/>
      <c r="K255" s="16"/>
      <c r="L255" s="16"/>
      <c r="M255" s="13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idden="1" outlineLevel="1" x14ac:dyDescent="0.35">
      <c r="A256" t="e">
        <f t="shared" si="28"/>
        <v>#N/A</v>
      </c>
      <c r="B256" s="30">
        <v>1</v>
      </c>
      <c r="C256" s="93" t="s">
        <v>40</v>
      </c>
      <c r="D256" s="74" t="e">
        <f>VLOOKUP(C256,Project_Replicon[[#All],[Replicon Line w/code]:[Project2]],2,FALSE)</f>
        <v>#N/A</v>
      </c>
      <c r="E256" s="74" t="str">
        <f t="shared" ref="E256:E261" si="30">_xlfn.IFNA(VLOOKUP(A259,$A$14:$C$21,3,FALSE),"")</f>
        <v/>
      </c>
      <c r="F256" s="75">
        <f>HLOOKUP($D$10,ReferenceTables!$AU$3:$CU$10,7,FALSE)</f>
        <v>44709</v>
      </c>
      <c r="G256" s="76" t="str">
        <f t="shared" si="26"/>
        <v/>
      </c>
      <c r="H256" s="16"/>
      <c r="I256" s="16"/>
      <c r="J256" s="16"/>
      <c r="K256" s="16"/>
      <c r="L256" s="16"/>
      <c r="M256" s="13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idden="1" outlineLevel="1" x14ac:dyDescent="0.35">
      <c r="A257" t="e">
        <f t="shared" si="28"/>
        <v>#N/A</v>
      </c>
      <c r="B257" s="30">
        <v>2</v>
      </c>
      <c r="C257" s="91" t="s">
        <v>40</v>
      </c>
      <c r="D257" s="80" t="e">
        <f>VLOOKUP(C257,Project_Replicon[[#All],[Replicon Line w/code]:[Project2]],2,FALSE)</f>
        <v>#N/A</v>
      </c>
      <c r="E257" s="80" t="str">
        <f t="shared" si="30"/>
        <v/>
      </c>
      <c r="F257" s="77">
        <f>HLOOKUP($D$10,ReferenceTables!$AU$3:$CU$10,7,FALSE)</f>
        <v>44709</v>
      </c>
      <c r="G257" s="78" t="str">
        <f t="shared" si="26"/>
        <v/>
      </c>
      <c r="H257" s="16"/>
      <c r="I257" s="16"/>
      <c r="J257" s="16"/>
      <c r="K257" s="16"/>
      <c r="L257" s="16"/>
      <c r="M257" s="13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" hidden="1" outlineLevel="1" thickBot="1" x14ac:dyDescent="0.4">
      <c r="A258" t="e">
        <f t="shared" si="28"/>
        <v>#N/A</v>
      </c>
      <c r="B258" s="30">
        <v>3</v>
      </c>
      <c r="C258" s="101" t="s">
        <v>40</v>
      </c>
      <c r="D258" s="102" t="e">
        <f>VLOOKUP(C258,Project_Replicon[[#All],[Replicon Line w/code]:[Project2]],2,FALSE)</f>
        <v>#N/A</v>
      </c>
      <c r="E258" s="103" t="str">
        <f t="shared" si="30"/>
        <v/>
      </c>
      <c r="F258" s="104">
        <f>HLOOKUP($D$10,ReferenceTables!$AU$3:$CU$10,7,FALSE)</f>
        <v>44709</v>
      </c>
      <c r="G258" s="105" t="str">
        <f t="shared" si="26"/>
        <v/>
      </c>
      <c r="H258" s="16"/>
      <c r="I258" s="16"/>
      <c r="J258" s="16"/>
      <c r="K258" s="16"/>
      <c r="L258" s="16"/>
      <c r="M258" s="13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" hidden="1" outlineLevel="1" thickTop="1" x14ac:dyDescent="0.35">
      <c r="A259" t="e">
        <f t="shared" si="28"/>
        <v>#N/A</v>
      </c>
      <c r="B259" s="30">
        <v>1</v>
      </c>
      <c r="C259" s="90" t="s">
        <v>28</v>
      </c>
      <c r="D259" s="82" t="e">
        <f>VLOOKUP(C259,Project_Replicon[[#All],[Replicon Line w/code]:[Project2]],2,FALSE)</f>
        <v>#N/A</v>
      </c>
      <c r="E259" s="82" t="str">
        <f t="shared" si="30"/>
        <v/>
      </c>
      <c r="F259" s="77">
        <f>HLOOKUP($D$10,ReferenceTables!$AU$3:$CU$10,8,FALSE)</f>
        <v>44710</v>
      </c>
      <c r="G259" s="65" t="str">
        <f t="shared" ref="G259:G264" si="31">_xlfn.IFNA(VLOOKUP(A259,$A$14:$L$21,12,FALSE),"")</f>
        <v/>
      </c>
      <c r="H259" s="16"/>
      <c r="I259" s="28"/>
      <c r="J259" s="16"/>
      <c r="K259" s="16"/>
      <c r="L259" s="16"/>
      <c r="M259" s="13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idden="1" outlineLevel="1" x14ac:dyDescent="0.35">
      <c r="A260" t="e">
        <f t="shared" si="28"/>
        <v>#N/A</v>
      </c>
      <c r="B260" s="30">
        <v>2</v>
      </c>
      <c r="C260" s="91" t="s">
        <v>28</v>
      </c>
      <c r="D260" s="80" t="e">
        <f>VLOOKUP(C260,Project_Replicon[[#All],[Replicon Line w/code]:[Project2]],2,FALSE)</f>
        <v>#N/A</v>
      </c>
      <c r="E260" s="80" t="str">
        <f t="shared" si="30"/>
        <v/>
      </c>
      <c r="F260" s="77">
        <f>HLOOKUP($D$10,ReferenceTables!$AU$3:$CU$10,8,FALSE)</f>
        <v>44710</v>
      </c>
      <c r="G260" s="78" t="str">
        <f t="shared" si="31"/>
        <v/>
      </c>
      <c r="H260" s="16"/>
      <c r="I260" s="28"/>
      <c r="J260" s="16"/>
      <c r="K260" s="16"/>
      <c r="L260" s="16"/>
      <c r="M260" s="13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idden="1" outlineLevel="1" x14ac:dyDescent="0.35">
      <c r="A261" t="e">
        <f t="shared" si="28"/>
        <v>#N/A</v>
      </c>
      <c r="B261" s="30">
        <v>3</v>
      </c>
      <c r="C261" s="92" t="s">
        <v>28</v>
      </c>
      <c r="D261" s="27" t="e">
        <f>VLOOKUP(C261,Project_Replicon[[#All],[Replicon Line w/code]:[Project2]],2,FALSE)</f>
        <v>#N/A</v>
      </c>
      <c r="E261" s="81" t="str">
        <f t="shared" si="30"/>
        <v/>
      </c>
      <c r="F261" s="79">
        <f>HLOOKUP($D$10,ReferenceTables!$AU$3:$CU$10,8,FALSE)</f>
        <v>44710</v>
      </c>
      <c r="G261" s="38" t="str">
        <f t="shared" si="31"/>
        <v/>
      </c>
      <c r="H261" s="16"/>
      <c r="I261" s="28"/>
      <c r="J261" s="16"/>
      <c r="K261" s="16"/>
      <c r="L261" s="16"/>
      <c r="M261" s="13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idden="1" outlineLevel="1" x14ac:dyDescent="0.35">
      <c r="A262" t="e">
        <f t="shared" si="28"/>
        <v>#N/A</v>
      </c>
      <c r="B262" s="30">
        <v>1</v>
      </c>
      <c r="C262" s="93" t="s">
        <v>29</v>
      </c>
      <c r="D262" s="74" t="e">
        <f>VLOOKUP(C262,Project_Replicon[[#All],[Replicon Line w/code]:[Project2]],2,FALSE)</f>
        <v>#N/A</v>
      </c>
      <c r="E262" s="74" t="str">
        <f t="shared" ref="E262:E279" si="32">_xlfn.IFNA(VLOOKUP(A265,$A$14:$C$21,3,FALSE),"")</f>
        <v/>
      </c>
      <c r="F262" s="75">
        <f>HLOOKUP($D$10,ReferenceTables!$AU$3:$CU$10,8,FALSE)</f>
        <v>44710</v>
      </c>
      <c r="G262" s="76" t="str">
        <f t="shared" si="31"/>
        <v/>
      </c>
      <c r="H262" s="16"/>
      <c r="I262" s="28"/>
      <c r="J262" s="16"/>
      <c r="K262" s="16"/>
      <c r="L262" s="16"/>
      <c r="M262" s="13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idden="1" outlineLevel="1" x14ac:dyDescent="0.35">
      <c r="A263" t="e">
        <f t="shared" si="28"/>
        <v>#N/A</v>
      </c>
      <c r="B263" s="30">
        <v>2</v>
      </c>
      <c r="C263" s="91" t="s">
        <v>29</v>
      </c>
      <c r="D263" s="80" t="e">
        <f>VLOOKUP(C263,Project_Replicon[[#All],[Replicon Line w/code]:[Project2]],2,FALSE)</f>
        <v>#N/A</v>
      </c>
      <c r="E263" s="80" t="str">
        <f t="shared" si="32"/>
        <v/>
      </c>
      <c r="F263" s="77">
        <f>HLOOKUP($D$10,ReferenceTables!$AU$3:$CU$10,8,FALSE)</f>
        <v>44710</v>
      </c>
      <c r="G263" s="78" t="str">
        <f t="shared" si="31"/>
        <v/>
      </c>
      <c r="H263" s="16"/>
      <c r="I263" s="28"/>
      <c r="J263" s="16"/>
      <c r="K263" s="16"/>
      <c r="L263" s="16"/>
      <c r="M263" s="13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idden="1" outlineLevel="1" x14ac:dyDescent="0.35">
      <c r="A264" t="e">
        <f t="shared" si="28"/>
        <v>#N/A</v>
      </c>
      <c r="B264" s="30">
        <v>3</v>
      </c>
      <c r="C264" s="92" t="s">
        <v>29</v>
      </c>
      <c r="D264" s="27" t="e">
        <f>VLOOKUP(C264,Project_Replicon[[#All],[Replicon Line w/code]:[Project2]],2,FALSE)</f>
        <v>#N/A</v>
      </c>
      <c r="E264" s="81" t="str">
        <f t="shared" si="32"/>
        <v/>
      </c>
      <c r="F264" s="79">
        <f>HLOOKUP($D$10,ReferenceTables!$AU$3:$CU$10,8,FALSE)</f>
        <v>44710</v>
      </c>
      <c r="G264" s="38" t="str">
        <f t="shared" si="31"/>
        <v/>
      </c>
      <c r="H264" s="16"/>
      <c r="I264" s="28"/>
      <c r="J264" s="16"/>
      <c r="K264" s="16"/>
      <c r="L264" s="16"/>
      <c r="M264" s="13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idden="1" outlineLevel="1" x14ac:dyDescent="0.35">
      <c r="A265" t="e">
        <f t="shared" si="28"/>
        <v>#N/A</v>
      </c>
      <c r="B265" s="30">
        <v>1</v>
      </c>
      <c r="C265" s="93" t="s">
        <v>30</v>
      </c>
      <c r="D265" s="74" t="e">
        <f>VLOOKUP(C265,Project_Replicon[[#All],[Replicon Line w/code]:[Project2]],2,FALSE)</f>
        <v>#N/A</v>
      </c>
      <c r="E265" s="74" t="str">
        <f t="shared" si="32"/>
        <v/>
      </c>
      <c r="F265" s="75">
        <f>HLOOKUP($D$10,ReferenceTables!$AU$3:$CU$10,8,FALSE)</f>
        <v>44710</v>
      </c>
      <c r="G265" s="76" t="str">
        <f t="shared" ref="G265:G297" si="33">_xlfn.IFNA(VLOOKUP(A265,$A$14:$L$21,12,FALSE),"")</f>
        <v/>
      </c>
      <c r="H265" s="16"/>
      <c r="I265" s="28"/>
      <c r="J265" s="16"/>
      <c r="K265" s="16"/>
      <c r="L265" s="16"/>
      <c r="M265" s="13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idden="1" outlineLevel="1" x14ac:dyDescent="0.35">
      <c r="A266" t="e">
        <f t="shared" si="28"/>
        <v>#N/A</v>
      </c>
      <c r="B266" s="30">
        <v>2</v>
      </c>
      <c r="C266" s="91" t="s">
        <v>30</v>
      </c>
      <c r="D266" s="80" t="e">
        <f>VLOOKUP(C266,Project_Replicon[[#All],[Replicon Line w/code]:[Project2]],2,FALSE)</f>
        <v>#N/A</v>
      </c>
      <c r="E266" s="80" t="str">
        <f t="shared" si="32"/>
        <v/>
      </c>
      <c r="F266" s="77">
        <f>HLOOKUP($D$10,ReferenceTables!$AU$3:$CU$10,8,FALSE)</f>
        <v>44710</v>
      </c>
      <c r="G266" s="78" t="str">
        <f t="shared" si="33"/>
        <v/>
      </c>
      <c r="H266" s="16"/>
      <c r="I266" s="28"/>
      <c r="J266" s="16"/>
      <c r="K266" s="16"/>
      <c r="L266" s="16"/>
      <c r="M266" s="13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idden="1" outlineLevel="1" x14ac:dyDescent="0.35">
      <c r="A267" t="e">
        <f t="shared" si="28"/>
        <v>#N/A</v>
      </c>
      <c r="B267" s="30">
        <v>3</v>
      </c>
      <c r="C267" s="92" t="s">
        <v>30</v>
      </c>
      <c r="D267" s="27" t="e">
        <f>VLOOKUP(C267,Project_Replicon[[#All],[Replicon Line w/code]:[Project2]],2,FALSE)</f>
        <v>#N/A</v>
      </c>
      <c r="E267" s="81" t="str">
        <f t="shared" si="32"/>
        <v/>
      </c>
      <c r="F267" s="79">
        <f>HLOOKUP($D$10,ReferenceTables!$AU$3:$CU$10,8,FALSE)</f>
        <v>44710</v>
      </c>
      <c r="G267" s="38" t="str">
        <f t="shared" si="33"/>
        <v/>
      </c>
      <c r="H267" s="16"/>
      <c r="I267" s="28"/>
      <c r="J267" s="16"/>
      <c r="K267" s="16"/>
      <c r="L267" s="16"/>
      <c r="M267" s="13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idden="1" outlineLevel="1" x14ac:dyDescent="0.35">
      <c r="A268" t="e">
        <f t="shared" si="28"/>
        <v>#N/A</v>
      </c>
      <c r="B268" s="30">
        <v>1</v>
      </c>
      <c r="C268" s="93" t="s">
        <v>31</v>
      </c>
      <c r="D268" s="74" t="e">
        <f>VLOOKUP(C268,Project_Replicon[[#All],[Replicon Line w/code]:[Project2]],2,FALSE)</f>
        <v>#N/A</v>
      </c>
      <c r="E268" s="74" t="str">
        <f t="shared" si="32"/>
        <v/>
      </c>
      <c r="F268" s="75">
        <f>HLOOKUP($D$10,ReferenceTables!$AU$3:$CU$10,8,FALSE)</f>
        <v>44710</v>
      </c>
      <c r="G268" s="76" t="str">
        <f t="shared" si="33"/>
        <v/>
      </c>
      <c r="H268" s="16"/>
      <c r="I268" s="28"/>
      <c r="J268" s="16"/>
      <c r="K268" s="16"/>
      <c r="L268" s="16"/>
      <c r="M268" s="13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idden="1" outlineLevel="1" x14ac:dyDescent="0.35">
      <c r="A269" t="e">
        <f t="shared" si="28"/>
        <v>#N/A</v>
      </c>
      <c r="B269" s="30">
        <v>2</v>
      </c>
      <c r="C269" s="91" t="s">
        <v>31</v>
      </c>
      <c r="D269" s="80" t="e">
        <f>VLOOKUP(C269,Project_Replicon[[#All],[Replicon Line w/code]:[Project2]],2,FALSE)</f>
        <v>#N/A</v>
      </c>
      <c r="E269" s="80" t="str">
        <f t="shared" si="32"/>
        <v/>
      </c>
      <c r="F269" s="77">
        <f>HLOOKUP($D$10,ReferenceTables!$AU$3:$CU$10,8,FALSE)</f>
        <v>44710</v>
      </c>
      <c r="G269" s="78" t="str">
        <f t="shared" si="33"/>
        <v/>
      </c>
      <c r="H269" s="16"/>
      <c r="I269" s="28"/>
      <c r="J269" s="16"/>
      <c r="K269" s="16"/>
      <c r="L269" s="16"/>
      <c r="M269" s="13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idden="1" outlineLevel="1" x14ac:dyDescent="0.35">
      <c r="A270" t="e">
        <f t="shared" si="28"/>
        <v>#N/A</v>
      </c>
      <c r="B270" s="30">
        <v>3</v>
      </c>
      <c r="C270" s="92" t="s">
        <v>31</v>
      </c>
      <c r="D270" s="27" t="e">
        <f>VLOOKUP(C270,Project_Replicon[[#All],[Replicon Line w/code]:[Project2]],2,FALSE)</f>
        <v>#N/A</v>
      </c>
      <c r="E270" s="81" t="str">
        <f t="shared" si="32"/>
        <v/>
      </c>
      <c r="F270" s="79">
        <f>HLOOKUP($D$10,ReferenceTables!$AU$3:$CU$10,8,FALSE)</f>
        <v>44710</v>
      </c>
      <c r="G270" s="38" t="str">
        <f t="shared" si="33"/>
        <v/>
      </c>
      <c r="H270" s="16"/>
      <c r="I270" s="28"/>
      <c r="J270" s="16"/>
      <c r="K270" s="16"/>
      <c r="L270" s="16"/>
      <c r="M270" s="13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idden="1" outlineLevel="1" x14ac:dyDescent="0.35">
      <c r="A271" t="e">
        <f t="shared" si="28"/>
        <v>#N/A</v>
      </c>
      <c r="B271" s="30">
        <v>1</v>
      </c>
      <c r="C271" s="93" t="s">
        <v>32</v>
      </c>
      <c r="D271" s="74" t="e">
        <f>VLOOKUP(C271,Project_Replicon[[#All],[Replicon Line w/code]:[Project2]],2,FALSE)</f>
        <v>#N/A</v>
      </c>
      <c r="E271" s="74" t="str">
        <f t="shared" si="32"/>
        <v>Credit Risk</v>
      </c>
      <c r="F271" s="75">
        <f>HLOOKUP($D$10,ReferenceTables!$AU$3:$CU$10,8,FALSE)</f>
        <v>44710</v>
      </c>
      <c r="G271" s="76" t="str">
        <f t="shared" si="33"/>
        <v/>
      </c>
      <c r="H271" s="16"/>
      <c r="I271" s="28"/>
      <c r="J271" s="16"/>
      <c r="K271" s="16"/>
      <c r="L271" s="16"/>
      <c r="M271" s="13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idden="1" outlineLevel="1" x14ac:dyDescent="0.35">
      <c r="A272" t="e">
        <f t="shared" si="28"/>
        <v>#N/A</v>
      </c>
      <c r="B272" s="30">
        <v>2</v>
      </c>
      <c r="C272" s="91" t="s">
        <v>32</v>
      </c>
      <c r="D272" s="80" t="e">
        <f>VLOOKUP(C272,Project_Replicon[[#All],[Replicon Line w/code]:[Project2]],2,FALSE)</f>
        <v>#N/A</v>
      </c>
      <c r="E272" s="80" t="str">
        <f t="shared" si="32"/>
        <v/>
      </c>
      <c r="F272" s="77">
        <f>HLOOKUP($D$10,ReferenceTables!$AU$3:$CU$10,8,FALSE)</f>
        <v>44710</v>
      </c>
      <c r="G272" s="78" t="str">
        <f t="shared" si="33"/>
        <v/>
      </c>
      <c r="H272" s="16"/>
      <c r="I272" s="28"/>
      <c r="J272" s="16"/>
      <c r="K272" s="16"/>
      <c r="L272" s="16"/>
      <c r="M272" s="13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idden="1" outlineLevel="1" x14ac:dyDescent="0.35">
      <c r="A273" t="e">
        <f t="shared" si="28"/>
        <v>#N/A</v>
      </c>
      <c r="B273" s="30">
        <v>3</v>
      </c>
      <c r="C273" s="92" t="s">
        <v>32</v>
      </c>
      <c r="D273" s="27" t="e">
        <f>VLOOKUP(C273,Project_Replicon[[#All],[Replicon Line w/code]:[Project2]],2,FALSE)</f>
        <v>#N/A</v>
      </c>
      <c r="E273" s="81" t="str">
        <f t="shared" si="32"/>
        <v/>
      </c>
      <c r="F273" s="79">
        <f>HLOOKUP($D$10,ReferenceTables!$AU$3:$CU$10,8,FALSE)</f>
        <v>44710</v>
      </c>
      <c r="G273" s="38" t="str">
        <f t="shared" si="33"/>
        <v/>
      </c>
      <c r="H273" s="16"/>
      <c r="I273" s="28"/>
      <c r="J273" s="16"/>
      <c r="K273" s="16"/>
      <c r="L273" s="16"/>
      <c r="M273" s="13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idden="1" outlineLevel="1" x14ac:dyDescent="0.35">
      <c r="A274" t="str">
        <f t="shared" si="28"/>
        <v>1ABNAMRO-0026-07 P4 - Basel IVP4 - Basel IV</v>
      </c>
      <c r="B274" s="30">
        <v>1</v>
      </c>
      <c r="C274" s="93" t="s">
        <v>33</v>
      </c>
      <c r="D274" s="74" t="str">
        <f>VLOOKUP(C274,Project_Replicon[[#All],[Replicon Line w/code]:[Project2]],2,FALSE)</f>
        <v>P4 - Basel IV</v>
      </c>
      <c r="E274" s="74" t="str">
        <f t="shared" si="32"/>
        <v/>
      </c>
      <c r="F274" s="75">
        <f>HLOOKUP($D$10,ReferenceTables!$AU$3:$CU$10,8,FALSE)</f>
        <v>44710</v>
      </c>
      <c r="G274" s="76">
        <f t="shared" si="33"/>
        <v>0</v>
      </c>
      <c r="H274" s="16"/>
      <c r="I274" s="28"/>
      <c r="J274" s="16"/>
      <c r="K274" s="16"/>
      <c r="L274" s="16"/>
      <c r="M274" s="13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idden="1" outlineLevel="1" x14ac:dyDescent="0.35">
      <c r="A275" t="str">
        <f t="shared" si="28"/>
        <v>2ABNAMRO-0026-07 P4 - Basel IVP4 - Basel IV</v>
      </c>
      <c r="B275" s="30">
        <v>2</v>
      </c>
      <c r="C275" s="91" t="s">
        <v>33</v>
      </c>
      <c r="D275" s="80" t="str">
        <f>VLOOKUP(C275,Project_Replicon[[#All],[Replicon Line w/code]:[Project2]],2,FALSE)</f>
        <v>P4 - Basel IV</v>
      </c>
      <c r="E275" s="80" t="str">
        <f t="shared" si="32"/>
        <v/>
      </c>
      <c r="F275" s="77">
        <f>HLOOKUP($D$10,ReferenceTables!$AU$3:$CU$10,8,FALSE)</f>
        <v>44710</v>
      </c>
      <c r="G275" s="78" t="str">
        <f t="shared" si="33"/>
        <v/>
      </c>
      <c r="H275" s="16"/>
      <c r="I275" s="28"/>
      <c r="J275" s="16"/>
      <c r="K275" s="16"/>
      <c r="L275" s="16"/>
      <c r="M275" s="13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idden="1" outlineLevel="1" x14ac:dyDescent="0.35">
      <c r="A276" t="str">
        <f t="shared" si="28"/>
        <v>3ABNAMRO-0026-07 P4 - Basel IVP4 - Basel IV</v>
      </c>
      <c r="B276" s="30">
        <v>3</v>
      </c>
      <c r="C276" s="92" t="s">
        <v>33</v>
      </c>
      <c r="D276" s="27" t="str">
        <f>VLOOKUP(C276,Project_Replicon[[#All],[Replicon Line w/code]:[Project2]],2,FALSE)</f>
        <v>P4 - Basel IV</v>
      </c>
      <c r="E276" s="81" t="str">
        <f t="shared" si="32"/>
        <v/>
      </c>
      <c r="F276" s="79">
        <f>HLOOKUP($D$10,ReferenceTables!$AU$3:$CU$10,8,FALSE)</f>
        <v>44710</v>
      </c>
      <c r="G276" s="38" t="str">
        <f t="shared" si="33"/>
        <v/>
      </c>
      <c r="H276" s="16"/>
      <c r="I276" s="28"/>
      <c r="J276" s="16"/>
      <c r="K276" s="16"/>
      <c r="L276" s="16"/>
      <c r="M276" s="13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idden="1" outlineLevel="1" x14ac:dyDescent="0.35">
      <c r="A277" t="e">
        <f t="shared" si="28"/>
        <v>#N/A</v>
      </c>
      <c r="B277" s="30">
        <v>1</v>
      </c>
      <c r="C277" s="93" t="s">
        <v>34</v>
      </c>
      <c r="D277" s="74" t="e">
        <f>VLOOKUP(C277,Project_Replicon[[#All],[Replicon Line w/code]:[Project2]],2,FALSE)</f>
        <v>#N/A</v>
      </c>
      <c r="E277" s="74" t="str">
        <f t="shared" si="32"/>
        <v/>
      </c>
      <c r="F277" s="75">
        <f>HLOOKUP($D$10,ReferenceTables!$AU$3:$CU$10,8,FALSE)</f>
        <v>44710</v>
      </c>
      <c r="G277" s="76" t="str">
        <f t="shared" si="33"/>
        <v/>
      </c>
      <c r="H277" s="16"/>
      <c r="I277" s="28"/>
      <c r="J277" s="16"/>
      <c r="K277" s="16"/>
      <c r="L277" s="16"/>
      <c r="M277" s="13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idden="1" outlineLevel="1" x14ac:dyDescent="0.35">
      <c r="A278" t="e">
        <f t="shared" si="28"/>
        <v>#N/A</v>
      </c>
      <c r="B278" s="30">
        <v>2</v>
      </c>
      <c r="C278" s="91" t="s">
        <v>34</v>
      </c>
      <c r="D278" s="80" t="e">
        <f>VLOOKUP(C278,Project_Replicon[[#All],[Replicon Line w/code]:[Project2]],2,FALSE)</f>
        <v>#N/A</v>
      </c>
      <c r="E278" s="80" t="str">
        <f t="shared" si="32"/>
        <v/>
      </c>
      <c r="F278" s="77">
        <f>HLOOKUP($D$10,ReferenceTables!$AU$3:$CU$10,8,FALSE)</f>
        <v>44710</v>
      </c>
      <c r="G278" s="78" t="str">
        <f t="shared" si="33"/>
        <v/>
      </c>
      <c r="H278" s="16"/>
      <c r="I278" s="28"/>
      <c r="J278" s="16"/>
      <c r="K278" s="16"/>
      <c r="L278" s="16"/>
      <c r="M278" s="13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idden="1" outlineLevel="1" x14ac:dyDescent="0.35">
      <c r="A279" t="e">
        <f t="shared" si="28"/>
        <v>#N/A</v>
      </c>
      <c r="B279" s="30">
        <v>3</v>
      </c>
      <c r="C279" s="92" t="s">
        <v>34</v>
      </c>
      <c r="D279" s="27" t="e">
        <f>VLOOKUP(C279,Project_Replicon[[#All],[Replicon Line w/code]:[Project2]],2,FALSE)</f>
        <v>#N/A</v>
      </c>
      <c r="E279" s="81" t="str">
        <f t="shared" si="32"/>
        <v/>
      </c>
      <c r="F279" s="79">
        <f>HLOOKUP($D$10,ReferenceTables!$AU$3:$CU$10,8,FALSE)</f>
        <v>44710</v>
      </c>
      <c r="G279" s="38" t="str">
        <f t="shared" si="33"/>
        <v/>
      </c>
      <c r="H279" s="16"/>
      <c r="I279" s="28"/>
      <c r="J279" s="16"/>
      <c r="K279" s="16"/>
      <c r="L279" s="16"/>
      <c r="M279" s="13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idden="1" outlineLevel="1" x14ac:dyDescent="0.35">
      <c r="A280" t="e">
        <f t="shared" si="28"/>
        <v>#N/A</v>
      </c>
      <c r="B280" s="30">
        <v>1</v>
      </c>
      <c r="C280" s="93" t="s">
        <v>35</v>
      </c>
      <c r="D280" s="74" t="e">
        <f>VLOOKUP(C280,Project_Replicon[[#All],[Replicon Line w/code]:[Project2]],2,FALSE)</f>
        <v>#N/A</v>
      </c>
      <c r="E280" s="74" t="str">
        <f>_xlfn.IFNA(VLOOKUP(A283,$A$14:$C$21,3,FALSE),"")</f>
        <v/>
      </c>
      <c r="F280" s="75">
        <f>HLOOKUP($D$10,ReferenceTables!$AU$3:$CU$10,8,FALSE)</f>
        <v>44710</v>
      </c>
      <c r="G280" s="76" t="str">
        <f t="shared" si="33"/>
        <v/>
      </c>
      <c r="H280" s="16"/>
      <c r="I280" s="28"/>
      <c r="J280" s="16"/>
      <c r="K280" s="16"/>
      <c r="L280" s="16"/>
      <c r="M280" s="13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idden="1" outlineLevel="1" x14ac:dyDescent="0.35">
      <c r="A281" t="e">
        <f t="shared" si="28"/>
        <v>#N/A</v>
      </c>
      <c r="B281" s="30">
        <v>2</v>
      </c>
      <c r="C281" s="91" t="s">
        <v>35</v>
      </c>
      <c r="D281" s="80" t="e">
        <f>VLOOKUP(C281,Project_Replicon[[#All],[Replicon Line w/code]:[Project2]],2,FALSE)</f>
        <v>#N/A</v>
      </c>
      <c r="E281" s="80" t="str">
        <f>_xlfn.IFNA(VLOOKUP(A284,$A$14:$C$21,3,FALSE),"")</f>
        <v/>
      </c>
      <c r="F281" s="77">
        <f>HLOOKUP($D$10,ReferenceTables!$AU$3:$CU$10,8,FALSE)</f>
        <v>44710</v>
      </c>
      <c r="G281" s="78" t="str">
        <f t="shared" si="33"/>
        <v/>
      </c>
      <c r="H281" s="16"/>
      <c r="I281" s="28"/>
      <c r="J281" s="16"/>
      <c r="K281" s="16"/>
      <c r="L281" s="16"/>
      <c r="M281" s="13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idden="1" outlineLevel="1" x14ac:dyDescent="0.35">
      <c r="A282" t="e">
        <f t="shared" si="28"/>
        <v>#N/A</v>
      </c>
      <c r="B282" s="30">
        <v>3</v>
      </c>
      <c r="C282" s="92" t="s">
        <v>35</v>
      </c>
      <c r="D282" s="27" t="e">
        <f>VLOOKUP(C282,Project_Replicon[[#All],[Replicon Line w/code]:[Project2]],2,FALSE)</f>
        <v>#N/A</v>
      </c>
      <c r="E282" s="81" t="str">
        <f>_xlfn.IFNA(VLOOKUP(A285,$A$14:$C$21,3,FALSE),"")</f>
        <v/>
      </c>
      <c r="F282" s="79">
        <f>HLOOKUP($D$10,ReferenceTables!$AU$3:$CU$10,8,FALSE)</f>
        <v>44710</v>
      </c>
      <c r="G282" s="38" t="str">
        <f t="shared" si="33"/>
        <v/>
      </c>
      <c r="H282" s="16"/>
      <c r="I282" s="28"/>
      <c r="J282" s="16"/>
      <c r="K282" s="16"/>
      <c r="L282" s="16"/>
      <c r="M282" s="13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idden="1" outlineLevel="1" x14ac:dyDescent="0.35">
      <c r="A283" t="e">
        <f t="shared" si="28"/>
        <v>#N/A</v>
      </c>
      <c r="B283" s="30">
        <v>1</v>
      </c>
      <c r="C283" s="93" t="s">
        <v>36</v>
      </c>
      <c r="D283" s="74" t="e">
        <f>VLOOKUP(C283,Project_Replicon[[#All],[Replicon Line w/code]:[Project2]],2,FALSE)</f>
        <v>#N/A</v>
      </c>
      <c r="E283" s="74" t="str">
        <f t="shared" ref="E283:E291" si="34">_xlfn.IFNA(VLOOKUP(A289,$A$14:$C$21,3,FALSE),"")</f>
        <v/>
      </c>
      <c r="F283" s="75">
        <f>HLOOKUP($D$10,ReferenceTables!$AU$3:$CU$10,8,FALSE)</f>
        <v>44710</v>
      </c>
      <c r="G283" s="76" t="str">
        <f t="shared" si="33"/>
        <v/>
      </c>
      <c r="H283" s="16"/>
      <c r="I283" s="28"/>
      <c r="J283" s="16"/>
      <c r="K283" s="16"/>
      <c r="L283" s="16"/>
      <c r="M283" s="13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idden="1" outlineLevel="1" x14ac:dyDescent="0.35">
      <c r="A284" t="e">
        <f t="shared" si="28"/>
        <v>#N/A</v>
      </c>
      <c r="B284" s="30">
        <v>2</v>
      </c>
      <c r="C284" s="91" t="s">
        <v>36</v>
      </c>
      <c r="D284" s="80" t="e">
        <f>VLOOKUP(C284,Project_Replicon[[#All],[Replicon Line w/code]:[Project2]],2,FALSE)</f>
        <v>#N/A</v>
      </c>
      <c r="E284" s="80" t="str">
        <f t="shared" si="34"/>
        <v/>
      </c>
      <c r="F284" s="77">
        <f>HLOOKUP($D$10,ReferenceTables!$AU$3:$CU$10,8,FALSE)</f>
        <v>44710</v>
      </c>
      <c r="G284" s="78" t="str">
        <f t="shared" si="33"/>
        <v/>
      </c>
      <c r="H284" s="16"/>
      <c r="I284" s="16"/>
      <c r="J284" s="16"/>
      <c r="K284" s="16"/>
      <c r="L284" s="16"/>
      <c r="M284" s="13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idden="1" outlineLevel="1" x14ac:dyDescent="0.35">
      <c r="A285" t="e">
        <f t="shared" si="28"/>
        <v>#N/A</v>
      </c>
      <c r="B285" s="30">
        <v>3</v>
      </c>
      <c r="C285" s="92" t="s">
        <v>36</v>
      </c>
      <c r="D285" s="27" t="e">
        <f>VLOOKUP(C285,Project_Replicon[[#All],[Replicon Line w/code]:[Project2]],2,FALSE)</f>
        <v>#N/A</v>
      </c>
      <c r="E285" s="81" t="str">
        <f t="shared" si="34"/>
        <v/>
      </c>
      <c r="F285" s="79">
        <f>HLOOKUP($D$10,ReferenceTables!$AU$3:$CU$10,8,FALSE)</f>
        <v>44710</v>
      </c>
      <c r="G285" s="38" t="str">
        <f t="shared" si="33"/>
        <v/>
      </c>
      <c r="H285" s="16"/>
      <c r="I285" s="16"/>
      <c r="J285" s="16"/>
      <c r="K285" s="16"/>
      <c r="L285" s="16"/>
      <c r="M285" s="13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idden="1" outlineLevel="1" x14ac:dyDescent="0.35">
      <c r="A286" t="e">
        <f t="shared" si="28"/>
        <v>#N/A</v>
      </c>
      <c r="B286" s="30">
        <v>1</v>
      </c>
      <c r="C286" s="93" t="s">
        <v>37</v>
      </c>
      <c r="D286" s="74" t="e">
        <f>VLOOKUP(C286,Project_Replicon[[#All],[Replicon Line w/code]:[Project2]],2,FALSE)</f>
        <v>#N/A</v>
      </c>
      <c r="E286" s="74" t="str">
        <f t="shared" si="34"/>
        <v/>
      </c>
      <c r="F286" s="75">
        <f>HLOOKUP($D$10,ReferenceTables!$AU$3:$CU$10,8,FALSE)</f>
        <v>44710</v>
      </c>
      <c r="G286" s="76" t="str">
        <f t="shared" si="33"/>
        <v/>
      </c>
      <c r="H286" s="16"/>
      <c r="I286" s="16"/>
      <c r="J286" s="16"/>
      <c r="K286" s="16"/>
      <c r="L286" s="16"/>
      <c r="M286" s="13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idden="1" outlineLevel="1" x14ac:dyDescent="0.35">
      <c r="A287" t="e">
        <f t="shared" si="28"/>
        <v>#N/A</v>
      </c>
      <c r="B287" s="30">
        <v>2</v>
      </c>
      <c r="C287" s="91" t="s">
        <v>37</v>
      </c>
      <c r="D287" s="80" t="e">
        <f>VLOOKUP(C287,Project_Replicon[[#All],[Replicon Line w/code]:[Project2]],2,FALSE)</f>
        <v>#N/A</v>
      </c>
      <c r="E287" s="80" t="str">
        <f t="shared" si="34"/>
        <v/>
      </c>
      <c r="F287" s="77">
        <f>HLOOKUP($D$10,ReferenceTables!$AU$3:$CU$10,8,FALSE)</f>
        <v>44710</v>
      </c>
      <c r="G287" s="78" t="str">
        <f t="shared" si="33"/>
        <v/>
      </c>
      <c r="H287" s="16"/>
      <c r="I287" s="16"/>
      <c r="J287" s="16"/>
      <c r="K287" s="16"/>
      <c r="L287" s="16"/>
      <c r="M287" s="13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idden="1" outlineLevel="1" x14ac:dyDescent="0.35">
      <c r="A288" t="e">
        <f t="shared" si="28"/>
        <v>#N/A</v>
      </c>
      <c r="B288" s="30">
        <v>3</v>
      </c>
      <c r="C288" s="92" t="s">
        <v>37</v>
      </c>
      <c r="D288" s="27" t="e">
        <f>VLOOKUP(C288,Project_Replicon[[#All],[Replicon Line w/code]:[Project2]],2,FALSE)</f>
        <v>#N/A</v>
      </c>
      <c r="E288" s="81" t="str">
        <f t="shared" si="34"/>
        <v/>
      </c>
      <c r="F288" s="79">
        <f>HLOOKUP($D$10,ReferenceTables!$AU$3:$CU$10,8,FALSE)</f>
        <v>44710</v>
      </c>
      <c r="G288" s="38" t="str">
        <f t="shared" si="33"/>
        <v/>
      </c>
      <c r="H288" s="16"/>
      <c r="I288" s="16"/>
      <c r="J288" s="16"/>
      <c r="K288" s="16"/>
      <c r="L288" s="16"/>
      <c r="M288" s="13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idden="1" outlineLevel="1" x14ac:dyDescent="0.35">
      <c r="A289" t="str">
        <f t="shared" si="28"/>
        <v>1ABNAMRO-0026-13 P2- Risk ServicesP2- Risk Services</v>
      </c>
      <c r="B289" s="30">
        <v>1</v>
      </c>
      <c r="C289" s="93" t="s">
        <v>38</v>
      </c>
      <c r="D289" s="74" t="str">
        <f>VLOOKUP(C289,Project_Replicon[[#All],[Replicon Line w/code]:[Project2]],2,FALSE)</f>
        <v>P2- Risk Services</v>
      </c>
      <c r="E289" s="74" t="str">
        <f t="shared" si="34"/>
        <v/>
      </c>
      <c r="F289" s="75">
        <f>HLOOKUP($D$10,ReferenceTables!$AU$3:$CU$10,8,FALSE)</f>
        <v>44710</v>
      </c>
      <c r="G289" s="76" t="str">
        <f t="shared" si="33"/>
        <v/>
      </c>
      <c r="H289" s="16"/>
      <c r="I289" s="16"/>
      <c r="J289" s="16"/>
      <c r="K289" s="16"/>
      <c r="L289" s="16"/>
      <c r="M289" s="13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idden="1" outlineLevel="1" x14ac:dyDescent="0.35">
      <c r="A290" t="str">
        <f t="shared" si="28"/>
        <v>2ABNAMRO-0026-13 P2- Risk ServicesP2- Risk Services</v>
      </c>
      <c r="B290" s="30">
        <v>2</v>
      </c>
      <c r="C290" s="91" t="s">
        <v>38</v>
      </c>
      <c r="D290" s="80" t="str">
        <f>VLOOKUP(C290,Project_Replicon[[#All],[Replicon Line w/code]:[Project2]],2,FALSE)</f>
        <v>P2- Risk Services</v>
      </c>
      <c r="E290" s="80" t="str">
        <f t="shared" si="34"/>
        <v/>
      </c>
      <c r="F290" s="77">
        <f>HLOOKUP($D$10,ReferenceTables!$AU$3:$CU$10,8,FALSE)</f>
        <v>44710</v>
      </c>
      <c r="G290" s="78" t="str">
        <f t="shared" si="33"/>
        <v/>
      </c>
      <c r="H290" s="16"/>
      <c r="I290" s="16"/>
      <c r="J290" s="16"/>
      <c r="K290" s="16"/>
      <c r="L290" s="16"/>
      <c r="M290" s="13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idden="1" outlineLevel="1" x14ac:dyDescent="0.35">
      <c r="A291" t="str">
        <f t="shared" si="28"/>
        <v>3ABNAMRO-0026-13 P2- Risk ServicesP2- Risk Services</v>
      </c>
      <c r="B291" s="30">
        <v>3</v>
      </c>
      <c r="C291" s="92" t="s">
        <v>38</v>
      </c>
      <c r="D291" s="27" t="str">
        <f>VLOOKUP(C291,Project_Replicon[[#All],[Replicon Line w/code]:[Project2]],2,FALSE)</f>
        <v>P2- Risk Services</v>
      </c>
      <c r="E291" s="81" t="str">
        <f t="shared" si="34"/>
        <v/>
      </c>
      <c r="F291" s="79">
        <f>HLOOKUP($D$10,ReferenceTables!$AU$3:$CU$10,8,FALSE)</f>
        <v>44710</v>
      </c>
      <c r="G291" s="38" t="str">
        <f t="shared" si="33"/>
        <v/>
      </c>
      <c r="H291" s="16"/>
      <c r="I291" s="16"/>
      <c r="J291" s="16"/>
      <c r="K291" s="16"/>
      <c r="L291" s="16"/>
      <c r="M291" s="13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idden="1" outlineLevel="1" x14ac:dyDescent="0.35">
      <c r="A292" t="e">
        <f t="shared" si="28"/>
        <v>#N/A</v>
      </c>
      <c r="B292" s="30">
        <v>1</v>
      </c>
      <c r="C292" s="93" t="s">
        <v>39</v>
      </c>
      <c r="D292" s="74" t="e">
        <f>VLOOKUP(C292,Project_Replicon[[#All],[Replicon Line w/code]:[Project2]],2,FALSE)</f>
        <v>#N/A</v>
      </c>
      <c r="E292" s="74" t="str">
        <f>_xlfn.IFNA(VLOOKUP(A297,$A$14:$C$21,3,FALSE),"")</f>
        <v/>
      </c>
      <c r="F292" s="75">
        <f>HLOOKUP($D$10,ReferenceTables!$AU$3:$CU$10,8,FALSE)</f>
        <v>44710</v>
      </c>
      <c r="G292" s="76" t="str">
        <f t="shared" si="33"/>
        <v/>
      </c>
      <c r="H292" s="16"/>
      <c r="I292" s="16"/>
      <c r="J292" s="16"/>
      <c r="K292" s="16"/>
      <c r="L292" s="16"/>
      <c r="M292" s="13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idden="1" outlineLevel="1" x14ac:dyDescent="0.35">
      <c r="A293" t="e">
        <f t="shared" si="28"/>
        <v>#N/A</v>
      </c>
      <c r="B293" s="30">
        <v>2</v>
      </c>
      <c r="C293" s="91" t="s">
        <v>39</v>
      </c>
      <c r="D293" s="80" t="e">
        <f>VLOOKUP(C293,Project_Replicon[[#All],[Replicon Line w/code]:[Project2]],2,FALSE)</f>
        <v>#N/A</v>
      </c>
      <c r="E293" s="80" t="str">
        <f>_xlfn.IFNA(VLOOKUP(A298,$A$14:$C$21,3,FALSE),"")</f>
        <v/>
      </c>
      <c r="F293" s="77">
        <f>HLOOKUP($D$10,ReferenceTables!$AU$3:$CU$10,8,FALSE)</f>
        <v>44710</v>
      </c>
      <c r="G293" s="78" t="str">
        <f t="shared" si="33"/>
        <v/>
      </c>
      <c r="H293" s="16"/>
      <c r="I293" s="16"/>
      <c r="J293" s="16"/>
      <c r="K293" s="16"/>
      <c r="L293" s="16"/>
      <c r="M293" s="13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idden="1" outlineLevel="1" x14ac:dyDescent="0.35">
      <c r="A294" t="e">
        <f t="shared" si="28"/>
        <v>#N/A</v>
      </c>
      <c r="B294" s="30">
        <v>3</v>
      </c>
      <c r="C294" s="92" t="s">
        <v>39</v>
      </c>
      <c r="D294" s="27" t="e">
        <f>VLOOKUP(C294,Project_Replicon[[#All],[Replicon Line w/code]:[Project2]],2,FALSE)</f>
        <v>#N/A</v>
      </c>
      <c r="E294" s="81" t="str">
        <f>_xlfn.IFNA(VLOOKUP(A299,$A$14:$C$21,3,FALSE),"")</f>
        <v/>
      </c>
      <c r="F294" s="79">
        <f>HLOOKUP($D$10,ReferenceTables!$AU$3:$CU$10,8,FALSE)</f>
        <v>44710</v>
      </c>
      <c r="G294" s="38" t="str">
        <f t="shared" si="33"/>
        <v/>
      </c>
      <c r="H294" s="16"/>
      <c r="I294" s="16"/>
      <c r="J294" s="16"/>
      <c r="K294" s="16"/>
      <c r="L294" s="16"/>
      <c r="M294" s="13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idden="1" outlineLevel="1" x14ac:dyDescent="0.35">
      <c r="A295" t="e">
        <f t="shared" si="28"/>
        <v>#N/A</v>
      </c>
      <c r="B295" s="30">
        <v>1</v>
      </c>
      <c r="C295" s="93" t="s">
        <v>40</v>
      </c>
      <c r="D295" s="74" t="e">
        <f>VLOOKUP(C295,Project_Replicon[[#All],[Replicon Line w/code]:[Project2]],2,FALSE)</f>
        <v>#N/A</v>
      </c>
      <c r="E295" s="74" t="str">
        <f>_xlfn.IFNA(VLOOKUP(A299,$A$14:$C$21,3,FALSE),"")</f>
        <v/>
      </c>
      <c r="F295" s="75">
        <f>HLOOKUP($D$10,ReferenceTables!$AU$3:$CU$10,8,FALSE)</f>
        <v>44710</v>
      </c>
      <c r="G295" s="76" t="str">
        <f t="shared" si="33"/>
        <v/>
      </c>
      <c r="H295" s="16"/>
      <c r="I295" s="16"/>
      <c r="J295" s="16"/>
      <c r="K295" s="16"/>
      <c r="L295" s="16"/>
      <c r="M295" s="13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idden="1" outlineLevel="1" x14ac:dyDescent="0.35">
      <c r="A296" t="e">
        <f t="shared" si="28"/>
        <v>#N/A</v>
      </c>
      <c r="B296" s="30">
        <v>2</v>
      </c>
      <c r="C296" s="91" t="s">
        <v>40</v>
      </c>
      <c r="D296" s="80" t="e">
        <f>VLOOKUP(C296,Project_Replicon[[#All],[Replicon Line w/code]:[Project2]],2,FALSE)</f>
        <v>#N/A</v>
      </c>
      <c r="E296" s="80" t="str">
        <f>_xlfn.IFNA(VLOOKUP(A300,$A$14:$C$21,3,FALSE),"")</f>
        <v/>
      </c>
      <c r="F296" s="77">
        <f>HLOOKUP($D$10,ReferenceTables!$AU$3:$CU$10,8,FALSE)</f>
        <v>44710</v>
      </c>
      <c r="G296" s="78" t="str">
        <f t="shared" si="33"/>
        <v/>
      </c>
      <c r="H296" s="16"/>
      <c r="I296" s="16"/>
      <c r="J296" s="16"/>
      <c r="K296" s="16"/>
      <c r="L296" s="16"/>
      <c r="M296" s="13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" hidden="1" outlineLevel="1" thickBot="1" x14ac:dyDescent="0.4">
      <c r="A297" t="e">
        <f t="shared" si="28"/>
        <v>#N/A</v>
      </c>
      <c r="B297" s="30">
        <v>3</v>
      </c>
      <c r="C297" s="92" t="s">
        <v>40</v>
      </c>
      <c r="D297" s="27" t="e">
        <f>VLOOKUP(C297,Project_Replicon[[#All],[Replicon Line w/code]:[Project2]],2,FALSE)</f>
        <v>#N/A</v>
      </c>
      <c r="E297" s="81" t="str">
        <f>_xlfn.IFNA(VLOOKUP(A301,$A$14:$C$21,3,FALSE),"")</f>
        <v/>
      </c>
      <c r="F297" s="79">
        <f>HLOOKUP($D$10,ReferenceTables!$AU$3:$CU$10,8,FALSE)</f>
        <v>44710</v>
      </c>
      <c r="G297" s="38" t="str">
        <f t="shared" si="33"/>
        <v/>
      </c>
      <c r="H297" s="16"/>
      <c r="I297" s="16"/>
      <c r="J297" s="16"/>
      <c r="K297" s="16"/>
      <c r="L297" s="16"/>
      <c r="M297" s="13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idden="1" outlineLevel="1" x14ac:dyDescent="0.35">
      <c r="B298" s="66"/>
      <c r="C298" s="94"/>
      <c r="D298" s="95"/>
      <c r="E298" s="95"/>
      <c r="F298" s="97" t="s">
        <v>41</v>
      </c>
      <c r="G298" s="96">
        <f>SUM(G25:G296)</f>
        <v>32</v>
      </c>
      <c r="H298" s="16"/>
      <c r="I298" s="16"/>
      <c r="J298" s="16"/>
      <c r="K298" s="16"/>
      <c r="L298" s="16"/>
      <c r="M298" s="13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idden="1" outlineLevel="1" x14ac:dyDescent="0.35">
      <c r="A299" t="str">
        <f t="shared" ref="A299:A305" si="35">_xlfn.CONCAT(B299,C299,D299)</f>
        <v/>
      </c>
      <c r="B299" s="6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3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idden="1" outlineLevel="1" x14ac:dyDescent="0.35">
      <c r="A300" t="str">
        <f t="shared" si="35"/>
        <v/>
      </c>
      <c r="B300" s="6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3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idden="1" outlineLevel="1" x14ac:dyDescent="0.35">
      <c r="A301" t="str">
        <f t="shared" si="35"/>
        <v/>
      </c>
      <c r="B301" s="6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3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" hidden="1" outlineLevel="1" collapsed="1" thickBot="1" x14ac:dyDescent="0.4">
      <c r="A302" t="str">
        <f t="shared" si="35"/>
        <v/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5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collapsed="1" x14ac:dyDescent="0.35">
      <c r="A303" t="str">
        <f t="shared" si="35"/>
        <v/>
      </c>
      <c r="B303" s="6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x14ac:dyDescent="0.35">
      <c r="A304" t="str">
        <f t="shared" si="35"/>
        <v/>
      </c>
      <c r="B304" s="6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x14ac:dyDescent="0.35">
      <c r="A305" t="str">
        <f t="shared" si="35"/>
        <v/>
      </c>
      <c r="B305" s="6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x14ac:dyDescent="0.35">
      <c r="B306" s="6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x14ac:dyDescent="0.35">
      <c r="B307" s="6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x14ac:dyDescent="0.35">
      <c r="B308" s="6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x14ac:dyDescent="0.35">
      <c r="B309" s="6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x14ac:dyDescent="0.35">
      <c r="B310" s="6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x14ac:dyDescent="0.35">
      <c r="B311" s="6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x14ac:dyDescent="0.35">
      <c r="B312" s="6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x14ac:dyDescent="0.35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x14ac:dyDescent="0.35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x14ac:dyDescent="0.3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x14ac:dyDescent="0.35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x14ac:dyDescent="0.35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x14ac:dyDescent="0.35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x14ac:dyDescent="0.3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x14ac:dyDescent="0.35">
      <c r="B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2:23" x14ac:dyDescent="0.35">
      <c r="B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2:23" x14ac:dyDescent="0.35">
      <c r="B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2:23" x14ac:dyDescent="0.35">
      <c r="B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</sheetData>
  <sheetProtection algorithmName="SHA-512" hashValue="YvoYAyDXpjGAK3xOKhkbm5sL5ym/UpY+BckpsVD/xhWBZjw3u2OFaKL7OBYUTFD+IFU8la8tC/+pB/Pz0rhK3Q==" saltValue="LeCmRsNCqyM3xoIqW4Hwlg==" spinCount="100000" sheet="1"/>
  <protectedRanges>
    <protectedRange algorithmName="SHA-512" hashValue="iGXKviVKosNW5fv39ohHBrLfjHALhlIq1/Sus9U/dcLRPwG5JHLJobP2isgyNZxkvUDAk6OhD+j+q/ooS3X//Q==" saltValue="oxUu4VCoJoB8XebuAAX5cQ==" spinCount="100000" sqref="A1:B1048576" name="Range1"/>
  </protectedRanges>
  <autoFilter ref="C24:G297" xr:uid="{58AAA424-ED93-4478-B52F-BEA3BFE8490F}"/>
  <mergeCells count="3">
    <mergeCell ref="B1:M5"/>
    <mergeCell ref="C12:E12"/>
    <mergeCell ref="C11:E11"/>
  </mergeCells>
  <phoneticPr fontId="6" type="noConversion"/>
  <conditionalFormatting sqref="G25">
    <cfRule type="cellIs" dxfId="573" priority="1181" operator="lessThanOrEqual">
      <formula>0</formula>
    </cfRule>
    <cfRule type="cellIs" dxfId="572" priority="1182" operator="greaterThan">
      <formula>0</formula>
    </cfRule>
  </conditionalFormatting>
  <conditionalFormatting sqref="G27">
    <cfRule type="cellIs" dxfId="571" priority="855" operator="lessThanOrEqual">
      <formula>0</formula>
    </cfRule>
    <cfRule type="cellIs" dxfId="570" priority="856" operator="greaterThan">
      <formula>0</formula>
    </cfRule>
  </conditionalFormatting>
  <conditionalFormatting sqref="G26">
    <cfRule type="cellIs" dxfId="569" priority="667" operator="lessThanOrEqual">
      <formula>0</formula>
    </cfRule>
    <cfRule type="cellIs" dxfId="568" priority="668" operator="greaterThan">
      <formula>0</formula>
    </cfRule>
  </conditionalFormatting>
  <conditionalFormatting sqref="G28">
    <cfRule type="cellIs" dxfId="567" priority="575" operator="lessThanOrEqual">
      <formula>0</formula>
    </cfRule>
    <cfRule type="cellIs" dxfId="566" priority="576" operator="greaterThan">
      <formula>0</formula>
    </cfRule>
  </conditionalFormatting>
  <conditionalFormatting sqref="G30">
    <cfRule type="cellIs" dxfId="565" priority="573" operator="lessThanOrEqual">
      <formula>0</formula>
    </cfRule>
    <cfRule type="cellIs" dxfId="564" priority="574" operator="greaterThan">
      <formula>0</formula>
    </cfRule>
  </conditionalFormatting>
  <conditionalFormatting sqref="G29">
    <cfRule type="cellIs" dxfId="563" priority="571" operator="lessThanOrEqual">
      <formula>0</formula>
    </cfRule>
    <cfRule type="cellIs" dxfId="562" priority="572" operator="greaterThan">
      <formula>0</formula>
    </cfRule>
  </conditionalFormatting>
  <conditionalFormatting sqref="G31">
    <cfRule type="cellIs" dxfId="561" priority="569" operator="lessThanOrEqual">
      <formula>0</formula>
    </cfRule>
    <cfRule type="cellIs" dxfId="560" priority="570" operator="greaterThan">
      <formula>0</formula>
    </cfRule>
  </conditionalFormatting>
  <conditionalFormatting sqref="G33">
    <cfRule type="cellIs" dxfId="559" priority="567" operator="lessThanOrEqual">
      <formula>0</formula>
    </cfRule>
    <cfRule type="cellIs" dxfId="558" priority="568" operator="greaterThan">
      <formula>0</formula>
    </cfRule>
  </conditionalFormatting>
  <conditionalFormatting sqref="G32">
    <cfRule type="cellIs" dxfId="557" priority="565" operator="lessThanOrEqual">
      <formula>0</formula>
    </cfRule>
    <cfRule type="cellIs" dxfId="556" priority="566" operator="greaterThan">
      <formula>0</formula>
    </cfRule>
  </conditionalFormatting>
  <conditionalFormatting sqref="G34">
    <cfRule type="cellIs" dxfId="555" priority="563" operator="lessThanOrEqual">
      <formula>0</formula>
    </cfRule>
    <cfRule type="cellIs" dxfId="554" priority="564" operator="greaterThan">
      <formula>0</formula>
    </cfRule>
  </conditionalFormatting>
  <conditionalFormatting sqref="G36">
    <cfRule type="cellIs" dxfId="553" priority="561" operator="lessThanOrEqual">
      <formula>0</formula>
    </cfRule>
    <cfRule type="cellIs" dxfId="552" priority="562" operator="greaterThan">
      <formula>0</formula>
    </cfRule>
  </conditionalFormatting>
  <conditionalFormatting sqref="G35">
    <cfRule type="cellIs" dxfId="551" priority="559" operator="lessThanOrEqual">
      <formula>0</formula>
    </cfRule>
    <cfRule type="cellIs" dxfId="550" priority="560" operator="greaterThan">
      <formula>0</formula>
    </cfRule>
  </conditionalFormatting>
  <conditionalFormatting sqref="G37">
    <cfRule type="cellIs" dxfId="549" priority="557" operator="lessThanOrEqual">
      <formula>0</formula>
    </cfRule>
    <cfRule type="cellIs" dxfId="548" priority="558" operator="greaterThan">
      <formula>0</formula>
    </cfRule>
  </conditionalFormatting>
  <conditionalFormatting sqref="G39">
    <cfRule type="cellIs" dxfId="547" priority="555" operator="lessThanOrEqual">
      <formula>0</formula>
    </cfRule>
    <cfRule type="cellIs" dxfId="546" priority="556" operator="greaterThan">
      <formula>0</formula>
    </cfRule>
  </conditionalFormatting>
  <conditionalFormatting sqref="G38">
    <cfRule type="cellIs" dxfId="545" priority="553" operator="lessThanOrEqual">
      <formula>0</formula>
    </cfRule>
    <cfRule type="cellIs" dxfId="544" priority="554" operator="greaterThan">
      <formula>0</formula>
    </cfRule>
  </conditionalFormatting>
  <conditionalFormatting sqref="G40">
    <cfRule type="cellIs" dxfId="543" priority="551" operator="lessThanOrEqual">
      <formula>0</formula>
    </cfRule>
    <cfRule type="cellIs" dxfId="542" priority="552" operator="greaterThan">
      <formula>0</formula>
    </cfRule>
  </conditionalFormatting>
  <conditionalFormatting sqref="G42">
    <cfRule type="cellIs" dxfId="541" priority="549" operator="lessThanOrEqual">
      <formula>0</formula>
    </cfRule>
    <cfRule type="cellIs" dxfId="540" priority="550" operator="greaterThan">
      <formula>0</formula>
    </cfRule>
  </conditionalFormatting>
  <conditionalFormatting sqref="G41">
    <cfRule type="cellIs" dxfId="539" priority="547" operator="lessThanOrEqual">
      <formula>0</formula>
    </cfRule>
    <cfRule type="cellIs" dxfId="538" priority="548" operator="greaterThan">
      <formula>0</formula>
    </cfRule>
  </conditionalFormatting>
  <conditionalFormatting sqref="G43">
    <cfRule type="cellIs" dxfId="537" priority="545" operator="lessThanOrEqual">
      <formula>0</formula>
    </cfRule>
    <cfRule type="cellIs" dxfId="536" priority="546" operator="greaterThan">
      <formula>0</formula>
    </cfRule>
  </conditionalFormatting>
  <conditionalFormatting sqref="G45">
    <cfRule type="cellIs" dxfId="535" priority="543" operator="lessThanOrEqual">
      <formula>0</formula>
    </cfRule>
    <cfRule type="cellIs" dxfId="534" priority="544" operator="greaterThan">
      <formula>0</formula>
    </cfRule>
  </conditionalFormatting>
  <conditionalFormatting sqref="G44">
    <cfRule type="cellIs" dxfId="533" priority="541" operator="lessThanOrEqual">
      <formula>0</formula>
    </cfRule>
    <cfRule type="cellIs" dxfId="532" priority="542" operator="greaterThan">
      <formula>0</formula>
    </cfRule>
  </conditionalFormatting>
  <conditionalFormatting sqref="G46">
    <cfRule type="cellIs" dxfId="531" priority="539" operator="lessThanOrEqual">
      <formula>0</formula>
    </cfRule>
    <cfRule type="cellIs" dxfId="530" priority="540" operator="greaterThan">
      <formula>0</formula>
    </cfRule>
  </conditionalFormatting>
  <conditionalFormatting sqref="G48">
    <cfRule type="cellIs" dxfId="529" priority="537" operator="lessThanOrEqual">
      <formula>0</formula>
    </cfRule>
    <cfRule type="cellIs" dxfId="528" priority="538" operator="greaterThan">
      <formula>0</formula>
    </cfRule>
  </conditionalFormatting>
  <conditionalFormatting sqref="G47">
    <cfRule type="cellIs" dxfId="527" priority="535" operator="lessThanOrEqual">
      <formula>0</formula>
    </cfRule>
    <cfRule type="cellIs" dxfId="526" priority="536" operator="greaterThan">
      <formula>0</formula>
    </cfRule>
  </conditionalFormatting>
  <conditionalFormatting sqref="G49">
    <cfRule type="cellIs" dxfId="525" priority="533" operator="lessThanOrEqual">
      <formula>0</formula>
    </cfRule>
    <cfRule type="cellIs" dxfId="524" priority="534" operator="greaterThan">
      <formula>0</formula>
    </cfRule>
  </conditionalFormatting>
  <conditionalFormatting sqref="G51">
    <cfRule type="cellIs" dxfId="523" priority="531" operator="lessThanOrEqual">
      <formula>0</formula>
    </cfRule>
    <cfRule type="cellIs" dxfId="522" priority="532" operator="greaterThan">
      <formula>0</formula>
    </cfRule>
  </conditionalFormatting>
  <conditionalFormatting sqref="G50">
    <cfRule type="cellIs" dxfId="521" priority="529" operator="lessThanOrEqual">
      <formula>0</formula>
    </cfRule>
    <cfRule type="cellIs" dxfId="520" priority="530" operator="greaterThan">
      <formula>0</formula>
    </cfRule>
  </conditionalFormatting>
  <conditionalFormatting sqref="G52">
    <cfRule type="cellIs" dxfId="519" priority="527" operator="lessThanOrEqual">
      <formula>0</formula>
    </cfRule>
    <cfRule type="cellIs" dxfId="518" priority="528" operator="greaterThan">
      <formula>0</formula>
    </cfRule>
  </conditionalFormatting>
  <conditionalFormatting sqref="G54">
    <cfRule type="cellIs" dxfId="517" priority="525" operator="lessThanOrEqual">
      <formula>0</formula>
    </cfRule>
    <cfRule type="cellIs" dxfId="516" priority="526" operator="greaterThan">
      <formula>0</formula>
    </cfRule>
  </conditionalFormatting>
  <conditionalFormatting sqref="G53">
    <cfRule type="cellIs" dxfId="515" priority="523" operator="lessThanOrEqual">
      <formula>0</formula>
    </cfRule>
    <cfRule type="cellIs" dxfId="514" priority="524" operator="greaterThan">
      <formula>0</formula>
    </cfRule>
  </conditionalFormatting>
  <conditionalFormatting sqref="G55">
    <cfRule type="cellIs" dxfId="513" priority="521" operator="lessThanOrEqual">
      <formula>0</formula>
    </cfRule>
    <cfRule type="cellIs" dxfId="512" priority="522" operator="greaterThan">
      <formula>0</formula>
    </cfRule>
  </conditionalFormatting>
  <conditionalFormatting sqref="G57">
    <cfRule type="cellIs" dxfId="511" priority="519" operator="lessThanOrEqual">
      <formula>0</formula>
    </cfRule>
    <cfRule type="cellIs" dxfId="510" priority="520" operator="greaterThan">
      <formula>0</formula>
    </cfRule>
  </conditionalFormatting>
  <conditionalFormatting sqref="G56">
    <cfRule type="cellIs" dxfId="509" priority="517" operator="lessThanOrEqual">
      <formula>0</formula>
    </cfRule>
    <cfRule type="cellIs" dxfId="508" priority="518" operator="greaterThan">
      <formula>0</formula>
    </cfRule>
  </conditionalFormatting>
  <conditionalFormatting sqref="G58">
    <cfRule type="cellIs" dxfId="507" priority="515" operator="lessThanOrEqual">
      <formula>0</formula>
    </cfRule>
    <cfRule type="cellIs" dxfId="506" priority="516" operator="greaterThan">
      <formula>0</formula>
    </cfRule>
  </conditionalFormatting>
  <conditionalFormatting sqref="G60">
    <cfRule type="cellIs" dxfId="505" priority="513" operator="lessThanOrEqual">
      <formula>0</formula>
    </cfRule>
    <cfRule type="cellIs" dxfId="504" priority="514" operator="greaterThan">
      <formula>0</formula>
    </cfRule>
  </conditionalFormatting>
  <conditionalFormatting sqref="G59">
    <cfRule type="cellIs" dxfId="503" priority="511" operator="lessThanOrEqual">
      <formula>0</formula>
    </cfRule>
    <cfRule type="cellIs" dxfId="502" priority="512" operator="greaterThan">
      <formula>0</formula>
    </cfRule>
  </conditionalFormatting>
  <conditionalFormatting sqref="G61">
    <cfRule type="cellIs" dxfId="501" priority="509" operator="lessThanOrEqual">
      <formula>0</formula>
    </cfRule>
    <cfRule type="cellIs" dxfId="500" priority="510" operator="greaterThan">
      <formula>0</formula>
    </cfRule>
  </conditionalFormatting>
  <conditionalFormatting sqref="G63">
    <cfRule type="cellIs" dxfId="499" priority="507" operator="lessThanOrEqual">
      <formula>0</formula>
    </cfRule>
    <cfRule type="cellIs" dxfId="498" priority="508" operator="greaterThan">
      <formula>0</formula>
    </cfRule>
  </conditionalFormatting>
  <conditionalFormatting sqref="G62">
    <cfRule type="cellIs" dxfId="497" priority="505" operator="lessThanOrEqual">
      <formula>0</formula>
    </cfRule>
    <cfRule type="cellIs" dxfId="496" priority="506" operator="greaterThan">
      <formula>0</formula>
    </cfRule>
  </conditionalFormatting>
  <conditionalFormatting sqref="G64">
    <cfRule type="cellIs" dxfId="495" priority="503" operator="lessThanOrEqual">
      <formula>0</formula>
    </cfRule>
    <cfRule type="cellIs" dxfId="494" priority="504" operator="greaterThan">
      <formula>0</formula>
    </cfRule>
  </conditionalFormatting>
  <conditionalFormatting sqref="G66">
    <cfRule type="cellIs" dxfId="493" priority="501" operator="lessThanOrEqual">
      <formula>0</formula>
    </cfRule>
    <cfRule type="cellIs" dxfId="492" priority="502" operator="greaterThan">
      <formula>0</formula>
    </cfRule>
  </conditionalFormatting>
  <conditionalFormatting sqref="G65">
    <cfRule type="cellIs" dxfId="491" priority="499" operator="lessThanOrEqual">
      <formula>0</formula>
    </cfRule>
    <cfRule type="cellIs" dxfId="490" priority="500" operator="greaterThan">
      <formula>0</formula>
    </cfRule>
  </conditionalFormatting>
  <conditionalFormatting sqref="G67">
    <cfRule type="cellIs" dxfId="489" priority="497" operator="lessThanOrEqual">
      <formula>0</formula>
    </cfRule>
    <cfRule type="cellIs" dxfId="488" priority="498" operator="greaterThan">
      <formula>0</formula>
    </cfRule>
  </conditionalFormatting>
  <conditionalFormatting sqref="G69">
    <cfRule type="cellIs" dxfId="487" priority="495" operator="lessThanOrEqual">
      <formula>0</formula>
    </cfRule>
    <cfRule type="cellIs" dxfId="486" priority="496" operator="greaterThan">
      <formula>0</formula>
    </cfRule>
  </conditionalFormatting>
  <conditionalFormatting sqref="G68">
    <cfRule type="cellIs" dxfId="485" priority="493" operator="lessThanOrEqual">
      <formula>0</formula>
    </cfRule>
    <cfRule type="cellIs" dxfId="484" priority="494" operator="greaterThan">
      <formula>0</formula>
    </cfRule>
  </conditionalFormatting>
  <conditionalFormatting sqref="G70">
    <cfRule type="cellIs" dxfId="483" priority="491" operator="lessThanOrEqual">
      <formula>0</formula>
    </cfRule>
    <cfRule type="cellIs" dxfId="482" priority="492" operator="greaterThan">
      <formula>0</formula>
    </cfRule>
  </conditionalFormatting>
  <conditionalFormatting sqref="G72">
    <cfRule type="cellIs" dxfId="481" priority="489" operator="lessThanOrEqual">
      <formula>0</formula>
    </cfRule>
    <cfRule type="cellIs" dxfId="480" priority="490" operator="greaterThan">
      <formula>0</formula>
    </cfRule>
  </conditionalFormatting>
  <conditionalFormatting sqref="G71">
    <cfRule type="cellIs" dxfId="479" priority="487" operator="lessThanOrEqual">
      <formula>0</formula>
    </cfRule>
    <cfRule type="cellIs" dxfId="478" priority="488" operator="greaterThan">
      <formula>0</formula>
    </cfRule>
  </conditionalFormatting>
  <conditionalFormatting sqref="G73">
    <cfRule type="cellIs" dxfId="477" priority="485" operator="lessThanOrEqual">
      <formula>0</formula>
    </cfRule>
    <cfRule type="cellIs" dxfId="476" priority="486" operator="greaterThan">
      <formula>0</formula>
    </cfRule>
  </conditionalFormatting>
  <conditionalFormatting sqref="G75">
    <cfRule type="cellIs" dxfId="475" priority="483" operator="lessThanOrEqual">
      <formula>0</formula>
    </cfRule>
    <cfRule type="cellIs" dxfId="474" priority="484" operator="greaterThan">
      <formula>0</formula>
    </cfRule>
  </conditionalFormatting>
  <conditionalFormatting sqref="G74">
    <cfRule type="cellIs" dxfId="473" priority="481" operator="lessThanOrEqual">
      <formula>0</formula>
    </cfRule>
    <cfRule type="cellIs" dxfId="472" priority="482" operator="greaterThan">
      <formula>0</formula>
    </cfRule>
  </conditionalFormatting>
  <conditionalFormatting sqref="G76">
    <cfRule type="cellIs" dxfId="471" priority="479" operator="lessThanOrEqual">
      <formula>0</formula>
    </cfRule>
    <cfRule type="cellIs" dxfId="470" priority="480" operator="greaterThan">
      <formula>0</formula>
    </cfRule>
  </conditionalFormatting>
  <conditionalFormatting sqref="G78">
    <cfRule type="cellIs" dxfId="469" priority="477" operator="lessThanOrEqual">
      <formula>0</formula>
    </cfRule>
    <cfRule type="cellIs" dxfId="468" priority="478" operator="greaterThan">
      <formula>0</formula>
    </cfRule>
  </conditionalFormatting>
  <conditionalFormatting sqref="G77">
    <cfRule type="cellIs" dxfId="467" priority="475" operator="lessThanOrEqual">
      <formula>0</formula>
    </cfRule>
    <cfRule type="cellIs" dxfId="466" priority="476" operator="greaterThan">
      <formula>0</formula>
    </cfRule>
  </conditionalFormatting>
  <conditionalFormatting sqref="G79">
    <cfRule type="cellIs" dxfId="465" priority="473" operator="lessThanOrEqual">
      <formula>0</formula>
    </cfRule>
    <cfRule type="cellIs" dxfId="464" priority="474" operator="greaterThan">
      <formula>0</formula>
    </cfRule>
  </conditionalFormatting>
  <conditionalFormatting sqref="G81">
    <cfRule type="cellIs" dxfId="463" priority="471" operator="lessThanOrEqual">
      <formula>0</formula>
    </cfRule>
    <cfRule type="cellIs" dxfId="462" priority="472" operator="greaterThan">
      <formula>0</formula>
    </cfRule>
  </conditionalFormatting>
  <conditionalFormatting sqref="G80">
    <cfRule type="cellIs" dxfId="461" priority="469" operator="lessThanOrEqual">
      <formula>0</formula>
    </cfRule>
    <cfRule type="cellIs" dxfId="460" priority="470" operator="greaterThan">
      <formula>0</formula>
    </cfRule>
  </conditionalFormatting>
  <conditionalFormatting sqref="G82">
    <cfRule type="cellIs" dxfId="459" priority="467" operator="lessThanOrEqual">
      <formula>0</formula>
    </cfRule>
    <cfRule type="cellIs" dxfId="458" priority="468" operator="greaterThan">
      <formula>0</formula>
    </cfRule>
  </conditionalFormatting>
  <conditionalFormatting sqref="G84">
    <cfRule type="cellIs" dxfId="457" priority="465" operator="lessThanOrEqual">
      <formula>0</formula>
    </cfRule>
    <cfRule type="cellIs" dxfId="456" priority="466" operator="greaterThan">
      <formula>0</formula>
    </cfRule>
  </conditionalFormatting>
  <conditionalFormatting sqref="G83">
    <cfRule type="cellIs" dxfId="455" priority="463" operator="lessThanOrEqual">
      <formula>0</formula>
    </cfRule>
    <cfRule type="cellIs" dxfId="454" priority="464" operator="greaterThan">
      <formula>0</formula>
    </cfRule>
  </conditionalFormatting>
  <conditionalFormatting sqref="G85">
    <cfRule type="cellIs" dxfId="453" priority="461" operator="lessThanOrEqual">
      <formula>0</formula>
    </cfRule>
    <cfRule type="cellIs" dxfId="452" priority="462" operator="greaterThan">
      <formula>0</formula>
    </cfRule>
  </conditionalFormatting>
  <conditionalFormatting sqref="G87">
    <cfRule type="cellIs" dxfId="451" priority="459" operator="lessThanOrEqual">
      <formula>0</formula>
    </cfRule>
    <cfRule type="cellIs" dxfId="450" priority="460" operator="greaterThan">
      <formula>0</formula>
    </cfRule>
  </conditionalFormatting>
  <conditionalFormatting sqref="G86">
    <cfRule type="cellIs" dxfId="449" priority="457" operator="lessThanOrEqual">
      <formula>0</formula>
    </cfRule>
    <cfRule type="cellIs" dxfId="448" priority="458" operator="greaterThan">
      <formula>0</formula>
    </cfRule>
  </conditionalFormatting>
  <conditionalFormatting sqref="G88">
    <cfRule type="cellIs" dxfId="447" priority="455" operator="lessThanOrEqual">
      <formula>0</formula>
    </cfRule>
    <cfRule type="cellIs" dxfId="446" priority="456" operator="greaterThan">
      <formula>0</formula>
    </cfRule>
  </conditionalFormatting>
  <conditionalFormatting sqref="G90">
    <cfRule type="cellIs" dxfId="445" priority="453" operator="lessThanOrEqual">
      <formula>0</formula>
    </cfRule>
    <cfRule type="cellIs" dxfId="444" priority="454" operator="greaterThan">
      <formula>0</formula>
    </cfRule>
  </conditionalFormatting>
  <conditionalFormatting sqref="G89">
    <cfRule type="cellIs" dxfId="443" priority="451" operator="lessThanOrEqual">
      <formula>0</formula>
    </cfRule>
    <cfRule type="cellIs" dxfId="442" priority="452" operator="greaterThan">
      <formula>0</formula>
    </cfRule>
  </conditionalFormatting>
  <conditionalFormatting sqref="G91">
    <cfRule type="cellIs" dxfId="441" priority="449" operator="lessThanOrEqual">
      <formula>0</formula>
    </cfRule>
    <cfRule type="cellIs" dxfId="440" priority="450" operator="greaterThan">
      <formula>0</formula>
    </cfRule>
  </conditionalFormatting>
  <conditionalFormatting sqref="G93">
    <cfRule type="cellIs" dxfId="439" priority="447" operator="lessThanOrEqual">
      <formula>0</formula>
    </cfRule>
    <cfRule type="cellIs" dxfId="438" priority="448" operator="greaterThan">
      <formula>0</formula>
    </cfRule>
  </conditionalFormatting>
  <conditionalFormatting sqref="G92">
    <cfRule type="cellIs" dxfId="437" priority="445" operator="lessThanOrEqual">
      <formula>0</formula>
    </cfRule>
    <cfRule type="cellIs" dxfId="436" priority="446" operator="greaterThan">
      <formula>0</formula>
    </cfRule>
  </conditionalFormatting>
  <conditionalFormatting sqref="G94">
    <cfRule type="cellIs" dxfId="435" priority="443" operator="lessThanOrEqual">
      <formula>0</formula>
    </cfRule>
    <cfRule type="cellIs" dxfId="434" priority="444" operator="greaterThan">
      <formula>0</formula>
    </cfRule>
  </conditionalFormatting>
  <conditionalFormatting sqref="G96">
    <cfRule type="cellIs" dxfId="433" priority="441" operator="lessThanOrEqual">
      <formula>0</formula>
    </cfRule>
    <cfRule type="cellIs" dxfId="432" priority="442" operator="greaterThan">
      <formula>0</formula>
    </cfRule>
  </conditionalFormatting>
  <conditionalFormatting sqref="G95">
    <cfRule type="cellIs" dxfId="431" priority="439" operator="lessThanOrEqual">
      <formula>0</formula>
    </cfRule>
    <cfRule type="cellIs" dxfId="430" priority="440" operator="greaterThan">
      <formula>0</formula>
    </cfRule>
  </conditionalFormatting>
  <conditionalFormatting sqref="G97">
    <cfRule type="cellIs" dxfId="429" priority="437" operator="lessThanOrEqual">
      <formula>0</formula>
    </cfRule>
    <cfRule type="cellIs" dxfId="428" priority="438" operator="greaterThan">
      <formula>0</formula>
    </cfRule>
  </conditionalFormatting>
  <conditionalFormatting sqref="G99">
    <cfRule type="cellIs" dxfId="427" priority="435" operator="lessThanOrEqual">
      <formula>0</formula>
    </cfRule>
    <cfRule type="cellIs" dxfId="426" priority="436" operator="greaterThan">
      <formula>0</formula>
    </cfRule>
  </conditionalFormatting>
  <conditionalFormatting sqref="G98">
    <cfRule type="cellIs" dxfId="425" priority="433" operator="lessThanOrEqual">
      <formula>0</formula>
    </cfRule>
    <cfRule type="cellIs" dxfId="424" priority="434" operator="greaterThan">
      <formula>0</formula>
    </cfRule>
  </conditionalFormatting>
  <conditionalFormatting sqref="G100">
    <cfRule type="cellIs" dxfId="423" priority="431" operator="lessThanOrEqual">
      <formula>0</formula>
    </cfRule>
    <cfRule type="cellIs" dxfId="422" priority="432" operator="greaterThan">
      <formula>0</formula>
    </cfRule>
  </conditionalFormatting>
  <conditionalFormatting sqref="G102">
    <cfRule type="cellIs" dxfId="421" priority="429" operator="lessThanOrEqual">
      <formula>0</formula>
    </cfRule>
    <cfRule type="cellIs" dxfId="420" priority="430" operator="greaterThan">
      <formula>0</formula>
    </cfRule>
  </conditionalFormatting>
  <conditionalFormatting sqref="G101">
    <cfRule type="cellIs" dxfId="419" priority="427" operator="lessThanOrEqual">
      <formula>0</formula>
    </cfRule>
    <cfRule type="cellIs" dxfId="418" priority="428" operator="greaterThan">
      <formula>0</formula>
    </cfRule>
  </conditionalFormatting>
  <conditionalFormatting sqref="G103">
    <cfRule type="cellIs" dxfId="417" priority="425" operator="lessThanOrEqual">
      <formula>0</formula>
    </cfRule>
    <cfRule type="cellIs" dxfId="416" priority="426" operator="greaterThan">
      <formula>0</formula>
    </cfRule>
  </conditionalFormatting>
  <conditionalFormatting sqref="G105">
    <cfRule type="cellIs" dxfId="415" priority="423" operator="lessThanOrEqual">
      <formula>0</formula>
    </cfRule>
    <cfRule type="cellIs" dxfId="414" priority="424" operator="greaterThan">
      <formula>0</formula>
    </cfRule>
  </conditionalFormatting>
  <conditionalFormatting sqref="G104">
    <cfRule type="cellIs" dxfId="413" priority="421" operator="lessThanOrEqual">
      <formula>0</formula>
    </cfRule>
    <cfRule type="cellIs" dxfId="412" priority="422" operator="greaterThan">
      <formula>0</formula>
    </cfRule>
  </conditionalFormatting>
  <conditionalFormatting sqref="G106">
    <cfRule type="cellIs" dxfId="411" priority="419" operator="lessThanOrEqual">
      <formula>0</formula>
    </cfRule>
    <cfRule type="cellIs" dxfId="410" priority="420" operator="greaterThan">
      <formula>0</formula>
    </cfRule>
  </conditionalFormatting>
  <conditionalFormatting sqref="G108">
    <cfRule type="cellIs" dxfId="409" priority="417" operator="lessThanOrEqual">
      <formula>0</formula>
    </cfRule>
    <cfRule type="cellIs" dxfId="408" priority="418" operator="greaterThan">
      <formula>0</formula>
    </cfRule>
  </conditionalFormatting>
  <conditionalFormatting sqref="G107">
    <cfRule type="cellIs" dxfId="407" priority="415" operator="lessThanOrEqual">
      <formula>0</formula>
    </cfRule>
    <cfRule type="cellIs" dxfId="406" priority="416" operator="greaterThan">
      <formula>0</formula>
    </cfRule>
  </conditionalFormatting>
  <conditionalFormatting sqref="G109">
    <cfRule type="cellIs" dxfId="405" priority="407" operator="lessThanOrEqual">
      <formula>0</formula>
    </cfRule>
    <cfRule type="cellIs" dxfId="404" priority="408" operator="greaterThan">
      <formula>0</formula>
    </cfRule>
  </conditionalFormatting>
  <conditionalFormatting sqref="G111">
    <cfRule type="cellIs" dxfId="403" priority="405" operator="lessThanOrEqual">
      <formula>0</formula>
    </cfRule>
    <cfRule type="cellIs" dxfId="402" priority="406" operator="greaterThan">
      <formula>0</formula>
    </cfRule>
  </conditionalFormatting>
  <conditionalFormatting sqref="G110">
    <cfRule type="cellIs" dxfId="401" priority="403" operator="lessThanOrEqual">
      <formula>0</formula>
    </cfRule>
    <cfRule type="cellIs" dxfId="400" priority="404" operator="greaterThan">
      <formula>0</formula>
    </cfRule>
  </conditionalFormatting>
  <conditionalFormatting sqref="G112">
    <cfRule type="cellIs" dxfId="399" priority="401" operator="lessThanOrEqual">
      <formula>0</formula>
    </cfRule>
    <cfRule type="cellIs" dxfId="398" priority="402" operator="greaterThan">
      <formula>0</formula>
    </cfRule>
  </conditionalFormatting>
  <conditionalFormatting sqref="G114">
    <cfRule type="cellIs" dxfId="397" priority="399" operator="lessThanOrEqual">
      <formula>0</formula>
    </cfRule>
    <cfRule type="cellIs" dxfId="396" priority="400" operator="greaterThan">
      <formula>0</formula>
    </cfRule>
  </conditionalFormatting>
  <conditionalFormatting sqref="G113">
    <cfRule type="cellIs" dxfId="395" priority="397" operator="lessThanOrEqual">
      <formula>0</formula>
    </cfRule>
    <cfRule type="cellIs" dxfId="394" priority="398" operator="greaterThan">
      <formula>0</formula>
    </cfRule>
  </conditionalFormatting>
  <conditionalFormatting sqref="G115">
    <cfRule type="cellIs" dxfId="393" priority="395" operator="lessThanOrEqual">
      <formula>0</formula>
    </cfRule>
    <cfRule type="cellIs" dxfId="392" priority="396" operator="greaterThan">
      <formula>0</formula>
    </cfRule>
  </conditionalFormatting>
  <conditionalFormatting sqref="G117">
    <cfRule type="cellIs" dxfId="391" priority="393" operator="lessThanOrEqual">
      <formula>0</formula>
    </cfRule>
    <cfRule type="cellIs" dxfId="390" priority="394" operator="greaterThan">
      <formula>0</formula>
    </cfRule>
  </conditionalFormatting>
  <conditionalFormatting sqref="G116">
    <cfRule type="cellIs" dxfId="389" priority="391" operator="lessThanOrEqual">
      <formula>0</formula>
    </cfRule>
    <cfRule type="cellIs" dxfId="388" priority="392" operator="greaterThan">
      <formula>0</formula>
    </cfRule>
  </conditionalFormatting>
  <conditionalFormatting sqref="G118">
    <cfRule type="cellIs" dxfId="387" priority="389" operator="lessThanOrEqual">
      <formula>0</formula>
    </cfRule>
    <cfRule type="cellIs" dxfId="386" priority="390" operator="greaterThan">
      <formula>0</formula>
    </cfRule>
  </conditionalFormatting>
  <conditionalFormatting sqref="G120">
    <cfRule type="cellIs" dxfId="385" priority="387" operator="lessThanOrEqual">
      <formula>0</formula>
    </cfRule>
    <cfRule type="cellIs" dxfId="384" priority="388" operator="greaterThan">
      <formula>0</formula>
    </cfRule>
  </conditionalFormatting>
  <conditionalFormatting sqref="G119">
    <cfRule type="cellIs" dxfId="383" priority="385" operator="lessThanOrEqual">
      <formula>0</formula>
    </cfRule>
    <cfRule type="cellIs" dxfId="382" priority="386" operator="greaterThan">
      <formula>0</formula>
    </cfRule>
  </conditionalFormatting>
  <conditionalFormatting sqref="G121">
    <cfRule type="cellIs" dxfId="381" priority="383" operator="lessThanOrEqual">
      <formula>0</formula>
    </cfRule>
    <cfRule type="cellIs" dxfId="380" priority="384" operator="greaterThan">
      <formula>0</formula>
    </cfRule>
  </conditionalFormatting>
  <conditionalFormatting sqref="G123">
    <cfRule type="cellIs" dxfId="379" priority="381" operator="lessThanOrEqual">
      <formula>0</formula>
    </cfRule>
    <cfRule type="cellIs" dxfId="378" priority="382" operator="greaterThan">
      <formula>0</formula>
    </cfRule>
  </conditionalFormatting>
  <conditionalFormatting sqref="G122">
    <cfRule type="cellIs" dxfId="377" priority="379" operator="lessThanOrEqual">
      <formula>0</formula>
    </cfRule>
    <cfRule type="cellIs" dxfId="376" priority="380" operator="greaterThan">
      <formula>0</formula>
    </cfRule>
  </conditionalFormatting>
  <conditionalFormatting sqref="G124">
    <cfRule type="cellIs" dxfId="375" priority="377" operator="lessThanOrEqual">
      <formula>0</formula>
    </cfRule>
    <cfRule type="cellIs" dxfId="374" priority="378" operator="greaterThan">
      <formula>0</formula>
    </cfRule>
  </conditionalFormatting>
  <conditionalFormatting sqref="G126">
    <cfRule type="cellIs" dxfId="373" priority="375" operator="lessThanOrEqual">
      <formula>0</formula>
    </cfRule>
    <cfRule type="cellIs" dxfId="372" priority="376" operator="greaterThan">
      <formula>0</formula>
    </cfRule>
  </conditionalFormatting>
  <conditionalFormatting sqref="G125">
    <cfRule type="cellIs" dxfId="371" priority="373" operator="lessThanOrEqual">
      <formula>0</formula>
    </cfRule>
    <cfRule type="cellIs" dxfId="370" priority="374" operator="greaterThan">
      <formula>0</formula>
    </cfRule>
  </conditionalFormatting>
  <conditionalFormatting sqref="G127">
    <cfRule type="cellIs" dxfId="369" priority="371" operator="lessThanOrEqual">
      <formula>0</formula>
    </cfRule>
    <cfRule type="cellIs" dxfId="368" priority="372" operator="greaterThan">
      <formula>0</formula>
    </cfRule>
  </conditionalFormatting>
  <conditionalFormatting sqref="G129">
    <cfRule type="cellIs" dxfId="367" priority="369" operator="lessThanOrEqual">
      <formula>0</formula>
    </cfRule>
    <cfRule type="cellIs" dxfId="366" priority="370" operator="greaterThan">
      <formula>0</formula>
    </cfRule>
  </conditionalFormatting>
  <conditionalFormatting sqref="G128">
    <cfRule type="cellIs" dxfId="365" priority="367" operator="lessThanOrEqual">
      <formula>0</formula>
    </cfRule>
    <cfRule type="cellIs" dxfId="364" priority="368" operator="greaterThan">
      <formula>0</formula>
    </cfRule>
  </conditionalFormatting>
  <conditionalFormatting sqref="G130">
    <cfRule type="cellIs" dxfId="363" priority="365" operator="lessThanOrEqual">
      <formula>0</formula>
    </cfRule>
    <cfRule type="cellIs" dxfId="362" priority="366" operator="greaterThan">
      <formula>0</formula>
    </cfRule>
  </conditionalFormatting>
  <conditionalFormatting sqref="G132">
    <cfRule type="cellIs" dxfId="361" priority="363" operator="lessThanOrEqual">
      <formula>0</formula>
    </cfRule>
    <cfRule type="cellIs" dxfId="360" priority="364" operator="greaterThan">
      <formula>0</formula>
    </cfRule>
  </conditionalFormatting>
  <conditionalFormatting sqref="G131">
    <cfRule type="cellIs" dxfId="359" priority="361" operator="lessThanOrEqual">
      <formula>0</formula>
    </cfRule>
    <cfRule type="cellIs" dxfId="358" priority="362" operator="greaterThan">
      <formula>0</formula>
    </cfRule>
  </conditionalFormatting>
  <conditionalFormatting sqref="G133">
    <cfRule type="cellIs" dxfId="357" priority="359" operator="lessThanOrEqual">
      <formula>0</formula>
    </cfRule>
    <cfRule type="cellIs" dxfId="356" priority="360" operator="greaterThan">
      <formula>0</formula>
    </cfRule>
  </conditionalFormatting>
  <conditionalFormatting sqref="G135">
    <cfRule type="cellIs" dxfId="355" priority="357" operator="lessThanOrEqual">
      <formula>0</formula>
    </cfRule>
    <cfRule type="cellIs" dxfId="354" priority="358" operator="greaterThan">
      <formula>0</formula>
    </cfRule>
  </conditionalFormatting>
  <conditionalFormatting sqref="G134">
    <cfRule type="cellIs" dxfId="353" priority="355" operator="lessThanOrEqual">
      <formula>0</formula>
    </cfRule>
    <cfRule type="cellIs" dxfId="352" priority="356" operator="greaterThan">
      <formula>0</formula>
    </cfRule>
  </conditionalFormatting>
  <conditionalFormatting sqref="G136">
    <cfRule type="cellIs" dxfId="351" priority="353" operator="lessThanOrEqual">
      <formula>0</formula>
    </cfRule>
    <cfRule type="cellIs" dxfId="350" priority="354" operator="greaterThan">
      <formula>0</formula>
    </cfRule>
  </conditionalFormatting>
  <conditionalFormatting sqref="G138">
    <cfRule type="cellIs" dxfId="349" priority="351" operator="lessThanOrEqual">
      <formula>0</formula>
    </cfRule>
    <cfRule type="cellIs" dxfId="348" priority="352" operator="greaterThan">
      <formula>0</formula>
    </cfRule>
  </conditionalFormatting>
  <conditionalFormatting sqref="G137">
    <cfRule type="cellIs" dxfId="347" priority="349" operator="lessThanOrEqual">
      <formula>0</formula>
    </cfRule>
    <cfRule type="cellIs" dxfId="346" priority="350" operator="greaterThan">
      <formula>0</formula>
    </cfRule>
  </conditionalFormatting>
  <conditionalFormatting sqref="G139">
    <cfRule type="cellIs" dxfId="345" priority="347" operator="lessThanOrEqual">
      <formula>0</formula>
    </cfRule>
    <cfRule type="cellIs" dxfId="344" priority="348" operator="greaterThan">
      <formula>0</formula>
    </cfRule>
  </conditionalFormatting>
  <conditionalFormatting sqref="G141">
    <cfRule type="cellIs" dxfId="343" priority="345" operator="lessThanOrEqual">
      <formula>0</formula>
    </cfRule>
    <cfRule type="cellIs" dxfId="342" priority="346" operator="greaterThan">
      <formula>0</formula>
    </cfRule>
  </conditionalFormatting>
  <conditionalFormatting sqref="G140">
    <cfRule type="cellIs" dxfId="341" priority="343" operator="lessThanOrEqual">
      <formula>0</formula>
    </cfRule>
    <cfRule type="cellIs" dxfId="340" priority="344" operator="greaterThan">
      <formula>0</formula>
    </cfRule>
  </conditionalFormatting>
  <conditionalFormatting sqref="G142">
    <cfRule type="cellIs" dxfId="339" priority="341" operator="lessThanOrEqual">
      <formula>0</formula>
    </cfRule>
    <cfRule type="cellIs" dxfId="338" priority="342" operator="greaterThan">
      <formula>0</formula>
    </cfRule>
  </conditionalFormatting>
  <conditionalFormatting sqref="G144">
    <cfRule type="cellIs" dxfId="337" priority="339" operator="lessThanOrEqual">
      <formula>0</formula>
    </cfRule>
    <cfRule type="cellIs" dxfId="336" priority="340" operator="greaterThan">
      <formula>0</formula>
    </cfRule>
  </conditionalFormatting>
  <conditionalFormatting sqref="G143">
    <cfRule type="cellIs" dxfId="335" priority="337" operator="lessThanOrEqual">
      <formula>0</formula>
    </cfRule>
    <cfRule type="cellIs" dxfId="334" priority="338" operator="greaterThan">
      <formula>0</formula>
    </cfRule>
  </conditionalFormatting>
  <conditionalFormatting sqref="G145">
    <cfRule type="cellIs" dxfId="333" priority="335" operator="lessThanOrEqual">
      <formula>0</formula>
    </cfRule>
    <cfRule type="cellIs" dxfId="332" priority="336" operator="greaterThan">
      <formula>0</formula>
    </cfRule>
  </conditionalFormatting>
  <conditionalFormatting sqref="G147">
    <cfRule type="cellIs" dxfId="331" priority="333" operator="lessThanOrEqual">
      <formula>0</formula>
    </cfRule>
    <cfRule type="cellIs" dxfId="330" priority="334" operator="greaterThan">
      <formula>0</formula>
    </cfRule>
  </conditionalFormatting>
  <conditionalFormatting sqref="G146">
    <cfRule type="cellIs" dxfId="329" priority="331" operator="lessThanOrEqual">
      <formula>0</formula>
    </cfRule>
    <cfRule type="cellIs" dxfId="328" priority="332" operator="greaterThan">
      <formula>0</formula>
    </cfRule>
  </conditionalFormatting>
  <conditionalFormatting sqref="G148">
    <cfRule type="cellIs" dxfId="327" priority="329" operator="lessThanOrEqual">
      <formula>0</formula>
    </cfRule>
    <cfRule type="cellIs" dxfId="326" priority="330" operator="greaterThan">
      <formula>0</formula>
    </cfRule>
  </conditionalFormatting>
  <conditionalFormatting sqref="G150">
    <cfRule type="cellIs" dxfId="325" priority="327" operator="lessThanOrEqual">
      <formula>0</formula>
    </cfRule>
    <cfRule type="cellIs" dxfId="324" priority="328" operator="greaterThan">
      <formula>0</formula>
    </cfRule>
  </conditionalFormatting>
  <conditionalFormatting sqref="G149">
    <cfRule type="cellIs" dxfId="323" priority="325" operator="lessThanOrEqual">
      <formula>0</formula>
    </cfRule>
    <cfRule type="cellIs" dxfId="322" priority="326" operator="greaterThan">
      <formula>0</formula>
    </cfRule>
  </conditionalFormatting>
  <conditionalFormatting sqref="G151">
    <cfRule type="cellIs" dxfId="321" priority="323" operator="lessThanOrEqual">
      <formula>0</formula>
    </cfRule>
    <cfRule type="cellIs" dxfId="320" priority="324" operator="greaterThan">
      <formula>0</formula>
    </cfRule>
  </conditionalFormatting>
  <conditionalFormatting sqref="G153">
    <cfRule type="cellIs" dxfId="319" priority="321" operator="lessThanOrEqual">
      <formula>0</formula>
    </cfRule>
    <cfRule type="cellIs" dxfId="318" priority="322" operator="greaterThan">
      <formula>0</formula>
    </cfRule>
  </conditionalFormatting>
  <conditionalFormatting sqref="G152">
    <cfRule type="cellIs" dxfId="317" priority="319" operator="lessThanOrEqual">
      <formula>0</formula>
    </cfRule>
    <cfRule type="cellIs" dxfId="316" priority="320" operator="greaterThan">
      <formula>0</formula>
    </cfRule>
  </conditionalFormatting>
  <conditionalFormatting sqref="G154">
    <cfRule type="cellIs" dxfId="315" priority="317" operator="lessThanOrEqual">
      <formula>0</formula>
    </cfRule>
    <cfRule type="cellIs" dxfId="314" priority="318" operator="greaterThan">
      <formula>0</formula>
    </cfRule>
  </conditionalFormatting>
  <conditionalFormatting sqref="G156">
    <cfRule type="cellIs" dxfId="313" priority="315" operator="lessThanOrEqual">
      <formula>0</formula>
    </cfRule>
    <cfRule type="cellIs" dxfId="312" priority="316" operator="greaterThan">
      <formula>0</formula>
    </cfRule>
  </conditionalFormatting>
  <conditionalFormatting sqref="G155">
    <cfRule type="cellIs" dxfId="311" priority="313" operator="lessThanOrEqual">
      <formula>0</formula>
    </cfRule>
    <cfRule type="cellIs" dxfId="310" priority="314" operator="greaterThan">
      <formula>0</formula>
    </cfRule>
  </conditionalFormatting>
  <conditionalFormatting sqref="G157">
    <cfRule type="cellIs" dxfId="309" priority="311" operator="lessThanOrEqual">
      <formula>0</formula>
    </cfRule>
    <cfRule type="cellIs" dxfId="308" priority="312" operator="greaterThan">
      <formula>0</formula>
    </cfRule>
  </conditionalFormatting>
  <conditionalFormatting sqref="G159">
    <cfRule type="cellIs" dxfId="307" priority="309" operator="lessThanOrEqual">
      <formula>0</formula>
    </cfRule>
    <cfRule type="cellIs" dxfId="306" priority="310" operator="greaterThan">
      <formula>0</formula>
    </cfRule>
  </conditionalFormatting>
  <conditionalFormatting sqref="G158">
    <cfRule type="cellIs" dxfId="305" priority="307" operator="lessThanOrEqual">
      <formula>0</formula>
    </cfRule>
    <cfRule type="cellIs" dxfId="304" priority="308" operator="greaterThan">
      <formula>0</formula>
    </cfRule>
  </conditionalFormatting>
  <conditionalFormatting sqref="G160">
    <cfRule type="cellIs" dxfId="303" priority="305" operator="lessThanOrEqual">
      <formula>0</formula>
    </cfRule>
    <cfRule type="cellIs" dxfId="302" priority="306" operator="greaterThan">
      <formula>0</formula>
    </cfRule>
  </conditionalFormatting>
  <conditionalFormatting sqref="G162">
    <cfRule type="cellIs" dxfId="301" priority="303" operator="lessThanOrEqual">
      <formula>0</formula>
    </cfRule>
    <cfRule type="cellIs" dxfId="300" priority="304" operator="greaterThan">
      <formula>0</formula>
    </cfRule>
  </conditionalFormatting>
  <conditionalFormatting sqref="G161">
    <cfRule type="cellIs" dxfId="299" priority="301" operator="lessThanOrEqual">
      <formula>0</formula>
    </cfRule>
    <cfRule type="cellIs" dxfId="298" priority="302" operator="greaterThan">
      <formula>0</formula>
    </cfRule>
  </conditionalFormatting>
  <conditionalFormatting sqref="G163">
    <cfRule type="cellIs" dxfId="297" priority="299" operator="lessThanOrEqual">
      <formula>0</formula>
    </cfRule>
    <cfRule type="cellIs" dxfId="296" priority="300" operator="greaterThan">
      <formula>0</formula>
    </cfRule>
  </conditionalFormatting>
  <conditionalFormatting sqref="G165">
    <cfRule type="cellIs" dxfId="295" priority="297" operator="lessThanOrEqual">
      <formula>0</formula>
    </cfRule>
    <cfRule type="cellIs" dxfId="294" priority="298" operator="greaterThan">
      <formula>0</formula>
    </cfRule>
  </conditionalFormatting>
  <conditionalFormatting sqref="G164">
    <cfRule type="cellIs" dxfId="293" priority="295" operator="lessThanOrEqual">
      <formula>0</formula>
    </cfRule>
    <cfRule type="cellIs" dxfId="292" priority="296" operator="greaterThan">
      <formula>0</formula>
    </cfRule>
  </conditionalFormatting>
  <conditionalFormatting sqref="G166">
    <cfRule type="cellIs" dxfId="291" priority="293" operator="lessThanOrEqual">
      <formula>0</formula>
    </cfRule>
    <cfRule type="cellIs" dxfId="290" priority="294" operator="greaterThan">
      <formula>0</formula>
    </cfRule>
  </conditionalFormatting>
  <conditionalFormatting sqref="G168">
    <cfRule type="cellIs" dxfId="289" priority="291" operator="lessThanOrEqual">
      <formula>0</formula>
    </cfRule>
    <cfRule type="cellIs" dxfId="288" priority="292" operator="greaterThan">
      <formula>0</formula>
    </cfRule>
  </conditionalFormatting>
  <conditionalFormatting sqref="G167">
    <cfRule type="cellIs" dxfId="287" priority="289" operator="lessThanOrEqual">
      <formula>0</formula>
    </cfRule>
    <cfRule type="cellIs" dxfId="286" priority="290" operator="greaterThan">
      <formula>0</formula>
    </cfRule>
  </conditionalFormatting>
  <conditionalFormatting sqref="G169">
    <cfRule type="cellIs" dxfId="285" priority="287" operator="lessThanOrEqual">
      <formula>0</formula>
    </cfRule>
    <cfRule type="cellIs" dxfId="284" priority="288" operator="greaterThan">
      <formula>0</formula>
    </cfRule>
  </conditionalFormatting>
  <conditionalFormatting sqref="G171">
    <cfRule type="cellIs" dxfId="283" priority="285" operator="lessThanOrEqual">
      <formula>0</formula>
    </cfRule>
    <cfRule type="cellIs" dxfId="282" priority="286" operator="greaterThan">
      <formula>0</formula>
    </cfRule>
  </conditionalFormatting>
  <conditionalFormatting sqref="G170">
    <cfRule type="cellIs" dxfId="281" priority="283" operator="lessThanOrEqual">
      <formula>0</formula>
    </cfRule>
    <cfRule type="cellIs" dxfId="280" priority="284" operator="greaterThan">
      <formula>0</formula>
    </cfRule>
  </conditionalFormatting>
  <conditionalFormatting sqref="G172">
    <cfRule type="cellIs" dxfId="279" priority="281" operator="lessThanOrEqual">
      <formula>0</formula>
    </cfRule>
    <cfRule type="cellIs" dxfId="278" priority="282" operator="greaterThan">
      <formula>0</formula>
    </cfRule>
  </conditionalFormatting>
  <conditionalFormatting sqref="G174">
    <cfRule type="cellIs" dxfId="277" priority="279" operator="lessThanOrEqual">
      <formula>0</formula>
    </cfRule>
    <cfRule type="cellIs" dxfId="276" priority="280" operator="greaterThan">
      <formula>0</formula>
    </cfRule>
  </conditionalFormatting>
  <conditionalFormatting sqref="G173">
    <cfRule type="cellIs" dxfId="275" priority="277" operator="lessThanOrEqual">
      <formula>0</formula>
    </cfRule>
    <cfRule type="cellIs" dxfId="274" priority="278" operator="greaterThan">
      <formula>0</formula>
    </cfRule>
  </conditionalFormatting>
  <conditionalFormatting sqref="G175">
    <cfRule type="cellIs" dxfId="273" priority="275" operator="lessThanOrEqual">
      <formula>0</formula>
    </cfRule>
    <cfRule type="cellIs" dxfId="272" priority="276" operator="greaterThan">
      <formula>0</formula>
    </cfRule>
  </conditionalFormatting>
  <conditionalFormatting sqref="G177">
    <cfRule type="cellIs" dxfId="271" priority="273" operator="lessThanOrEqual">
      <formula>0</formula>
    </cfRule>
    <cfRule type="cellIs" dxfId="270" priority="274" operator="greaterThan">
      <formula>0</formula>
    </cfRule>
  </conditionalFormatting>
  <conditionalFormatting sqref="G176">
    <cfRule type="cellIs" dxfId="269" priority="271" operator="lessThanOrEqual">
      <formula>0</formula>
    </cfRule>
    <cfRule type="cellIs" dxfId="268" priority="272" operator="greaterThan">
      <formula>0</formula>
    </cfRule>
  </conditionalFormatting>
  <conditionalFormatting sqref="G178">
    <cfRule type="cellIs" dxfId="267" priority="269" operator="lessThanOrEqual">
      <formula>0</formula>
    </cfRule>
    <cfRule type="cellIs" dxfId="266" priority="270" operator="greaterThan">
      <formula>0</formula>
    </cfRule>
  </conditionalFormatting>
  <conditionalFormatting sqref="G180">
    <cfRule type="cellIs" dxfId="265" priority="267" operator="lessThanOrEqual">
      <formula>0</formula>
    </cfRule>
    <cfRule type="cellIs" dxfId="264" priority="268" operator="greaterThan">
      <formula>0</formula>
    </cfRule>
  </conditionalFormatting>
  <conditionalFormatting sqref="G179">
    <cfRule type="cellIs" dxfId="263" priority="265" operator="lessThanOrEqual">
      <formula>0</formula>
    </cfRule>
    <cfRule type="cellIs" dxfId="262" priority="266" operator="greaterThan">
      <formula>0</formula>
    </cfRule>
  </conditionalFormatting>
  <conditionalFormatting sqref="G181">
    <cfRule type="cellIs" dxfId="261" priority="263" operator="lessThanOrEqual">
      <formula>0</formula>
    </cfRule>
    <cfRule type="cellIs" dxfId="260" priority="264" operator="greaterThan">
      <formula>0</formula>
    </cfRule>
  </conditionalFormatting>
  <conditionalFormatting sqref="G183">
    <cfRule type="cellIs" dxfId="259" priority="261" operator="lessThanOrEqual">
      <formula>0</formula>
    </cfRule>
    <cfRule type="cellIs" dxfId="258" priority="262" operator="greaterThan">
      <formula>0</formula>
    </cfRule>
  </conditionalFormatting>
  <conditionalFormatting sqref="G182">
    <cfRule type="cellIs" dxfId="257" priority="259" operator="lessThanOrEqual">
      <formula>0</formula>
    </cfRule>
    <cfRule type="cellIs" dxfId="256" priority="260" operator="greaterThan">
      <formula>0</formula>
    </cfRule>
  </conditionalFormatting>
  <conditionalFormatting sqref="G184">
    <cfRule type="cellIs" dxfId="255" priority="257" operator="lessThanOrEqual">
      <formula>0</formula>
    </cfRule>
    <cfRule type="cellIs" dxfId="254" priority="258" operator="greaterThan">
      <formula>0</formula>
    </cfRule>
  </conditionalFormatting>
  <conditionalFormatting sqref="G186">
    <cfRule type="cellIs" dxfId="253" priority="255" operator="lessThanOrEqual">
      <formula>0</formula>
    </cfRule>
    <cfRule type="cellIs" dxfId="252" priority="256" operator="greaterThan">
      <formula>0</formula>
    </cfRule>
  </conditionalFormatting>
  <conditionalFormatting sqref="G185">
    <cfRule type="cellIs" dxfId="251" priority="253" operator="lessThanOrEqual">
      <formula>0</formula>
    </cfRule>
    <cfRule type="cellIs" dxfId="250" priority="254" operator="greaterThan">
      <formula>0</formula>
    </cfRule>
  </conditionalFormatting>
  <conditionalFormatting sqref="G187">
    <cfRule type="cellIs" dxfId="249" priority="245" operator="lessThanOrEqual">
      <formula>0</formula>
    </cfRule>
    <cfRule type="cellIs" dxfId="248" priority="246" operator="greaterThan">
      <formula>0</formula>
    </cfRule>
  </conditionalFormatting>
  <conditionalFormatting sqref="G189">
    <cfRule type="cellIs" dxfId="247" priority="243" operator="lessThanOrEqual">
      <formula>0</formula>
    </cfRule>
    <cfRule type="cellIs" dxfId="246" priority="244" operator="greaterThan">
      <formula>0</formula>
    </cfRule>
  </conditionalFormatting>
  <conditionalFormatting sqref="G188">
    <cfRule type="cellIs" dxfId="245" priority="241" operator="lessThanOrEqual">
      <formula>0</formula>
    </cfRule>
    <cfRule type="cellIs" dxfId="244" priority="242" operator="greaterThan">
      <formula>0</formula>
    </cfRule>
  </conditionalFormatting>
  <conditionalFormatting sqref="G190">
    <cfRule type="cellIs" dxfId="243" priority="239" operator="lessThanOrEqual">
      <formula>0</formula>
    </cfRule>
    <cfRule type="cellIs" dxfId="242" priority="240" operator="greaterThan">
      <formula>0</formula>
    </cfRule>
  </conditionalFormatting>
  <conditionalFormatting sqref="G192">
    <cfRule type="cellIs" dxfId="241" priority="237" operator="lessThanOrEqual">
      <formula>0</formula>
    </cfRule>
    <cfRule type="cellIs" dxfId="240" priority="238" operator="greaterThan">
      <formula>0</formula>
    </cfRule>
  </conditionalFormatting>
  <conditionalFormatting sqref="G191">
    <cfRule type="cellIs" dxfId="239" priority="235" operator="lessThanOrEqual">
      <formula>0</formula>
    </cfRule>
    <cfRule type="cellIs" dxfId="238" priority="236" operator="greaterThan">
      <formula>0</formula>
    </cfRule>
  </conditionalFormatting>
  <conditionalFormatting sqref="G193">
    <cfRule type="cellIs" dxfId="237" priority="233" operator="lessThanOrEqual">
      <formula>0</formula>
    </cfRule>
    <cfRule type="cellIs" dxfId="236" priority="234" operator="greaterThan">
      <formula>0</formula>
    </cfRule>
  </conditionalFormatting>
  <conditionalFormatting sqref="G195">
    <cfRule type="cellIs" dxfId="235" priority="231" operator="lessThanOrEqual">
      <formula>0</formula>
    </cfRule>
    <cfRule type="cellIs" dxfId="234" priority="232" operator="greaterThan">
      <formula>0</formula>
    </cfRule>
  </conditionalFormatting>
  <conditionalFormatting sqref="G194">
    <cfRule type="cellIs" dxfId="233" priority="229" operator="lessThanOrEqual">
      <formula>0</formula>
    </cfRule>
    <cfRule type="cellIs" dxfId="232" priority="230" operator="greaterThan">
      <formula>0</formula>
    </cfRule>
  </conditionalFormatting>
  <conditionalFormatting sqref="G196">
    <cfRule type="cellIs" dxfId="231" priority="227" operator="lessThanOrEqual">
      <formula>0</formula>
    </cfRule>
    <cfRule type="cellIs" dxfId="230" priority="228" operator="greaterThan">
      <formula>0</formula>
    </cfRule>
  </conditionalFormatting>
  <conditionalFormatting sqref="G198">
    <cfRule type="cellIs" dxfId="229" priority="225" operator="lessThanOrEqual">
      <formula>0</formula>
    </cfRule>
    <cfRule type="cellIs" dxfId="228" priority="226" operator="greaterThan">
      <formula>0</formula>
    </cfRule>
  </conditionalFormatting>
  <conditionalFormatting sqref="G197">
    <cfRule type="cellIs" dxfId="227" priority="223" operator="lessThanOrEqual">
      <formula>0</formula>
    </cfRule>
    <cfRule type="cellIs" dxfId="226" priority="224" operator="greaterThan">
      <formula>0</formula>
    </cfRule>
  </conditionalFormatting>
  <conditionalFormatting sqref="G199">
    <cfRule type="cellIs" dxfId="225" priority="221" operator="lessThanOrEqual">
      <formula>0</formula>
    </cfRule>
    <cfRule type="cellIs" dxfId="224" priority="222" operator="greaterThan">
      <formula>0</formula>
    </cfRule>
  </conditionalFormatting>
  <conditionalFormatting sqref="G201">
    <cfRule type="cellIs" dxfId="223" priority="219" operator="lessThanOrEqual">
      <formula>0</formula>
    </cfRule>
    <cfRule type="cellIs" dxfId="222" priority="220" operator="greaterThan">
      <formula>0</formula>
    </cfRule>
  </conditionalFormatting>
  <conditionalFormatting sqref="G200">
    <cfRule type="cellIs" dxfId="221" priority="217" operator="lessThanOrEqual">
      <formula>0</formula>
    </cfRule>
    <cfRule type="cellIs" dxfId="220" priority="218" operator="greaterThan">
      <formula>0</formula>
    </cfRule>
  </conditionalFormatting>
  <conditionalFormatting sqref="G202">
    <cfRule type="cellIs" dxfId="219" priority="215" operator="lessThanOrEqual">
      <formula>0</formula>
    </cfRule>
    <cfRule type="cellIs" dxfId="218" priority="216" operator="greaterThan">
      <formula>0</formula>
    </cfRule>
  </conditionalFormatting>
  <conditionalFormatting sqref="G204">
    <cfRule type="cellIs" dxfId="217" priority="213" operator="lessThanOrEqual">
      <formula>0</formula>
    </cfRule>
    <cfRule type="cellIs" dxfId="216" priority="214" operator="greaterThan">
      <formula>0</formula>
    </cfRule>
  </conditionalFormatting>
  <conditionalFormatting sqref="G203">
    <cfRule type="cellIs" dxfId="215" priority="211" operator="lessThanOrEqual">
      <formula>0</formula>
    </cfRule>
    <cfRule type="cellIs" dxfId="214" priority="212" operator="greaterThan">
      <formula>0</formula>
    </cfRule>
  </conditionalFormatting>
  <conditionalFormatting sqref="G205">
    <cfRule type="cellIs" dxfId="213" priority="203" operator="lessThanOrEqual">
      <formula>0</formula>
    </cfRule>
    <cfRule type="cellIs" dxfId="212" priority="204" operator="greaterThan">
      <formula>0</formula>
    </cfRule>
  </conditionalFormatting>
  <conditionalFormatting sqref="G207">
    <cfRule type="cellIs" dxfId="211" priority="201" operator="lessThanOrEqual">
      <formula>0</formula>
    </cfRule>
    <cfRule type="cellIs" dxfId="210" priority="202" operator="greaterThan">
      <formula>0</formula>
    </cfRule>
  </conditionalFormatting>
  <conditionalFormatting sqref="G206">
    <cfRule type="cellIs" dxfId="209" priority="199" operator="lessThanOrEqual">
      <formula>0</formula>
    </cfRule>
    <cfRule type="cellIs" dxfId="208" priority="200" operator="greaterThan">
      <formula>0</formula>
    </cfRule>
  </conditionalFormatting>
  <conditionalFormatting sqref="G208">
    <cfRule type="cellIs" dxfId="207" priority="197" operator="lessThanOrEqual">
      <formula>0</formula>
    </cfRule>
    <cfRule type="cellIs" dxfId="206" priority="198" operator="greaterThan">
      <formula>0</formula>
    </cfRule>
  </conditionalFormatting>
  <conditionalFormatting sqref="G210">
    <cfRule type="cellIs" dxfId="205" priority="195" operator="lessThanOrEqual">
      <formula>0</formula>
    </cfRule>
    <cfRule type="cellIs" dxfId="204" priority="196" operator="greaterThan">
      <formula>0</formula>
    </cfRule>
  </conditionalFormatting>
  <conditionalFormatting sqref="G209">
    <cfRule type="cellIs" dxfId="203" priority="193" operator="lessThanOrEqual">
      <formula>0</formula>
    </cfRule>
    <cfRule type="cellIs" dxfId="202" priority="194" operator="greaterThan">
      <formula>0</formula>
    </cfRule>
  </conditionalFormatting>
  <conditionalFormatting sqref="G211">
    <cfRule type="cellIs" dxfId="201" priority="191" operator="lessThanOrEqual">
      <formula>0</formula>
    </cfRule>
    <cfRule type="cellIs" dxfId="200" priority="192" operator="greaterThan">
      <formula>0</formula>
    </cfRule>
  </conditionalFormatting>
  <conditionalFormatting sqref="G213">
    <cfRule type="cellIs" dxfId="199" priority="189" operator="lessThanOrEqual">
      <formula>0</formula>
    </cfRule>
    <cfRule type="cellIs" dxfId="198" priority="190" operator="greaterThan">
      <formula>0</formula>
    </cfRule>
  </conditionalFormatting>
  <conditionalFormatting sqref="G212">
    <cfRule type="cellIs" dxfId="197" priority="187" operator="lessThanOrEqual">
      <formula>0</formula>
    </cfRule>
    <cfRule type="cellIs" dxfId="196" priority="188" operator="greaterThan">
      <formula>0</formula>
    </cfRule>
  </conditionalFormatting>
  <conditionalFormatting sqref="G214">
    <cfRule type="cellIs" dxfId="195" priority="185" operator="lessThanOrEqual">
      <formula>0</formula>
    </cfRule>
    <cfRule type="cellIs" dxfId="194" priority="186" operator="greaterThan">
      <formula>0</formula>
    </cfRule>
  </conditionalFormatting>
  <conditionalFormatting sqref="G216">
    <cfRule type="cellIs" dxfId="193" priority="183" operator="lessThanOrEqual">
      <formula>0</formula>
    </cfRule>
    <cfRule type="cellIs" dxfId="192" priority="184" operator="greaterThan">
      <formula>0</formula>
    </cfRule>
  </conditionalFormatting>
  <conditionalFormatting sqref="G215">
    <cfRule type="cellIs" dxfId="191" priority="181" operator="lessThanOrEqual">
      <formula>0</formula>
    </cfRule>
    <cfRule type="cellIs" dxfId="190" priority="182" operator="greaterThan">
      <formula>0</formula>
    </cfRule>
  </conditionalFormatting>
  <conditionalFormatting sqref="G217">
    <cfRule type="cellIs" dxfId="189" priority="179" operator="lessThanOrEqual">
      <formula>0</formula>
    </cfRule>
    <cfRule type="cellIs" dxfId="188" priority="180" operator="greaterThan">
      <formula>0</formula>
    </cfRule>
  </conditionalFormatting>
  <conditionalFormatting sqref="G219">
    <cfRule type="cellIs" dxfId="187" priority="177" operator="lessThanOrEqual">
      <formula>0</formula>
    </cfRule>
    <cfRule type="cellIs" dxfId="186" priority="178" operator="greaterThan">
      <formula>0</formula>
    </cfRule>
  </conditionalFormatting>
  <conditionalFormatting sqref="G218">
    <cfRule type="cellIs" dxfId="185" priority="175" operator="lessThanOrEqual">
      <formula>0</formula>
    </cfRule>
    <cfRule type="cellIs" dxfId="184" priority="176" operator="greaterThan">
      <formula>0</formula>
    </cfRule>
  </conditionalFormatting>
  <conditionalFormatting sqref="G220">
    <cfRule type="cellIs" dxfId="183" priority="173" operator="lessThanOrEqual">
      <formula>0</formula>
    </cfRule>
    <cfRule type="cellIs" dxfId="182" priority="174" operator="greaterThan">
      <formula>0</formula>
    </cfRule>
  </conditionalFormatting>
  <conditionalFormatting sqref="G222">
    <cfRule type="cellIs" dxfId="181" priority="171" operator="lessThanOrEqual">
      <formula>0</formula>
    </cfRule>
    <cfRule type="cellIs" dxfId="180" priority="172" operator="greaterThan">
      <formula>0</formula>
    </cfRule>
  </conditionalFormatting>
  <conditionalFormatting sqref="G221">
    <cfRule type="cellIs" dxfId="179" priority="169" operator="lessThanOrEqual">
      <formula>0</formula>
    </cfRule>
    <cfRule type="cellIs" dxfId="178" priority="170" operator="greaterThan">
      <formula>0</formula>
    </cfRule>
  </conditionalFormatting>
  <conditionalFormatting sqref="G223">
    <cfRule type="cellIs" dxfId="177" priority="167" operator="lessThanOrEqual">
      <formula>0</formula>
    </cfRule>
    <cfRule type="cellIs" dxfId="176" priority="168" operator="greaterThan">
      <formula>0</formula>
    </cfRule>
  </conditionalFormatting>
  <conditionalFormatting sqref="G225">
    <cfRule type="cellIs" dxfId="175" priority="165" operator="lessThanOrEqual">
      <formula>0</formula>
    </cfRule>
    <cfRule type="cellIs" dxfId="174" priority="166" operator="greaterThan">
      <formula>0</formula>
    </cfRule>
  </conditionalFormatting>
  <conditionalFormatting sqref="G224">
    <cfRule type="cellIs" dxfId="173" priority="163" operator="lessThanOrEqual">
      <formula>0</formula>
    </cfRule>
    <cfRule type="cellIs" dxfId="172" priority="164" operator="greaterThan">
      <formula>0</formula>
    </cfRule>
  </conditionalFormatting>
  <conditionalFormatting sqref="G226">
    <cfRule type="cellIs" dxfId="171" priority="161" operator="lessThanOrEqual">
      <formula>0</formula>
    </cfRule>
    <cfRule type="cellIs" dxfId="170" priority="162" operator="greaterThan">
      <formula>0</formula>
    </cfRule>
  </conditionalFormatting>
  <conditionalFormatting sqref="G228">
    <cfRule type="cellIs" dxfId="169" priority="159" operator="lessThanOrEqual">
      <formula>0</formula>
    </cfRule>
    <cfRule type="cellIs" dxfId="168" priority="160" operator="greaterThan">
      <formula>0</formula>
    </cfRule>
  </conditionalFormatting>
  <conditionalFormatting sqref="G227">
    <cfRule type="cellIs" dxfId="167" priority="157" operator="lessThanOrEqual">
      <formula>0</formula>
    </cfRule>
    <cfRule type="cellIs" dxfId="166" priority="158" operator="greaterThan">
      <formula>0</formula>
    </cfRule>
  </conditionalFormatting>
  <conditionalFormatting sqref="G229">
    <cfRule type="cellIs" dxfId="165" priority="155" operator="lessThanOrEqual">
      <formula>0</formula>
    </cfRule>
    <cfRule type="cellIs" dxfId="164" priority="156" operator="greaterThan">
      <formula>0</formula>
    </cfRule>
  </conditionalFormatting>
  <conditionalFormatting sqref="G231">
    <cfRule type="cellIs" dxfId="163" priority="153" operator="lessThanOrEqual">
      <formula>0</formula>
    </cfRule>
    <cfRule type="cellIs" dxfId="162" priority="154" operator="greaterThan">
      <formula>0</formula>
    </cfRule>
  </conditionalFormatting>
  <conditionalFormatting sqref="G230">
    <cfRule type="cellIs" dxfId="161" priority="151" operator="lessThanOrEqual">
      <formula>0</formula>
    </cfRule>
    <cfRule type="cellIs" dxfId="160" priority="152" operator="greaterThan">
      <formula>0</formula>
    </cfRule>
  </conditionalFormatting>
  <conditionalFormatting sqref="G232">
    <cfRule type="cellIs" dxfId="159" priority="149" operator="lessThanOrEqual">
      <formula>0</formula>
    </cfRule>
    <cfRule type="cellIs" dxfId="158" priority="150" operator="greaterThan">
      <formula>0</formula>
    </cfRule>
  </conditionalFormatting>
  <conditionalFormatting sqref="G234">
    <cfRule type="cellIs" dxfId="157" priority="147" operator="lessThanOrEqual">
      <formula>0</formula>
    </cfRule>
    <cfRule type="cellIs" dxfId="156" priority="148" operator="greaterThan">
      <formula>0</formula>
    </cfRule>
  </conditionalFormatting>
  <conditionalFormatting sqref="G233">
    <cfRule type="cellIs" dxfId="155" priority="145" operator="lessThanOrEqual">
      <formula>0</formula>
    </cfRule>
    <cfRule type="cellIs" dxfId="154" priority="146" operator="greaterThan">
      <formula>0</formula>
    </cfRule>
  </conditionalFormatting>
  <conditionalFormatting sqref="G235">
    <cfRule type="cellIs" dxfId="153" priority="143" operator="lessThanOrEqual">
      <formula>0</formula>
    </cfRule>
    <cfRule type="cellIs" dxfId="152" priority="144" operator="greaterThan">
      <formula>0</formula>
    </cfRule>
  </conditionalFormatting>
  <conditionalFormatting sqref="G237">
    <cfRule type="cellIs" dxfId="151" priority="141" operator="lessThanOrEqual">
      <formula>0</formula>
    </cfRule>
    <cfRule type="cellIs" dxfId="150" priority="142" operator="greaterThan">
      <formula>0</formula>
    </cfRule>
  </conditionalFormatting>
  <conditionalFormatting sqref="G236">
    <cfRule type="cellIs" dxfId="149" priority="139" operator="lessThanOrEqual">
      <formula>0</formula>
    </cfRule>
    <cfRule type="cellIs" dxfId="148" priority="140" operator="greaterThan">
      <formula>0</formula>
    </cfRule>
  </conditionalFormatting>
  <conditionalFormatting sqref="G238">
    <cfRule type="cellIs" dxfId="147" priority="137" operator="lessThanOrEqual">
      <formula>0</formula>
    </cfRule>
    <cfRule type="cellIs" dxfId="146" priority="138" operator="greaterThan">
      <formula>0</formula>
    </cfRule>
  </conditionalFormatting>
  <conditionalFormatting sqref="G240">
    <cfRule type="cellIs" dxfId="145" priority="135" operator="lessThanOrEqual">
      <formula>0</formula>
    </cfRule>
    <cfRule type="cellIs" dxfId="144" priority="136" operator="greaterThan">
      <formula>0</formula>
    </cfRule>
  </conditionalFormatting>
  <conditionalFormatting sqref="G239">
    <cfRule type="cellIs" dxfId="143" priority="133" operator="lessThanOrEqual">
      <formula>0</formula>
    </cfRule>
    <cfRule type="cellIs" dxfId="142" priority="134" operator="greaterThan">
      <formula>0</formula>
    </cfRule>
  </conditionalFormatting>
  <conditionalFormatting sqref="G241">
    <cfRule type="cellIs" dxfId="141" priority="131" operator="lessThanOrEqual">
      <formula>0</formula>
    </cfRule>
    <cfRule type="cellIs" dxfId="140" priority="132" operator="greaterThan">
      <formula>0</formula>
    </cfRule>
  </conditionalFormatting>
  <conditionalFormatting sqref="G243">
    <cfRule type="cellIs" dxfId="139" priority="129" operator="lessThanOrEqual">
      <formula>0</formula>
    </cfRule>
    <cfRule type="cellIs" dxfId="138" priority="130" operator="greaterThan">
      <formula>0</formula>
    </cfRule>
  </conditionalFormatting>
  <conditionalFormatting sqref="G242">
    <cfRule type="cellIs" dxfId="137" priority="127" operator="lessThanOrEqual">
      <formula>0</formula>
    </cfRule>
    <cfRule type="cellIs" dxfId="136" priority="128" operator="greaterThan">
      <formula>0</formula>
    </cfRule>
  </conditionalFormatting>
  <conditionalFormatting sqref="G244">
    <cfRule type="cellIs" dxfId="135" priority="125" operator="lessThanOrEqual">
      <formula>0</formula>
    </cfRule>
    <cfRule type="cellIs" dxfId="134" priority="126" operator="greaterThan">
      <formula>0</formula>
    </cfRule>
  </conditionalFormatting>
  <conditionalFormatting sqref="G246">
    <cfRule type="cellIs" dxfId="133" priority="123" operator="lessThanOrEqual">
      <formula>0</formula>
    </cfRule>
    <cfRule type="cellIs" dxfId="132" priority="124" operator="greaterThan">
      <formula>0</formula>
    </cfRule>
  </conditionalFormatting>
  <conditionalFormatting sqref="G245">
    <cfRule type="cellIs" dxfId="131" priority="121" operator="lessThanOrEqual">
      <formula>0</formula>
    </cfRule>
    <cfRule type="cellIs" dxfId="130" priority="122" operator="greaterThan">
      <formula>0</formula>
    </cfRule>
  </conditionalFormatting>
  <conditionalFormatting sqref="G247">
    <cfRule type="cellIs" dxfId="129" priority="119" operator="lessThanOrEqual">
      <formula>0</formula>
    </cfRule>
    <cfRule type="cellIs" dxfId="128" priority="120" operator="greaterThan">
      <formula>0</formula>
    </cfRule>
  </conditionalFormatting>
  <conditionalFormatting sqref="G249">
    <cfRule type="cellIs" dxfId="127" priority="117" operator="lessThanOrEqual">
      <formula>0</formula>
    </cfRule>
    <cfRule type="cellIs" dxfId="126" priority="118" operator="greaterThan">
      <formula>0</formula>
    </cfRule>
  </conditionalFormatting>
  <conditionalFormatting sqref="G248">
    <cfRule type="cellIs" dxfId="125" priority="115" operator="lessThanOrEqual">
      <formula>0</formula>
    </cfRule>
    <cfRule type="cellIs" dxfId="124" priority="116" operator="greaterThan">
      <formula>0</formula>
    </cfRule>
  </conditionalFormatting>
  <conditionalFormatting sqref="G250">
    <cfRule type="cellIs" dxfId="123" priority="113" operator="lessThanOrEqual">
      <formula>0</formula>
    </cfRule>
    <cfRule type="cellIs" dxfId="122" priority="114" operator="greaterThan">
      <formula>0</formula>
    </cfRule>
  </conditionalFormatting>
  <conditionalFormatting sqref="G252">
    <cfRule type="cellIs" dxfId="121" priority="111" operator="lessThanOrEqual">
      <formula>0</formula>
    </cfRule>
    <cfRule type="cellIs" dxfId="120" priority="112" operator="greaterThan">
      <formula>0</formula>
    </cfRule>
  </conditionalFormatting>
  <conditionalFormatting sqref="G251">
    <cfRule type="cellIs" dxfId="119" priority="109" operator="lessThanOrEqual">
      <formula>0</formula>
    </cfRule>
    <cfRule type="cellIs" dxfId="118" priority="110" operator="greaterThan">
      <formula>0</formula>
    </cfRule>
  </conditionalFormatting>
  <conditionalFormatting sqref="G253">
    <cfRule type="cellIs" dxfId="117" priority="107" operator="lessThanOrEqual">
      <formula>0</formula>
    </cfRule>
    <cfRule type="cellIs" dxfId="116" priority="108" operator="greaterThan">
      <formula>0</formula>
    </cfRule>
  </conditionalFormatting>
  <conditionalFormatting sqref="G255">
    <cfRule type="cellIs" dxfId="115" priority="105" operator="lessThanOrEqual">
      <formula>0</formula>
    </cfRule>
    <cfRule type="cellIs" dxfId="114" priority="106" operator="greaterThan">
      <formula>0</formula>
    </cfRule>
  </conditionalFormatting>
  <conditionalFormatting sqref="G254">
    <cfRule type="cellIs" dxfId="113" priority="103" operator="lessThanOrEqual">
      <formula>0</formula>
    </cfRule>
    <cfRule type="cellIs" dxfId="112" priority="104" operator="greaterThan">
      <formula>0</formula>
    </cfRule>
  </conditionalFormatting>
  <conditionalFormatting sqref="G256">
    <cfRule type="cellIs" dxfId="111" priority="101" operator="lessThanOrEqual">
      <formula>0</formula>
    </cfRule>
    <cfRule type="cellIs" dxfId="110" priority="102" operator="greaterThan">
      <formula>0</formula>
    </cfRule>
  </conditionalFormatting>
  <conditionalFormatting sqref="G258">
    <cfRule type="cellIs" dxfId="109" priority="99" operator="lessThanOrEqual">
      <formula>0</formula>
    </cfRule>
    <cfRule type="cellIs" dxfId="108" priority="100" operator="greaterThan">
      <formula>0</formula>
    </cfRule>
  </conditionalFormatting>
  <conditionalFormatting sqref="G257">
    <cfRule type="cellIs" dxfId="107" priority="97" operator="lessThanOrEqual">
      <formula>0</formula>
    </cfRule>
    <cfRule type="cellIs" dxfId="106" priority="98" operator="greaterThan">
      <formula>0</formula>
    </cfRule>
  </conditionalFormatting>
  <conditionalFormatting sqref="G262">
    <cfRule type="cellIs" dxfId="105" priority="89" operator="lessThanOrEqual">
      <formula>0</formula>
    </cfRule>
    <cfRule type="cellIs" dxfId="104" priority="90" operator="greaterThan">
      <formula>0</formula>
    </cfRule>
  </conditionalFormatting>
  <conditionalFormatting sqref="G264">
    <cfRule type="cellIs" dxfId="103" priority="87" operator="lessThanOrEqual">
      <formula>0</formula>
    </cfRule>
    <cfRule type="cellIs" dxfId="102" priority="88" operator="greaterThan">
      <formula>0</formula>
    </cfRule>
  </conditionalFormatting>
  <conditionalFormatting sqref="G263">
    <cfRule type="cellIs" dxfId="101" priority="85" operator="lessThanOrEqual">
      <formula>0</formula>
    </cfRule>
    <cfRule type="cellIs" dxfId="100" priority="86" operator="greaterThan">
      <formula>0</formula>
    </cfRule>
  </conditionalFormatting>
  <conditionalFormatting sqref="G265 G268 G271 G274 G277 G280 G283 G286 G289 G292 G295">
    <cfRule type="cellIs" dxfId="99" priority="11" operator="lessThanOrEqual">
      <formula>0</formula>
    </cfRule>
    <cfRule type="cellIs" dxfId="98" priority="12" operator="greaterThan">
      <formula>0</formula>
    </cfRule>
  </conditionalFormatting>
  <conditionalFormatting sqref="G267 G270 G273 G276 G279 G282 G285 G288 G291 G294 G297">
    <cfRule type="cellIs" dxfId="97" priority="9" operator="lessThanOrEqual">
      <formula>0</formula>
    </cfRule>
    <cfRule type="cellIs" dxfId="96" priority="10" operator="greaterThan">
      <formula>0</formula>
    </cfRule>
  </conditionalFormatting>
  <conditionalFormatting sqref="G266 G269 G272 G275 G278 G281 G284 G287 G290 G293 G296">
    <cfRule type="cellIs" dxfId="95" priority="7" operator="lessThanOrEqual">
      <formula>0</formula>
    </cfRule>
    <cfRule type="cellIs" dxfId="94" priority="8" operator="greaterThan">
      <formula>0</formula>
    </cfRule>
  </conditionalFormatting>
  <conditionalFormatting sqref="G259">
    <cfRule type="cellIs" dxfId="93" priority="5" operator="lessThanOrEqual">
      <formula>0</formula>
    </cfRule>
    <cfRule type="cellIs" dxfId="92" priority="6" operator="greaterThan">
      <formula>0</formula>
    </cfRule>
  </conditionalFormatting>
  <conditionalFormatting sqref="G261">
    <cfRule type="cellIs" dxfId="91" priority="3" operator="lessThanOrEqual">
      <formula>0</formula>
    </cfRule>
    <cfRule type="cellIs" dxfId="90" priority="4" operator="greaterThan">
      <formula>0</formula>
    </cfRule>
  </conditionalFormatting>
  <conditionalFormatting sqref="G260">
    <cfRule type="cellIs" dxfId="89" priority="1" operator="lessThanOrEqual">
      <formula>0</formula>
    </cfRule>
    <cfRule type="cellIs" dxfId="88" priority="2" operator="greaterThan">
      <formula>0</formula>
    </cfRule>
  </conditionalFormatting>
  <dataValidations count="1">
    <dataValidation errorStyle="information" allowBlank="1" showInputMessage="1" showErrorMessage="1" errorTitle="Number of Hours" error="Please note, you are not allowed to enter more than 8 hours per day. " sqref="G25:G297" xr:uid="{EBBF4CCE-1EB6-4BA1-A2A3-B70FEEF4ED7F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E6B303C-38F8-417C-AD53-4E48B4A3CBBB}">
          <x14:formula1>
            <xm:f>ReferenceTables!$AN$2:$AN$54</xm:f>
          </x14:formula1>
          <xm:sqref>D10</xm:sqref>
        </x14:dataValidation>
        <x14:dataValidation type="list" allowBlank="1" showInputMessage="1" showErrorMessage="1" xr:uid="{CD1B64EB-FD80-4556-B7F9-3BA1FF768F28}">
          <x14:formula1>
            <xm:f>ReferenceTables!$AI$2:$AI$29</xm:f>
          </x14:formula1>
          <xm:sqref>D22</xm:sqref>
        </x14:dataValidation>
        <x14:dataValidation type="list" allowBlank="1" showInputMessage="1" showErrorMessage="1" xr:uid="{7E8E6E76-5647-4F16-8A99-3F6492280B1E}">
          <x14:formula1>
            <xm:f>ReferenceTables!$AG$2:$AG$15</xm:f>
          </x14:formula1>
          <xm:sqref>C22</xm:sqref>
        </x14:dataValidation>
        <x14:dataValidation type="list" allowBlank="1" showInputMessage="1" showErrorMessage="1" promptTitle="please select" xr:uid="{037B615B-BF66-4CDC-8B55-25A7BAA1C6F1}">
          <x14:formula1>
            <xm:f>ReferenceTables!$AG$2:$AG$19</xm:f>
          </x14:formula1>
          <xm:sqref>C21</xm:sqref>
        </x14:dataValidation>
        <x14:dataValidation type="list" allowBlank="1" showInputMessage="1" showErrorMessage="1" xr:uid="{073B0802-8D73-4356-AA54-76647F472C30}">
          <x14:formula1>
            <xm:f>ReferenceTables!$AG$2:$AG$19</xm:f>
          </x14:formula1>
          <xm:sqref>C14:C20</xm:sqref>
        </x14:dataValidation>
        <x14:dataValidation type="list" allowBlank="1" showInputMessage="1" showErrorMessage="1" xr:uid="{716999F5-AC7F-4C2C-BA22-9ED60AF7877F}">
          <x14:formula1>
            <xm:f>ReferenceTables!$AP$2:$AP$25</xm:f>
          </x14:formula1>
          <xm:sqref>D8</xm:sqref>
        </x14:dataValidation>
        <x14:dataValidation type="list" allowBlank="1" showInputMessage="1" showErrorMessage="1" xr:uid="{1A5936B7-ED90-4310-8B3D-98E1300635A2}">
          <x14:formula1>
            <xm:f>ReferenceTables!$AI$2:$AI$4</xm:f>
          </x14:formula1>
          <xm:sqref>D14:D21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0032-976A-4E4D-B0E4-D3EC9CB90F2B}">
  <dimension ref="A1:A182"/>
  <sheetViews>
    <sheetView workbookViewId="0"/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20</v>
      </c>
    </row>
    <row r="6" spans="1:1" x14ac:dyDescent="0.35">
      <c r="A6" t="s">
        <v>20</v>
      </c>
    </row>
    <row r="7" spans="1:1" x14ac:dyDescent="0.35">
      <c r="A7" t="s">
        <v>44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48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49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50</v>
      </c>
    </row>
    <row r="27" spans="1:1" x14ac:dyDescent="0.35">
      <c r="A27" t="s">
        <v>42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43</v>
      </c>
    </row>
    <row r="31" spans="1:1" x14ac:dyDescent="0.35">
      <c r="A31" t="s">
        <v>20</v>
      </c>
    </row>
    <row r="32" spans="1:1" x14ac:dyDescent="0.35">
      <c r="A32" t="s">
        <v>20</v>
      </c>
    </row>
    <row r="33" spans="1:1" x14ac:dyDescent="0.35">
      <c r="A33" t="s">
        <v>44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48</v>
      </c>
    </row>
    <row r="43" spans="1:1" x14ac:dyDescent="0.35">
      <c r="A43" t="s">
        <v>19</v>
      </c>
    </row>
    <row r="44" spans="1:1" x14ac:dyDescent="0.35">
      <c r="A44" t="s">
        <v>19</v>
      </c>
    </row>
    <row r="45" spans="1:1" x14ac:dyDescent="0.35">
      <c r="A45" t="s">
        <v>21</v>
      </c>
    </row>
    <row r="46" spans="1:1" x14ac:dyDescent="0.35">
      <c r="A46" t="s">
        <v>21</v>
      </c>
    </row>
    <row r="47" spans="1:1" x14ac:dyDescent="0.35">
      <c r="A47" t="s">
        <v>17</v>
      </c>
    </row>
    <row r="48" spans="1:1" x14ac:dyDescent="0.35">
      <c r="A48" t="s">
        <v>17</v>
      </c>
    </row>
    <row r="49" spans="1:1" x14ac:dyDescent="0.35">
      <c r="A49" t="s">
        <v>49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50</v>
      </c>
    </row>
    <row r="53" spans="1:1" x14ac:dyDescent="0.35">
      <c r="A53" t="s">
        <v>42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43</v>
      </c>
    </row>
    <row r="57" spans="1:1" x14ac:dyDescent="0.35">
      <c r="A57" t="s">
        <v>20</v>
      </c>
    </row>
    <row r="58" spans="1:1" x14ac:dyDescent="0.35">
      <c r="A58" t="s">
        <v>20</v>
      </c>
    </row>
    <row r="59" spans="1:1" x14ac:dyDescent="0.35">
      <c r="A59" t="s">
        <v>44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47</v>
      </c>
    </row>
    <row r="67" spans="1:1" x14ac:dyDescent="0.35">
      <c r="A67" t="s">
        <v>48</v>
      </c>
    </row>
    <row r="68" spans="1:1" x14ac:dyDescent="0.35">
      <c r="A68" t="s">
        <v>48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21</v>
      </c>
    </row>
    <row r="72" spans="1:1" x14ac:dyDescent="0.35">
      <c r="A72" t="s">
        <v>21</v>
      </c>
    </row>
    <row r="73" spans="1:1" x14ac:dyDescent="0.35">
      <c r="A73" t="s">
        <v>17</v>
      </c>
    </row>
    <row r="74" spans="1:1" x14ac:dyDescent="0.35">
      <c r="A74" t="s">
        <v>17</v>
      </c>
    </row>
    <row r="75" spans="1:1" x14ac:dyDescent="0.35">
      <c r="A75" t="s">
        <v>49</v>
      </c>
    </row>
    <row r="76" spans="1:1" x14ac:dyDescent="0.35">
      <c r="A76" t="s">
        <v>49</v>
      </c>
    </row>
    <row r="77" spans="1:1" x14ac:dyDescent="0.35">
      <c r="A77" t="s">
        <v>50</v>
      </c>
    </row>
    <row r="78" spans="1:1" x14ac:dyDescent="0.35">
      <c r="A78" t="s">
        <v>50</v>
      </c>
    </row>
    <row r="79" spans="1:1" x14ac:dyDescent="0.35">
      <c r="A79" t="s">
        <v>42</v>
      </c>
    </row>
    <row r="80" spans="1:1" x14ac:dyDescent="0.35">
      <c r="A80" t="s">
        <v>42</v>
      </c>
    </row>
    <row r="81" spans="1:1" x14ac:dyDescent="0.35">
      <c r="A81" t="s">
        <v>43</v>
      </c>
    </row>
    <row r="82" spans="1:1" x14ac:dyDescent="0.35">
      <c r="A82" t="s">
        <v>43</v>
      </c>
    </row>
    <row r="83" spans="1:1" x14ac:dyDescent="0.35">
      <c r="A83" t="s">
        <v>20</v>
      </c>
    </row>
    <row r="84" spans="1:1" x14ac:dyDescent="0.35">
      <c r="A84" t="s">
        <v>20</v>
      </c>
    </row>
    <row r="85" spans="1:1" x14ac:dyDescent="0.35">
      <c r="A85" t="s">
        <v>44</v>
      </c>
    </row>
    <row r="86" spans="1:1" x14ac:dyDescent="0.35">
      <c r="A86" t="s">
        <v>44</v>
      </c>
    </row>
    <row r="87" spans="1:1" x14ac:dyDescent="0.35">
      <c r="A87" t="s">
        <v>45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46</v>
      </c>
    </row>
    <row r="91" spans="1:1" x14ac:dyDescent="0.35">
      <c r="A91" t="s">
        <v>47</v>
      </c>
    </row>
    <row r="92" spans="1:1" x14ac:dyDescent="0.35">
      <c r="A92" t="s">
        <v>47</v>
      </c>
    </row>
    <row r="93" spans="1:1" x14ac:dyDescent="0.35">
      <c r="A93" t="s">
        <v>48</v>
      </c>
    </row>
    <row r="94" spans="1:1" x14ac:dyDescent="0.35">
      <c r="A94" t="s">
        <v>48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21</v>
      </c>
    </row>
    <row r="98" spans="1:1" x14ac:dyDescent="0.35">
      <c r="A98" t="s">
        <v>21</v>
      </c>
    </row>
    <row r="99" spans="1:1" x14ac:dyDescent="0.35">
      <c r="A99" t="s">
        <v>17</v>
      </c>
    </row>
    <row r="100" spans="1:1" x14ac:dyDescent="0.35">
      <c r="A100" t="s">
        <v>17</v>
      </c>
    </row>
    <row r="101" spans="1:1" x14ac:dyDescent="0.35">
      <c r="A101" t="s">
        <v>49</v>
      </c>
    </row>
    <row r="102" spans="1:1" x14ac:dyDescent="0.35">
      <c r="A102" t="s">
        <v>49</v>
      </c>
    </row>
    <row r="103" spans="1:1" x14ac:dyDescent="0.35">
      <c r="A103" t="s">
        <v>50</v>
      </c>
    </row>
    <row r="104" spans="1:1" x14ac:dyDescent="0.35">
      <c r="A104" t="s">
        <v>50</v>
      </c>
    </row>
    <row r="105" spans="1:1" x14ac:dyDescent="0.35">
      <c r="A105" t="s">
        <v>42</v>
      </c>
    </row>
    <row r="106" spans="1:1" x14ac:dyDescent="0.35">
      <c r="A106" t="s">
        <v>42</v>
      </c>
    </row>
    <row r="107" spans="1:1" x14ac:dyDescent="0.35">
      <c r="A107" t="s">
        <v>43</v>
      </c>
    </row>
    <row r="108" spans="1:1" x14ac:dyDescent="0.35">
      <c r="A108" t="s">
        <v>43</v>
      </c>
    </row>
    <row r="109" spans="1:1" x14ac:dyDescent="0.35">
      <c r="A109" t="s">
        <v>20</v>
      </c>
    </row>
    <row r="110" spans="1:1" x14ac:dyDescent="0.35">
      <c r="A110" t="s">
        <v>20</v>
      </c>
    </row>
    <row r="111" spans="1:1" x14ac:dyDescent="0.35">
      <c r="A111" t="s">
        <v>44</v>
      </c>
    </row>
    <row r="112" spans="1:1" x14ac:dyDescent="0.35">
      <c r="A112" t="s">
        <v>44</v>
      </c>
    </row>
    <row r="113" spans="1:1" x14ac:dyDescent="0.35">
      <c r="A113" t="s">
        <v>45</v>
      </c>
    </row>
    <row r="114" spans="1:1" x14ac:dyDescent="0.35">
      <c r="A114" t="s">
        <v>45</v>
      </c>
    </row>
    <row r="115" spans="1:1" x14ac:dyDescent="0.35">
      <c r="A115" t="s">
        <v>46</v>
      </c>
    </row>
    <row r="116" spans="1:1" x14ac:dyDescent="0.35">
      <c r="A116" t="s">
        <v>46</v>
      </c>
    </row>
    <row r="117" spans="1:1" x14ac:dyDescent="0.35">
      <c r="A117" t="s">
        <v>47</v>
      </c>
    </row>
    <row r="118" spans="1:1" x14ac:dyDescent="0.35">
      <c r="A118" t="s">
        <v>47</v>
      </c>
    </row>
    <row r="119" spans="1:1" x14ac:dyDescent="0.35">
      <c r="A119" t="s">
        <v>48</v>
      </c>
    </row>
    <row r="120" spans="1:1" x14ac:dyDescent="0.35">
      <c r="A120" t="s">
        <v>48</v>
      </c>
    </row>
    <row r="121" spans="1:1" x14ac:dyDescent="0.35">
      <c r="A121" t="s">
        <v>19</v>
      </c>
    </row>
    <row r="122" spans="1:1" x14ac:dyDescent="0.35">
      <c r="A122" t="s">
        <v>19</v>
      </c>
    </row>
    <row r="123" spans="1:1" x14ac:dyDescent="0.35">
      <c r="A123" t="s">
        <v>21</v>
      </c>
    </row>
    <row r="124" spans="1:1" x14ac:dyDescent="0.35">
      <c r="A124" t="s">
        <v>21</v>
      </c>
    </row>
    <row r="125" spans="1:1" x14ac:dyDescent="0.35">
      <c r="A125" t="s">
        <v>17</v>
      </c>
    </row>
    <row r="126" spans="1:1" x14ac:dyDescent="0.35">
      <c r="A126" t="s">
        <v>17</v>
      </c>
    </row>
    <row r="127" spans="1:1" x14ac:dyDescent="0.35">
      <c r="A127" t="s">
        <v>49</v>
      </c>
    </row>
    <row r="128" spans="1:1" x14ac:dyDescent="0.35">
      <c r="A128" t="s">
        <v>49</v>
      </c>
    </row>
    <row r="129" spans="1:1" x14ac:dyDescent="0.35">
      <c r="A129" t="s">
        <v>50</v>
      </c>
    </row>
    <row r="130" spans="1:1" x14ac:dyDescent="0.35">
      <c r="A130" t="s">
        <v>50</v>
      </c>
    </row>
    <row r="131" spans="1:1" x14ac:dyDescent="0.35">
      <c r="A131" t="s">
        <v>42</v>
      </c>
    </row>
    <row r="132" spans="1:1" x14ac:dyDescent="0.35">
      <c r="A132" t="s">
        <v>42</v>
      </c>
    </row>
    <row r="133" spans="1:1" x14ac:dyDescent="0.35">
      <c r="A133" t="s">
        <v>43</v>
      </c>
    </row>
    <row r="134" spans="1:1" x14ac:dyDescent="0.35">
      <c r="A134" t="s">
        <v>43</v>
      </c>
    </row>
    <row r="135" spans="1:1" x14ac:dyDescent="0.35">
      <c r="A135" t="s">
        <v>20</v>
      </c>
    </row>
    <row r="136" spans="1:1" x14ac:dyDescent="0.35">
      <c r="A136" t="s">
        <v>20</v>
      </c>
    </row>
    <row r="137" spans="1:1" x14ac:dyDescent="0.35">
      <c r="A137" t="s">
        <v>44</v>
      </c>
    </row>
    <row r="138" spans="1:1" x14ac:dyDescent="0.35">
      <c r="A138" t="s">
        <v>44</v>
      </c>
    </row>
    <row r="139" spans="1:1" x14ac:dyDescent="0.35">
      <c r="A139" t="s">
        <v>45</v>
      </c>
    </row>
    <row r="140" spans="1:1" x14ac:dyDescent="0.35">
      <c r="A140" t="s">
        <v>45</v>
      </c>
    </row>
    <row r="141" spans="1:1" x14ac:dyDescent="0.35">
      <c r="A141" t="s">
        <v>46</v>
      </c>
    </row>
    <row r="142" spans="1:1" x14ac:dyDescent="0.35">
      <c r="A142" t="s">
        <v>46</v>
      </c>
    </row>
    <row r="143" spans="1:1" x14ac:dyDescent="0.35">
      <c r="A143" t="s">
        <v>47</v>
      </c>
    </row>
    <row r="144" spans="1:1" x14ac:dyDescent="0.35">
      <c r="A144" t="s">
        <v>47</v>
      </c>
    </row>
    <row r="145" spans="1:1" x14ac:dyDescent="0.35">
      <c r="A145" t="s">
        <v>48</v>
      </c>
    </row>
    <row r="146" spans="1:1" x14ac:dyDescent="0.35">
      <c r="A146" t="s">
        <v>48</v>
      </c>
    </row>
    <row r="147" spans="1:1" x14ac:dyDescent="0.35">
      <c r="A147" t="s">
        <v>19</v>
      </c>
    </row>
    <row r="148" spans="1:1" x14ac:dyDescent="0.35">
      <c r="A148" t="s">
        <v>19</v>
      </c>
    </row>
    <row r="149" spans="1:1" x14ac:dyDescent="0.35">
      <c r="A149" t="s">
        <v>21</v>
      </c>
    </row>
    <row r="150" spans="1:1" x14ac:dyDescent="0.35">
      <c r="A150" t="s">
        <v>21</v>
      </c>
    </row>
    <row r="151" spans="1:1" x14ac:dyDescent="0.35">
      <c r="A151" t="s">
        <v>17</v>
      </c>
    </row>
    <row r="152" spans="1:1" x14ac:dyDescent="0.35">
      <c r="A152" t="s">
        <v>17</v>
      </c>
    </row>
    <row r="153" spans="1:1" x14ac:dyDescent="0.35">
      <c r="A153" t="s">
        <v>49</v>
      </c>
    </row>
    <row r="154" spans="1:1" x14ac:dyDescent="0.35">
      <c r="A154" t="s">
        <v>49</v>
      </c>
    </row>
    <row r="155" spans="1:1" x14ac:dyDescent="0.35">
      <c r="A155" t="s">
        <v>50</v>
      </c>
    </row>
    <row r="156" spans="1:1" x14ac:dyDescent="0.35">
      <c r="A156" t="s">
        <v>50</v>
      </c>
    </row>
    <row r="157" spans="1:1" x14ac:dyDescent="0.35">
      <c r="A157" t="s">
        <v>42</v>
      </c>
    </row>
    <row r="158" spans="1:1" x14ac:dyDescent="0.35">
      <c r="A158" t="s">
        <v>42</v>
      </c>
    </row>
    <row r="159" spans="1:1" x14ac:dyDescent="0.35">
      <c r="A159" t="s">
        <v>43</v>
      </c>
    </row>
    <row r="160" spans="1:1" x14ac:dyDescent="0.35">
      <c r="A160" t="s">
        <v>43</v>
      </c>
    </row>
    <row r="161" spans="1:1" x14ac:dyDescent="0.35">
      <c r="A161" t="s">
        <v>20</v>
      </c>
    </row>
    <row r="162" spans="1:1" x14ac:dyDescent="0.35">
      <c r="A162" t="s">
        <v>20</v>
      </c>
    </row>
    <row r="163" spans="1:1" x14ac:dyDescent="0.35">
      <c r="A163" t="s">
        <v>44</v>
      </c>
    </row>
    <row r="164" spans="1:1" x14ac:dyDescent="0.35">
      <c r="A164" t="s">
        <v>44</v>
      </c>
    </row>
    <row r="165" spans="1:1" x14ac:dyDescent="0.35">
      <c r="A165" t="s">
        <v>45</v>
      </c>
    </row>
    <row r="166" spans="1:1" x14ac:dyDescent="0.35">
      <c r="A166" t="s">
        <v>45</v>
      </c>
    </row>
    <row r="167" spans="1:1" x14ac:dyDescent="0.35">
      <c r="A167" t="s">
        <v>46</v>
      </c>
    </row>
    <row r="168" spans="1:1" x14ac:dyDescent="0.35">
      <c r="A168" t="s">
        <v>46</v>
      </c>
    </row>
    <row r="169" spans="1:1" x14ac:dyDescent="0.35">
      <c r="A169" t="s">
        <v>47</v>
      </c>
    </row>
    <row r="170" spans="1:1" x14ac:dyDescent="0.35">
      <c r="A170" t="s">
        <v>47</v>
      </c>
    </row>
    <row r="171" spans="1:1" x14ac:dyDescent="0.35">
      <c r="A171" t="s">
        <v>48</v>
      </c>
    </row>
    <row r="172" spans="1:1" x14ac:dyDescent="0.35">
      <c r="A172" t="s">
        <v>48</v>
      </c>
    </row>
    <row r="173" spans="1:1" x14ac:dyDescent="0.35">
      <c r="A173" t="s">
        <v>19</v>
      </c>
    </row>
    <row r="174" spans="1:1" x14ac:dyDescent="0.35">
      <c r="A174" t="s">
        <v>19</v>
      </c>
    </row>
    <row r="175" spans="1:1" x14ac:dyDescent="0.35">
      <c r="A175" t="s">
        <v>21</v>
      </c>
    </row>
    <row r="176" spans="1:1" x14ac:dyDescent="0.35">
      <c r="A176" t="s">
        <v>21</v>
      </c>
    </row>
    <row r="177" spans="1:1" x14ac:dyDescent="0.35">
      <c r="A177" t="s">
        <v>17</v>
      </c>
    </row>
    <row r="178" spans="1:1" x14ac:dyDescent="0.35">
      <c r="A178" t="s">
        <v>17</v>
      </c>
    </row>
    <row r="179" spans="1:1" x14ac:dyDescent="0.35">
      <c r="A179" t="s">
        <v>49</v>
      </c>
    </row>
    <row r="180" spans="1:1" x14ac:dyDescent="0.35">
      <c r="A180" t="s">
        <v>49</v>
      </c>
    </row>
    <row r="181" spans="1:1" x14ac:dyDescent="0.35">
      <c r="A181" t="s">
        <v>50</v>
      </c>
    </row>
    <row r="182" spans="1:1" x14ac:dyDescent="0.35">
      <c r="A18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326-6D73-4462-9FA5-02BBA88F9E01}">
  <dimension ref="A1:CW54"/>
  <sheetViews>
    <sheetView topLeftCell="AF1" zoomScale="112" zoomScaleNormal="112" workbookViewId="0">
      <selection activeCell="AK4" sqref="AK4"/>
    </sheetView>
  </sheetViews>
  <sheetFormatPr defaultRowHeight="14.5" outlineLevelCol="1" x14ac:dyDescent="0.35"/>
  <cols>
    <col min="1" max="1" width="16.54296875" hidden="1" customWidth="1" outlineLevel="1"/>
    <col min="2" max="2" width="24.54296875" hidden="1" customWidth="1" outlineLevel="1"/>
    <col min="3" max="3" width="37" hidden="1" customWidth="1" outlineLevel="1"/>
    <col min="4" max="4" width="11.453125" hidden="1" customWidth="1" outlineLevel="1"/>
    <col min="5" max="6" width="24.453125" hidden="1" customWidth="1" outlineLevel="1"/>
    <col min="7" max="7" width="14.26953125" hidden="1" customWidth="1" outlineLevel="1"/>
    <col min="8" max="8" width="15.1796875" hidden="1" customWidth="1" outlineLevel="1"/>
    <col min="9" max="9" width="11.7265625" hidden="1" customWidth="1" outlineLevel="1"/>
    <col min="10" max="10" width="13.453125" hidden="1" customWidth="1" outlineLevel="1"/>
    <col min="11" max="11" width="9.1796875" hidden="1" customWidth="1" outlineLevel="1"/>
    <col min="12" max="12" width="18.7265625" hidden="1" customWidth="1" outlineLevel="1"/>
    <col min="13" max="13" width="20" hidden="1" customWidth="1" outlineLevel="1"/>
    <col min="14" max="14" width="12.7265625" hidden="1" customWidth="1" outlineLevel="1"/>
    <col min="15" max="15" width="13.7265625" hidden="1" customWidth="1" outlineLevel="1"/>
    <col min="16" max="16" width="26.54296875" hidden="1" customWidth="1" outlineLevel="1"/>
    <col min="17" max="17" width="35.54296875" hidden="1" customWidth="1" outlineLevel="1"/>
    <col min="18" max="18" width="23.7265625" hidden="1" customWidth="1" outlineLevel="1"/>
    <col min="19" max="19" width="38.81640625" hidden="1" customWidth="1" outlineLevel="1"/>
    <col min="20" max="20" width="17.81640625" hidden="1" customWidth="1" outlineLevel="1"/>
    <col min="21" max="21" width="9.1796875" hidden="1" customWidth="1" outlineLevel="1"/>
    <col min="22" max="22" width="25.1796875" hidden="1" customWidth="1" outlineLevel="1"/>
    <col min="23" max="23" width="8.81640625" hidden="1" customWidth="1" outlineLevel="1"/>
    <col min="24" max="27" width="9.54296875" hidden="1" customWidth="1" outlineLevel="1"/>
    <col min="28" max="28" width="23.81640625" hidden="1" customWidth="1" outlineLevel="1"/>
    <col min="29" max="31" width="9.54296875" hidden="1" customWidth="1" outlineLevel="1"/>
    <col min="32" max="32" width="9.1796875" collapsed="1"/>
    <col min="33" max="33" width="30.453125" bestFit="1" customWidth="1" outlineLevel="1"/>
    <col min="35" max="36" width="35.453125" bestFit="1" customWidth="1" outlineLevel="1"/>
    <col min="37" max="37" width="46.54296875" customWidth="1" outlineLevel="1"/>
    <col min="38" max="38" width="42.26953125" customWidth="1" outlineLevel="1"/>
    <col min="40" max="40" width="10.453125" customWidth="1" outlineLevel="1"/>
    <col min="41" max="41" width="10.453125" customWidth="1"/>
    <col min="42" max="42" width="29.453125" customWidth="1" outlineLevel="1"/>
    <col min="43" max="43" width="10.453125" customWidth="1" outlineLevel="1"/>
    <col min="44" max="44" width="11" customWidth="1" outlineLevel="1"/>
    <col min="45" max="45" width="19.7265625" customWidth="1" outlineLevel="1"/>
    <col min="46" max="46" width="10.453125" customWidth="1"/>
    <col min="47" max="47" width="13.453125" customWidth="1" outlineLevel="1"/>
    <col min="48" max="48" width="23.453125" bestFit="1" customWidth="1" outlineLevel="1"/>
    <col min="49" max="55" width="13.7265625" bestFit="1" customWidth="1" outlineLevel="1"/>
    <col min="56" max="56" width="14.7265625" bestFit="1" customWidth="1" outlineLevel="1"/>
    <col min="57" max="57" width="14.453125" bestFit="1" customWidth="1" outlineLevel="1"/>
    <col min="58" max="65" width="14.7265625" bestFit="1" customWidth="1" outlineLevel="1"/>
    <col min="66" max="66" width="15.26953125" bestFit="1" customWidth="1" outlineLevel="1"/>
    <col min="67" max="67" width="14.7265625" bestFit="1" customWidth="1" outlineLevel="1"/>
    <col min="68" max="76" width="15.26953125" bestFit="1" customWidth="1" outlineLevel="1"/>
    <col min="77" max="77" width="14.7265625" bestFit="1" customWidth="1" outlineLevel="1"/>
    <col min="78" max="86" width="15.26953125" bestFit="1" customWidth="1" outlineLevel="1"/>
    <col min="87" max="87" width="14.7265625" bestFit="1" customWidth="1" outlineLevel="1"/>
    <col min="88" max="96" width="15.26953125" bestFit="1" customWidth="1" outlineLevel="1"/>
    <col min="97" max="97" width="14.7265625" bestFit="1" customWidth="1" outlineLevel="1"/>
    <col min="98" max="99" width="15.26953125" bestFit="1" customWidth="1" outlineLevel="1"/>
    <col min="101" max="101" width="17.7265625" customWidth="1" outlineLevel="1"/>
  </cols>
  <sheetData>
    <row r="1" spans="1:101" x14ac:dyDescent="0.35">
      <c r="A1" t="s">
        <v>51</v>
      </c>
      <c r="B1" t="s">
        <v>52</v>
      </c>
      <c r="C1" t="s">
        <v>53</v>
      </c>
      <c r="D1" t="s">
        <v>54</v>
      </c>
      <c r="E1" t="s">
        <v>42</v>
      </c>
      <c r="F1" t="s">
        <v>43</v>
      </c>
      <c r="G1" t="s">
        <v>20</v>
      </c>
      <c r="H1" t="s">
        <v>44</v>
      </c>
      <c r="I1" t="s">
        <v>45</v>
      </c>
      <c r="J1" s="11" t="s">
        <v>46</v>
      </c>
      <c r="K1" s="11" t="s">
        <v>47</v>
      </c>
      <c r="L1" s="11" t="s">
        <v>48</v>
      </c>
      <c r="M1" t="s">
        <v>19</v>
      </c>
      <c r="N1" t="s">
        <v>55</v>
      </c>
      <c r="O1" t="s">
        <v>56</v>
      </c>
      <c r="P1" t="s">
        <v>49</v>
      </c>
      <c r="Q1" t="s">
        <v>50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s="11" t="s">
        <v>63</v>
      </c>
      <c r="Y1" s="11" t="s">
        <v>64</v>
      </c>
      <c r="Z1" s="1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G1" t="s">
        <v>71</v>
      </c>
      <c r="AI1" t="s">
        <v>23</v>
      </c>
      <c r="AJ1" t="s">
        <v>72</v>
      </c>
      <c r="AK1" t="s">
        <v>73</v>
      </c>
      <c r="AL1" t="s">
        <v>74</v>
      </c>
      <c r="AN1" t="s">
        <v>75</v>
      </c>
      <c r="AP1" t="s">
        <v>76</v>
      </c>
      <c r="AQ1" t="s">
        <v>77</v>
      </c>
      <c r="AR1" t="s">
        <v>78</v>
      </c>
      <c r="AS1" t="s">
        <v>79</v>
      </c>
      <c r="AU1" s="20" t="s">
        <v>80</v>
      </c>
      <c r="AV1" s="20" t="s">
        <v>81</v>
      </c>
      <c r="AW1" s="20" t="s">
        <v>82</v>
      </c>
      <c r="AX1" s="20" t="s">
        <v>83</v>
      </c>
      <c r="AY1" s="20" t="s">
        <v>84</v>
      </c>
      <c r="AZ1" s="20" t="s">
        <v>85</v>
      </c>
      <c r="BA1" s="20" t="s">
        <v>86</v>
      </c>
      <c r="BB1" s="20" t="s">
        <v>87</v>
      </c>
      <c r="BC1" s="20" t="s">
        <v>88</v>
      </c>
      <c r="BD1" s="20" t="s">
        <v>89</v>
      </c>
      <c r="BE1" s="20" t="s">
        <v>90</v>
      </c>
      <c r="BF1" s="20" t="s">
        <v>91</v>
      </c>
      <c r="BG1" s="20" t="s">
        <v>92</v>
      </c>
      <c r="BH1" s="20" t="s">
        <v>93</v>
      </c>
      <c r="BI1" s="20" t="s">
        <v>94</v>
      </c>
      <c r="BJ1" s="20" t="s">
        <v>95</v>
      </c>
      <c r="BK1" s="20" t="s">
        <v>96</v>
      </c>
      <c r="BL1" s="20" t="s">
        <v>97</v>
      </c>
      <c r="BM1" s="20" t="s">
        <v>98</v>
      </c>
      <c r="BN1" s="20" t="s">
        <v>99</v>
      </c>
      <c r="BO1" s="20" t="s">
        <v>100</v>
      </c>
      <c r="BP1" s="20" t="s">
        <v>101</v>
      </c>
      <c r="BQ1" s="20" t="s">
        <v>102</v>
      </c>
      <c r="BR1" s="20" t="s">
        <v>103</v>
      </c>
      <c r="BS1" s="20" t="s">
        <v>104</v>
      </c>
      <c r="BT1" s="20" t="s">
        <v>105</v>
      </c>
      <c r="BU1" s="20" t="s">
        <v>106</v>
      </c>
      <c r="BV1" s="20" t="s">
        <v>107</v>
      </c>
      <c r="BW1" s="20" t="s">
        <v>108</v>
      </c>
      <c r="BX1" s="20" t="s">
        <v>109</v>
      </c>
      <c r="BY1" s="20" t="s">
        <v>110</v>
      </c>
      <c r="BZ1" s="20" t="s">
        <v>111</v>
      </c>
      <c r="CA1" s="20" t="s">
        <v>112</v>
      </c>
      <c r="CB1" s="20" t="s">
        <v>113</v>
      </c>
      <c r="CC1" s="20" t="s">
        <v>114</v>
      </c>
      <c r="CD1" s="20" t="s">
        <v>115</v>
      </c>
      <c r="CE1" s="20" t="s">
        <v>116</v>
      </c>
      <c r="CF1" s="20" t="s">
        <v>117</v>
      </c>
      <c r="CG1" s="20" t="s">
        <v>118</v>
      </c>
      <c r="CH1" s="20" t="s">
        <v>119</v>
      </c>
      <c r="CI1" s="20" t="s">
        <v>120</v>
      </c>
      <c r="CJ1" s="20" t="s">
        <v>121</v>
      </c>
      <c r="CK1" s="20" t="s">
        <v>122</v>
      </c>
      <c r="CL1" s="20" t="s">
        <v>123</v>
      </c>
      <c r="CM1" s="20" t="s">
        <v>124</v>
      </c>
      <c r="CN1" s="20" t="s">
        <v>125</v>
      </c>
      <c r="CO1" s="20" t="s">
        <v>126</v>
      </c>
      <c r="CP1" s="20" t="s">
        <v>127</v>
      </c>
      <c r="CQ1" s="20" t="s">
        <v>128</v>
      </c>
      <c r="CR1" s="20" t="s">
        <v>129</v>
      </c>
      <c r="CS1" s="20" t="s">
        <v>130</v>
      </c>
      <c r="CT1" s="20" t="s">
        <v>131</v>
      </c>
      <c r="CU1" s="20" t="s">
        <v>132</v>
      </c>
      <c r="CW1" t="s">
        <v>133</v>
      </c>
    </row>
    <row r="2" spans="1:101" x14ac:dyDescent="0.35">
      <c r="A2" t="s">
        <v>134</v>
      </c>
      <c r="B2" t="s">
        <v>135</v>
      </c>
      <c r="C2" t="str">
        <f t="shared" ref="C2:C45" si="0">_xlfn.CONCAT(A2," ",B2)</f>
        <v>Abishek Chopra Credit Risk</v>
      </c>
      <c r="D2" s="3">
        <v>1</v>
      </c>
      <c r="E2" s="3"/>
      <c r="F2" s="3"/>
      <c r="G2" s="3"/>
      <c r="H2" s="3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t="s">
        <v>135</v>
      </c>
      <c r="AH2" s="3"/>
      <c r="AI2" t="s">
        <v>46</v>
      </c>
      <c r="AJ2" t="s">
        <v>46</v>
      </c>
      <c r="AK2" t="s">
        <v>33</v>
      </c>
      <c r="AL2" t="s">
        <v>46</v>
      </c>
      <c r="AN2">
        <v>1</v>
      </c>
      <c r="AP2" t="s">
        <v>136</v>
      </c>
      <c r="AQ2" t="s">
        <v>137</v>
      </c>
      <c r="AR2" t="s">
        <v>138</v>
      </c>
      <c r="AS2" t="s">
        <v>134</v>
      </c>
      <c r="AU2" s="17">
        <v>2022</v>
      </c>
      <c r="AV2" s="17">
        <v>2022</v>
      </c>
      <c r="AW2" s="17">
        <v>2022</v>
      </c>
      <c r="AX2" s="17">
        <v>2022</v>
      </c>
      <c r="AY2" s="17">
        <v>2022</v>
      </c>
      <c r="AZ2" s="17">
        <v>2022</v>
      </c>
      <c r="BA2" s="17">
        <v>2022</v>
      </c>
      <c r="BB2" s="17">
        <v>2022</v>
      </c>
      <c r="BC2" s="17">
        <v>2022</v>
      </c>
      <c r="BD2" s="17">
        <v>2022</v>
      </c>
      <c r="BE2" s="17">
        <v>2022</v>
      </c>
      <c r="BF2" s="17">
        <v>2022</v>
      </c>
      <c r="BG2" s="17">
        <v>2022</v>
      </c>
      <c r="BH2" s="17">
        <v>2022</v>
      </c>
      <c r="BI2" s="17">
        <v>2022</v>
      </c>
      <c r="BJ2" s="17">
        <v>2022</v>
      </c>
      <c r="BK2" s="17">
        <v>2022</v>
      </c>
      <c r="BL2" s="17">
        <v>2022</v>
      </c>
      <c r="BM2" s="17">
        <v>2022</v>
      </c>
      <c r="BN2" s="17">
        <v>2022</v>
      </c>
      <c r="BO2" s="17">
        <v>2022</v>
      </c>
      <c r="BP2" s="17">
        <v>2022</v>
      </c>
      <c r="BQ2" s="17">
        <v>2022</v>
      </c>
      <c r="BR2" s="17">
        <v>2022</v>
      </c>
      <c r="BS2" s="17">
        <v>2022</v>
      </c>
      <c r="BT2" s="17">
        <v>2022</v>
      </c>
      <c r="BU2" s="17">
        <v>2022</v>
      </c>
      <c r="BV2" s="17">
        <v>2022</v>
      </c>
      <c r="BW2" s="17">
        <v>2022</v>
      </c>
      <c r="BX2" s="17">
        <v>2022</v>
      </c>
      <c r="BY2" s="17">
        <v>2022</v>
      </c>
      <c r="BZ2" s="17">
        <v>2022</v>
      </c>
      <c r="CA2" s="17">
        <v>2022</v>
      </c>
      <c r="CB2" s="17">
        <v>2022</v>
      </c>
      <c r="CC2" s="17">
        <v>2022</v>
      </c>
      <c r="CD2" s="17">
        <v>2022</v>
      </c>
      <c r="CE2" s="17">
        <v>2022</v>
      </c>
      <c r="CF2" s="17">
        <v>2022</v>
      </c>
      <c r="CG2" s="17">
        <v>2022</v>
      </c>
      <c r="CH2" s="17">
        <v>2022</v>
      </c>
      <c r="CI2" s="17">
        <v>2022</v>
      </c>
      <c r="CJ2" s="17">
        <v>2022</v>
      </c>
      <c r="CK2" s="17">
        <v>2022</v>
      </c>
      <c r="CL2" s="17">
        <v>2022</v>
      </c>
      <c r="CM2" s="17">
        <v>2022</v>
      </c>
      <c r="CN2" s="17">
        <v>2022</v>
      </c>
      <c r="CO2" s="17">
        <v>2022</v>
      </c>
      <c r="CP2" s="17">
        <v>2022</v>
      </c>
      <c r="CQ2" s="17">
        <v>2022</v>
      </c>
      <c r="CR2" s="17">
        <v>2022</v>
      </c>
      <c r="CS2" s="17">
        <v>2022</v>
      </c>
      <c r="CT2" s="17">
        <v>2022</v>
      </c>
      <c r="CU2" s="17">
        <v>2022</v>
      </c>
      <c r="CW2">
        <v>1</v>
      </c>
    </row>
    <row r="3" spans="1:101" x14ac:dyDescent="0.35">
      <c r="A3" t="s">
        <v>139</v>
      </c>
      <c r="B3" t="s">
        <v>140</v>
      </c>
      <c r="C3" t="str">
        <f t="shared" si="0"/>
        <v>Adam Pollachi IFRS9</v>
      </c>
      <c r="D3" s="3">
        <v>0.9</v>
      </c>
      <c r="E3" s="3">
        <v>0.2</v>
      </c>
      <c r="F3" s="3"/>
      <c r="G3" s="3">
        <v>0.2</v>
      </c>
      <c r="H3" s="3"/>
      <c r="I3" s="3"/>
      <c r="J3" s="3"/>
      <c r="K3" s="3"/>
      <c r="L3" s="3"/>
      <c r="M3" s="3">
        <v>0.45</v>
      </c>
      <c r="N3" s="3">
        <v>0.05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t="s">
        <v>141</v>
      </c>
      <c r="AH3" s="3"/>
      <c r="AI3" t="s">
        <v>17</v>
      </c>
      <c r="AJ3" t="s">
        <v>17</v>
      </c>
      <c r="AK3" t="s">
        <v>38</v>
      </c>
      <c r="AL3" t="s">
        <v>17</v>
      </c>
      <c r="AN3">
        <v>2</v>
      </c>
      <c r="AP3" t="s">
        <v>142</v>
      </c>
      <c r="AQ3" t="s">
        <v>143</v>
      </c>
      <c r="AR3" t="s">
        <v>144</v>
      </c>
      <c r="AS3" t="s">
        <v>145</v>
      </c>
      <c r="AU3" s="18">
        <v>0</v>
      </c>
      <c r="AV3" s="1">
        <v>1</v>
      </c>
      <c r="AW3" s="1">
        <v>2</v>
      </c>
      <c r="AX3" s="1">
        <v>3</v>
      </c>
      <c r="AY3" s="1">
        <v>4</v>
      </c>
      <c r="AZ3" s="1">
        <v>5</v>
      </c>
      <c r="BA3" s="1">
        <v>6</v>
      </c>
      <c r="BB3" s="1">
        <v>7</v>
      </c>
      <c r="BC3" s="1">
        <v>8</v>
      </c>
      <c r="BD3" s="1">
        <v>9</v>
      </c>
      <c r="BE3" s="1">
        <v>10</v>
      </c>
      <c r="BF3" s="1">
        <v>11</v>
      </c>
      <c r="BG3" s="1">
        <v>12</v>
      </c>
      <c r="BH3" s="1">
        <v>13</v>
      </c>
      <c r="BI3" s="1">
        <v>14</v>
      </c>
      <c r="BJ3" s="1">
        <v>15</v>
      </c>
      <c r="BK3" s="1">
        <v>16</v>
      </c>
      <c r="BL3" s="1">
        <v>17</v>
      </c>
      <c r="BM3" s="1">
        <v>18</v>
      </c>
      <c r="BN3" s="1">
        <v>19</v>
      </c>
      <c r="BO3" s="1">
        <v>20</v>
      </c>
      <c r="BP3" s="1">
        <v>21</v>
      </c>
      <c r="BQ3" s="1">
        <v>22</v>
      </c>
      <c r="BR3" s="1">
        <v>23</v>
      </c>
      <c r="BS3" s="1">
        <v>24</v>
      </c>
      <c r="BT3" s="1">
        <v>25</v>
      </c>
      <c r="BU3" s="1">
        <v>26</v>
      </c>
      <c r="BV3" s="1">
        <v>27</v>
      </c>
      <c r="BW3" s="1">
        <v>28</v>
      </c>
      <c r="BX3" s="1">
        <v>29</v>
      </c>
      <c r="BY3" s="1">
        <v>30</v>
      </c>
      <c r="BZ3" s="1">
        <v>31</v>
      </c>
      <c r="CA3" s="1">
        <v>32</v>
      </c>
      <c r="CB3" s="1">
        <v>33</v>
      </c>
      <c r="CC3" s="1">
        <v>34</v>
      </c>
      <c r="CD3" s="1">
        <v>35</v>
      </c>
      <c r="CE3" s="1">
        <v>36</v>
      </c>
      <c r="CF3" s="1">
        <v>37</v>
      </c>
      <c r="CG3" s="1">
        <v>38</v>
      </c>
      <c r="CH3" s="1">
        <v>39</v>
      </c>
      <c r="CI3" s="1">
        <v>40</v>
      </c>
      <c r="CJ3" s="1">
        <v>41</v>
      </c>
      <c r="CK3" s="1">
        <v>42</v>
      </c>
      <c r="CL3" s="1">
        <v>43</v>
      </c>
      <c r="CM3" s="1">
        <v>44</v>
      </c>
      <c r="CN3" s="1">
        <v>45</v>
      </c>
      <c r="CO3" s="1">
        <v>46</v>
      </c>
      <c r="CP3" s="1">
        <v>47</v>
      </c>
      <c r="CQ3" s="1">
        <v>48</v>
      </c>
      <c r="CR3" s="1">
        <v>49</v>
      </c>
      <c r="CS3" s="1">
        <v>50</v>
      </c>
      <c r="CT3" s="1">
        <v>51</v>
      </c>
      <c r="CU3" s="1">
        <v>52</v>
      </c>
      <c r="CW3">
        <v>2</v>
      </c>
    </row>
    <row r="4" spans="1:101" x14ac:dyDescent="0.35">
      <c r="A4" t="s">
        <v>139</v>
      </c>
      <c r="B4" t="s">
        <v>146</v>
      </c>
      <c r="C4" t="str">
        <f t="shared" si="0"/>
        <v>Adam Pollachi Risk on Demand Services</v>
      </c>
      <c r="D4" s="3">
        <v>0.1</v>
      </c>
      <c r="E4" s="3"/>
      <c r="F4" s="3"/>
      <c r="G4" s="3"/>
      <c r="H4" s="3"/>
      <c r="I4" s="3"/>
      <c r="J4" s="3"/>
      <c r="K4" s="3"/>
      <c r="L4" s="3"/>
      <c r="M4" s="3"/>
      <c r="N4" s="3"/>
      <c r="O4" s="3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t="s">
        <v>147</v>
      </c>
      <c r="AH4" s="3"/>
      <c r="AI4" t="s">
        <v>258</v>
      </c>
      <c r="AJ4" t="s">
        <v>258</v>
      </c>
      <c r="AK4" t="s">
        <v>257</v>
      </c>
      <c r="AL4" t="s">
        <v>258</v>
      </c>
      <c r="AN4">
        <v>3</v>
      </c>
      <c r="AP4" t="s">
        <v>150</v>
      </c>
      <c r="AQ4" t="s">
        <v>151</v>
      </c>
      <c r="AR4" t="s">
        <v>152</v>
      </c>
      <c r="AS4" t="s">
        <v>153</v>
      </c>
      <c r="AU4" s="19">
        <v>44557</v>
      </c>
      <c r="AV4" s="2">
        <f>WeekRef[[#This Row],[Week 1]]+7</f>
        <v>44564</v>
      </c>
      <c r="AW4" s="2">
        <f>WeekRef[[#This Row],[Week 2]]+7</f>
        <v>44571</v>
      </c>
      <c r="AX4" s="2">
        <f>WeekRef[[#This Row],[Week 3]]+7</f>
        <v>44578</v>
      </c>
      <c r="AY4" s="2">
        <f>WeekRef[[#This Row],[Week 4]]+7</f>
        <v>44585</v>
      </c>
      <c r="AZ4" s="2">
        <f>WeekRef[[#This Row],[Week 5]]+7</f>
        <v>44592</v>
      </c>
      <c r="BA4" s="2">
        <f>WeekRef[[#This Row],[Week 6]]+7</f>
        <v>44599</v>
      </c>
      <c r="BB4" s="2">
        <f>WeekRef[[#This Row],[Week 7]]+7</f>
        <v>44606</v>
      </c>
      <c r="BC4" s="2">
        <f>WeekRef[[#This Row],[Week 8]]+7</f>
        <v>44613</v>
      </c>
      <c r="BD4" s="2">
        <f>WeekRef[[#This Row],[Week 9]]+7</f>
        <v>44620</v>
      </c>
      <c r="BE4" s="2">
        <f>WeekRef[[#This Row],[Week 10]]+7</f>
        <v>44627</v>
      </c>
      <c r="BF4" s="2">
        <f>WeekRef[[#This Row],[Week 11]]+7</f>
        <v>44634</v>
      </c>
      <c r="BG4" s="2">
        <f>WeekRef[[#This Row],[Week 12]]+7</f>
        <v>44641</v>
      </c>
      <c r="BH4" s="2">
        <f>WeekRef[[#This Row],[Week 13]]+7</f>
        <v>44648</v>
      </c>
      <c r="BI4" s="2">
        <f>WeekRef[[#This Row],[Week 14]]+7</f>
        <v>44655</v>
      </c>
      <c r="BJ4" s="2">
        <f>WeekRef[[#This Row],[Week 15]]+7</f>
        <v>44662</v>
      </c>
      <c r="BK4" s="2">
        <f>WeekRef[[#This Row],[Week 16]]+7</f>
        <v>44669</v>
      </c>
      <c r="BL4" s="2">
        <f>WeekRef[[#This Row],[Week 17]]+7</f>
        <v>44676</v>
      </c>
      <c r="BM4" s="2">
        <f>WeekRef[[#This Row],[Week 18]]+7</f>
        <v>44683</v>
      </c>
      <c r="BN4" s="2">
        <f>WeekRef[[#This Row],[Week 19]]+7</f>
        <v>44690</v>
      </c>
      <c r="BO4" s="2">
        <f>WeekRef[[#This Row],[Week 20]]+7</f>
        <v>44697</v>
      </c>
      <c r="BP4" s="2">
        <f>WeekRef[[#This Row],[Week 21]]+7</f>
        <v>44704</v>
      </c>
      <c r="BQ4" s="2">
        <f>WeekRef[[#This Row],[Week 22]]+7</f>
        <v>44711</v>
      </c>
      <c r="BR4" s="2">
        <f>WeekRef[[#This Row],[Week 23]]+7</f>
        <v>44718</v>
      </c>
      <c r="BS4" s="2">
        <f>WeekRef[[#This Row],[Week 24]]+7</f>
        <v>44725</v>
      </c>
      <c r="BT4" s="2">
        <f>WeekRef[[#This Row],[Week 25]]+7</f>
        <v>44732</v>
      </c>
      <c r="BU4" s="2">
        <f>WeekRef[[#This Row],[Week 26]]+7</f>
        <v>44739</v>
      </c>
      <c r="BV4" s="2">
        <f>WeekRef[[#This Row],[Week 27]]+7</f>
        <v>44746</v>
      </c>
      <c r="BW4" s="2">
        <f>WeekRef[[#This Row],[Week 28]]+7</f>
        <v>44753</v>
      </c>
      <c r="BX4" s="2">
        <f>WeekRef[[#This Row],[Week 29]]+7</f>
        <v>44760</v>
      </c>
      <c r="BY4" s="2">
        <f>WeekRef[[#This Row],[Week 30]]+7</f>
        <v>44767</v>
      </c>
      <c r="BZ4" s="2">
        <f>WeekRef[[#This Row],[Week 31]]+7</f>
        <v>44774</v>
      </c>
      <c r="CA4" s="2">
        <f>WeekRef[[#This Row],[Week 32]]+7</f>
        <v>44781</v>
      </c>
      <c r="CB4" s="2">
        <f>WeekRef[[#This Row],[Week 33]]+7</f>
        <v>44788</v>
      </c>
      <c r="CC4" s="2">
        <f>WeekRef[[#This Row],[Week 34]]+7</f>
        <v>44795</v>
      </c>
      <c r="CD4" s="2">
        <f>WeekRef[[#This Row],[Week 35]]+7</f>
        <v>44802</v>
      </c>
      <c r="CE4" s="2">
        <f>WeekRef[[#This Row],[Week 36]]+7</f>
        <v>44809</v>
      </c>
      <c r="CF4" s="2">
        <f>WeekRef[[#This Row],[Week 37]]+7</f>
        <v>44816</v>
      </c>
      <c r="CG4" s="2">
        <f>WeekRef[[#This Row],[Week 38]]+7</f>
        <v>44823</v>
      </c>
      <c r="CH4" s="2">
        <f>WeekRef[[#This Row],[Week 39]]+7</f>
        <v>44830</v>
      </c>
      <c r="CI4" s="2">
        <f>WeekRef[[#This Row],[Week 40]]+7</f>
        <v>44837</v>
      </c>
      <c r="CJ4" s="2">
        <f>WeekRef[[#This Row],[Week 41]]+7</f>
        <v>44844</v>
      </c>
      <c r="CK4" s="2">
        <f>WeekRef[[#This Row],[Week 42]]+7</f>
        <v>44851</v>
      </c>
      <c r="CL4" s="2">
        <f>WeekRef[[#This Row],[Week 43]]+7</f>
        <v>44858</v>
      </c>
      <c r="CM4" s="2">
        <f>WeekRef[[#This Row],[Week 44]]+7</f>
        <v>44865</v>
      </c>
      <c r="CN4" s="2">
        <f>WeekRef[[#This Row],[Week 45]]+7</f>
        <v>44872</v>
      </c>
      <c r="CO4" s="2">
        <f>WeekRef[[#This Row],[Week 46]]+7</f>
        <v>44879</v>
      </c>
      <c r="CP4" s="2">
        <f>WeekRef[[#This Row],[Week 47]]+7</f>
        <v>44886</v>
      </c>
      <c r="CQ4" s="2">
        <f>WeekRef[[#This Row],[Week 48]]+7</f>
        <v>44893</v>
      </c>
      <c r="CR4" s="2">
        <f>WeekRef[[#This Row],[Week 49]]+7</f>
        <v>44900</v>
      </c>
      <c r="CS4" s="2">
        <f>WeekRef[[#This Row],[Week 50]]+7</f>
        <v>44907</v>
      </c>
      <c r="CT4" s="2">
        <f>WeekRef[[#This Row],[Week 51]]+7</f>
        <v>44914</v>
      </c>
      <c r="CU4" s="2">
        <f>WeekRef[[#This Row],[Week 52]]+7</f>
        <v>44921</v>
      </c>
      <c r="CW4">
        <v>3</v>
      </c>
    </row>
    <row r="5" spans="1:101" x14ac:dyDescent="0.35">
      <c r="A5" t="s">
        <v>148</v>
      </c>
      <c r="B5" t="s">
        <v>141</v>
      </c>
      <c r="C5" t="str">
        <f t="shared" si="0"/>
        <v>Allison Lin Data Lineage</v>
      </c>
      <c r="D5" s="3">
        <v>0.8</v>
      </c>
      <c r="E5" s="3">
        <v>0.2</v>
      </c>
      <c r="F5" s="3"/>
      <c r="G5" s="3">
        <v>0.1</v>
      </c>
      <c r="H5" s="3"/>
      <c r="I5" s="3"/>
      <c r="J5" s="3"/>
      <c r="K5" s="3"/>
      <c r="L5" s="3"/>
      <c r="M5" s="3">
        <v>0.4</v>
      </c>
      <c r="N5" s="3"/>
      <c r="O5" s="3"/>
      <c r="P5" s="3">
        <v>0.1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t="s">
        <v>149</v>
      </c>
      <c r="AH5" s="3"/>
      <c r="AN5">
        <v>4</v>
      </c>
      <c r="AP5" t="s">
        <v>155</v>
      </c>
      <c r="AQ5" t="s">
        <v>156</v>
      </c>
      <c r="AR5" t="s">
        <v>138</v>
      </c>
      <c r="AS5" t="s">
        <v>157</v>
      </c>
      <c r="AU5" s="19">
        <v>44558</v>
      </c>
      <c r="AV5" s="2">
        <f>WeekRef[[#This Row],[Week 1]]+7</f>
        <v>44565</v>
      </c>
      <c r="AW5" s="2">
        <f>WeekRef[[#This Row],[Week 2]]+7</f>
        <v>44572</v>
      </c>
      <c r="AX5" s="2">
        <f>WeekRef[[#This Row],[Week 3]]+7</f>
        <v>44579</v>
      </c>
      <c r="AY5" s="2">
        <f>WeekRef[[#This Row],[Week 4]]+7</f>
        <v>44586</v>
      </c>
      <c r="AZ5" s="2">
        <f>WeekRef[[#This Row],[Week 5]]+7</f>
        <v>44593</v>
      </c>
      <c r="BA5" s="2">
        <f>WeekRef[[#This Row],[Week 6]]+7</f>
        <v>44600</v>
      </c>
      <c r="BB5" s="2">
        <f>WeekRef[[#This Row],[Week 7]]+7</f>
        <v>44607</v>
      </c>
      <c r="BC5" s="2">
        <f>WeekRef[[#This Row],[Week 8]]+7</f>
        <v>44614</v>
      </c>
      <c r="BD5" s="2">
        <f>WeekRef[[#This Row],[Week 9]]+7</f>
        <v>44621</v>
      </c>
      <c r="BE5" s="2">
        <f>WeekRef[[#This Row],[Week 10]]+7</f>
        <v>44628</v>
      </c>
      <c r="BF5" s="2">
        <f>WeekRef[[#This Row],[Week 11]]+7</f>
        <v>44635</v>
      </c>
      <c r="BG5" s="2">
        <f>WeekRef[[#This Row],[Week 12]]+7</f>
        <v>44642</v>
      </c>
      <c r="BH5" s="2">
        <f>WeekRef[[#This Row],[Week 13]]+7</f>
        <v>44649</v>
      </c>
      <c r="BI5" s="2">
        <f>WeekRef[[#This Row],[Week 14]]+7</f>
        <v>44656</v>
      </c>
      <c r="BJ5" s="2">
        <f>WeekRef[[#This Row],[Week 15]]+7</f>
        <v>44663</v>
      </c>
      <c r="BK5" s="2">
        <f>WeekRef[[#This Row],[Week 16]]+7</f>
        <v>44670</v>
      </c>
      <c r="BL5" s="2">
        <f>WeekRef[[#This Row],[Week 17]]+7</f>
        <v>44677</v>
      </c>
      <c r="BM5" s="2">
        <f>WeekRef[[#This Row],[Week 18]]+7</f>
        <v>44684</v>
      </c>
      <c r="BN5" s="2">
        <f>WeekRef[[#This Row],[Week 19]]+7</f>
        <v>44691</v>
      </c>
      <c r="BO5" s="2">
        <f>WeekRef[[#This Row],[Week 20]]+7</f>
        <v>44698</v>
      </c>
      <c r="BP5" s="2">
        <f>WeekRef[[#This Row],[Week 21]]+7</f>
        <v>44705</v>
      </c>
      <c r="BQ5" s="2">
        <f>WeekRef[[#This Row],[Week 22]]+7</f>
        <v>44712</v>
      </c>
      <c r="BR5" s="2">
        <f>WeekRef[[#This Row],[Week 23]]+7</f>
        <v>44719</v>
      </c>
      <c r="BS5" s="2">
        <f>WeekRef[[#This Row],[Week 24]]+7</f>
        <v>44726</v>
      </c>
      <c r="BT5" s="2">
        <f>WeekRef[[#This Row],[Week 25]]+7</f>
        <v>44733</v>
      </c>
      <c r="BU5" s="2">
        <f>WeekRef[[#This Row],[Week 26]]+7</f>
        <v>44740</v>
      </c>
      <c r="BV5" s="2">
        <f>WeekRef[[#This Row],[Week 27]]+7</f>
        <v>44747</v>
      </c>
      <c r="BW5" s="2">
        <f>WeekRef[[#This Row],[Week 28]]+7</f>
        <v>44754</v>
      </c>
      <c r="BX5" s="2">
        <f>WeekRef[[#This Row],[Week 29]]+7</f>
        <v>44761</v>
      </c>
      <c r="BY5" s="2">
        <f>WeekRef[[#This Row],[Week 30]]+7</f>
        <v>44768</v>
      </c>
      <c r="BZ5" s="2">
        <f>WeekRef[[#This Row],[Week 31]]+7</f>
        <v>44775</v>
      </c>
      <c r="CA5" s="2">
        <f>WeekRef[[#This Row],[Week 32]]+7</f>
        <v>44782</v>
      </c>
      <c r="CB5" s="2">
        <f>WeekRef[[#This Row],[Week 33]]+7</f>
        <v>44789</v>
      </c>
      <c r="CC5" s="2">
        <f>WeekRef[[#This Row],[Week 34]]+7</f>
        <v>44796</v>
      </c>
      <c r="CD5" s="2">
        <f>WeekRef[[#This Row],[Week 35]]+7</f>
        <v>44803</v>
      </c>
      <c r="CE5" s="2">
        <f>WeekRef[[#This Row],[Week 36]]+7</f>
        <v>44810</v>
      </c>
      <c r="CF5" s="2">
        <f>WeekRef[[#This Row],[Week 37]]+7</f>
        <v>44817</v>
      </c>
      <c r="CG5" s="2">
        <f>WeekRef[[#This Row],[Week 38]]+7</f>
        <v>44824</v>
      </c>
      <c r="CH5" s="2">
        <f>WeekRef[[#This Row],[Week 39]]+7</f>
        <v>44831</v>
      </c>
      <c r="CI5" s="2">
        <f>WeekRef[[#This Row],[Week 40]]+7</f>
        <v>44838</v>
      </c>
      <c r="CJ5" s="2">
        <f>WeekRef[[#This Row],[Week 41]]+7</f>
        <v>44845</v>
      </c>
      <c r="CK5" s="2">
        <f>WeekRef[[#This Row],[Week 42]]+7</f>
        <v>44852</v>
      </c>
      <c r="CL5" s="2">
        <f>WeekRef[[#This Row],[Week 43]]+7</f>
        <v>44859</v>
      </c>
      <c r="CM5" s="2">
        <f>WeekRef[[#This Row],[Week 44]]+7</f>
        <v>44866</v>
      </c>
      <c r="CN5" s="2">
        <f>WeekRef[[#This Row],[Week 45]]+7</f>
        <v>44873</v>
      </c>
      <c r="CO5" s="2">
        <f>WeekRef[[#This Row],[Week 46]]+7</f>
        <v>44880</v>
      </c>
      <c r="CP5" s="2">
        <f>WeekRef[[#This Row],[Week 47]]+7</f>
        <v>44887</v>
      </c>
      <c r="CQ5" s="2">
        <f>WeekRef[[#This Row],[Week 48]]+7</f>
        <v>44894</v>
      </c>
      <c r="CR5" s="2">
        <f>WeekRef[[#This Row],[Week 49]]+7</f>
        <v>44901</v>
      </c>
      <c r="CS5" s="2">
        <f>WeekRef[[#This Row],[Week 50]]+7</f>
        <v>44908</v>
      </c>
      <c r="CT5" s="2">
        <f>WeekRef[[#This Row],[Week 51]]+7</f>
        <v>44915</v>
      </c>
      <c r="CU5" s="2">
        <f>WeekRef[[#This Row],[Week 52]]+7</f>
        <v>44922</v>
      </c>
    </row>
    <row r="6" spans="1:101" x14ac:dyDescent="0.35">
      <c r="A6" t="s">
        <v>148</v>
      </c>
      <c r="B6" t="s">
        <v>154</v>
      </c>
      <c r="C6" t="str">
        <f t="shared" si="0"/>
        <v>Allison Lin Model Lifecycle</v>
      </c>
      <c r="D6" s="3">
        <v>0.2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0.2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t="s">
        <v>140</v>
      </c>
      <c r="AH6" s="3"/>
      <c r="AN6">
        <v>5</v>
      </c>
      <c r="AP6" t="s">
        <v>162</v>
      </c>
      <c r="AQ6" t="s">
        <v>163</v>
      </c>
      <c r="AR6" t="s">
        <v>138</v>
      </c>
      <c r="AS6" t="s">
        <v>164</v>
      </c>
      <c r="AU6" s="19">
        <v>44559</v>
      </c>
      <c r="AV6" s="2">
        <f>WeekRef[[#This Row],[Week 1]]+7</f>
        <v>44566</v>
      </c>
      <c r="AW6" s="2">
        <f>WeekRef[[#This Row],[Week 2]]+7</f>
        <v>44573</v>
      </c>
      <c r="AX6" s="2">
        <f>WeekRef[[#This Row],[Week 3]]+7</f>
        <v>44580</v>
      </c>
      <c r="AY6" s="2">
        <f>WeekRef[[#This Row],[Week 4]]+7</f>
        <v>44587</v>
      </c>
      <c r="AZ6" s="2">
        <f>WeekRef[[#This Row],[Week 5]]+7</f>
        <v>44594</v>
      </c>
      <c r="BA6" s="2">
        <f>WeekRef[[#This Row],[Week 6]]+7</f>
        <v>44601</v>
      </c>
      <c r="BB6" s="2">
        <f>WeekRef[[#This Row],[Week 7]]+7</f>
        <v>44608</v>
      </c>
      <c r="BC6" s="2">
        <f>WeekRef[[#This Row],[Week 8]]+7</f>
        <v>44615</v>
      </c>
      <c r="BD6" s="2">
        <f>WeekRef[[#This Row],[Week 9]]+7</f>
        <v>44622</v>
      </c>
      <c r="BE6" s="2">
        <f>WeekRef[[#This Row],[Week 10]]+7</f>
        <v>44629</v>
      </c>
      <c r="BF6" s="2">
        <f>WeekRef[[#This Row],[Week 11]]+7</f>
        <v>44636</v>
      </c>
      <c r="BG6" s="2">
        <f>WeekRef[[#This Row],[Week 12]]+7</f>
        <v>44643</v>
      </c>
      <c r="BH6" s="2">
        <f>WeekRef[[#This Row],[Week 13]]+7</f>
        <v>44650</v>
      </c>
      <c r="BI6" s="2">
        <f>WeekRef[[#This Row],[Week 14]]+7</f>
        <v>44657</v>
      </c>
      <c r="BJ6" s="2">
        <f>WeekRef[[#This Row],[Week 15]]+7</f>
        <v>44664</v>
      </c>
      <c r="BK6" s="2">
        <f>WeekRef[[#This Row],[Week 16]]+7</f>
        <v>44671</v>
      </c>
      <c r="BL6" s="2">
        <f>WeekRef[[#This Row],[Week 17]]+7</f>
        <v>44678</v>
      </c>
      <c r="BM6" s="2">
        <f>WeekRef[[#This Row],[Week 18]]+7</f>
        <v>44685</v>
      </c>
      <c r="BN6" s="2">
        <f>WeekRef[[#This Row],[Week 19]]+7</f>
        <v>44692</v>
      </c>
      <c r="BO6" s="2">
        <f>WeekRef[[#This Row],[Week 20]]+7</f>
        <v>44699</v>
      </c>
      <c r="BP6" s="2">
        <f>WeekRef[[#This Row],[Week 21]]+7</f>
        <v>44706</v>
      </c>
      <c r="BQ6" s="2">
        <f>WeekRef[[#This Row],[Week 22]]+7</f>
        <v>44713</v>
      </c>
      <c r="BR6" s="2">
        <f>WeekRef[[#This Row],[Week 23]]+7</f>
        <v>44720</v>
      </c>
      <c r="BS6" s="2">
        <f>WeekRef[[#This Row],[Week 24]]+7</f>
        <v>44727</v>
      </c>
      <c r="BT6" s="2">
        <f>WeekRef[[#This Row],[Week 25]]+7</f>
        <v>44734</v>
      </c>
      <c r="BU6" s="2">
        <f>WeekRef[[#This Row],[Week 26]]+7</f>
        <v>44741</v>
      </c>
      <c r="BV6" s="2">
        <f>WeekRef[[#This Row],[Week 27]]+7</f>
        <v>44748</v>
      </c>
      <c r="BW6" s="2">
        <f>WeekRef[[#This Row],[Week 28]]+7</f>
        <v>44755</v>
      </c>
      <c r="BX6" s="2">
        <f>WeekRef[[#This Row],[Week 29]]+7</f>
        <v>44762</v>
      </c>
      <c r="BY6" s="2">
        <f>WeekRef[[#This Row],[Week 30]]+7</f>
        <v>44769</v>
      </c>
      <c r="BZ6" s="2">
        <f>WeekRef[[#This Row],[Week 31]]+7</f>
        <v>44776</v>
      </c>
      <c r="CA6" s="2">
        <f>WeekRef[[#This Row],[Week 32]]+7</f>
        <v>44783</v>
      </c>
      <c r="CB6" s="2">
        <f>WeekRef[[#This Row],[Week 33]]+7</f>
        <v>44790</v>
      </c>
      <c r="CC6" s="2">
        <f>WeekRef[[#This Row],[Week 34]]+7</f>
        <v>44797</v>
      </c>
      <c r="CD6" s="2">
        <f>WeekRef[[#This Row],[Week 35]]+7</f>
        <v>44804</v>
      </c>
      <c r="CE6" s="2">
        <f>WeekRef[[#This Row],[Week 36]]+7</f>
        <v>44811</v>
      </c>
      <c r="CF6" s="2">
        <f>WeekRef[[#This Row],[Week 37]]+7</f>
        <v>44818</v>
      </c>
      <c r="CG6" s="2">
        <f>WeekRef[[#This Row],[Week 38]]+7</f>
        <v>44825</v>
      </c>
      <c r="CH6" s="2">
        <f>WeekRef[[#This Row],[Week 39]]+7</f>
        <v>44832</v>
      </c>
      <c r="CI6" s="2">
        <f>WeekRef[[#This Row],[Week 40]]+7</f>
        <v>44839</v>
      </c>
      <c r="CJ6" s="2">
        <f>WeekRef[[#This Row],[Week 41]]+7</f>
        <v>44846</v>
      </c>
      <c r="CK6" s="2">
        <f>WeekRef[[#This Row],[Week 42]]+7</f>
        <v>44853</v>
      </c>
      <c r="CL6" s="2">
        <f>WeekRef[[#This Row],[Week 43]]+7</f>
        <v>44860</v>
      </c>
      <c r="CM6" s="2">
        <f>WeekRef[[#This Row],[Week 44]]+7</f>
        <v>44867</v>
      </c>
      <c r="CN6" s="2">
        <f>WeekRef[[#This Row],[Week 45]]+7</f>
        <v>44874</v>
      </c>
      <c r="CO6" s="2">
        <f>WeekRef[[#This Row],[Week 46]]+7</f>
        <v>44881</v>
      </c>
      <c r="CP6" s="2">
        <f>WeekRef[[#This Row],[Week 47]]+7</f>
        <v>44888</v>
      </c>
      <c r="CQ6" s="2">
        <f>WeekRef[[#This Row],[Week 48]]+7</f>
        <v>44895</v>
      </c>
      <c r="CR6" s="2">
        <f>WeekRef[[#This Row],[Week 49]]+7</f>
        <v>44902</v>
      </c>
      <c r="CS6" s="2">
        <f>WeekRef[[#This Row],[Week 50]]+7</f>
        <v>44909</v>
      </c>
      <c r="CT6" s="2">
        <f>WeekRef[[#This Row],[Week 51]]+7</f>
        <v>44916</v>
      </c>
      <c r="CU6" s="2">
        <f>WeekRef[[#This Row],[Week 52]]+7</f>
        <v>44923</v>
      </c>
    </row>
    <row r="7" spans="1:101" x14ac:dyDescent="0.35">
      <c r="A7" t="s">
        <v>158</v>
      </c>
      <c r="B7" t="s">
        <v>135</v>
      </c>
      <c r="C7" t="str">
        <f t="shared" si="0"/>
        <v>Anish Kumar Pandey Credit Risk</v>
      </c>
      <c r="D7" s="3">
        <v>1</v>
      </c>
      <c r="E7" s="3">
        <v>0.2</v>
      </c>
      <c r="F7" s="3"/>
      <c r="G7" s="3">
        <v>0.2</v>
      </c>
      <c r="H7" s="3"/>
      <c r="I7" s="3"/>
      <c r="J7" s="3">
        <v>0.5</v>
      </c>
      <c r="K7" s="3"/>
      <c r="L7" s="3"/>
      <c r="M7" s="3">
        <v>0.05</v>
      </c>
      <c r="N7" s="3">
        <v>0.05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t="s">
        <v>159</v>
      </c>
      <c r="AH7" s="3"/>
      <c r="AN7">
        <v>6</v>
      </c>
      <c r="AP7" t="s">
        <v>249</v>
      </c>
      <c r="AQ7" t="s">
        <v>170</v>
      </c>
      <c r="AR7" t="s">
        <v>166</v>
      </c>
      <c r="AS7" t="s">
        <v>171</v>
      </c>
      <c r="AU7" s="19">
        <v>44560</v>
      </c>
      <c r="AV7" s="2">
        <f>WeekRef[[#This Row],[Week 1]]+7</f>
        <v>44567</v>
      </c>
      <c r="AW7" s="2">
        <f>WeekRef[[#This Row],[Week 2]]+7</f>
        <v>44574</v>
      </c>
      <c r="AX7" s="2">
        <f>WeekRef[[#This Row],[Week 3]]+7</f>
        <v>44581</v>
      </c>
      <c r="AY7" s="2">
        <f>WeekRef[[#This Row],[Week 4]]+7</f>
        <v>44588</v>
      </c>
      <c r="AZ7" s="2">
        <f>WeekRef[[#This Row],[Week 5]]+7</f>
        <v>44595</v>
      </c>
      <c r="BA7" s="2">
        <f>WeekRef[[#This Row],[Week 6]]+7</f>
        <v>44602</v>
      </c>
      <c r="BB7" s="2">
        <f>WeekRef[[#This Row],[Week 7]]+7</f>
        <v>44609</v>
      </c>
      <c r="BC7" s="2">
        <f>WeekRef[[#This Row],[Week 8]]+7</f>
        <v>44616</v>
      </c>
      <c r="BD7" s="2">
        <f>WeekRef[[#This Row],[Week 9]]+7</f>
        <v>44623</v>
      </c>
      <c r="BE7" s="2">
        <f>WeekRef[[#This Row],[Week 10]]+7</f>
        <v>44630</v>
      </c>
      <c r="BF7" s="2">
        <f>WeekRef[[#This Row],[Week 11]]+7</f>
        <v>44637</v>
      </c>
      <c r="BG7" s="2">
        <f>WeekRef[[#This Row],[Week 12]]+7</f>
        <v>44644</v>
      </c>
      <c r="BH7" s="2">
        <f>WeekRef[[#This Row],[Week 13]]+7</f>
        <v>44651</v>
      </c>
      <c r="BI7" s="2">
        <f>WeekRef[[#This Row],[Week 14]]+7</f>
        <v>44658</v>
      </c>
      <c r="BJ7" s="2">
        <f>WeekRef[[#This Row],[Week 15]]+7</f>
        <v>44665</v>
      </c>
      <c r="BK7" s="2">
        <f>WeekRef[[#This Row],[Week 16]]+7</f>
        <v>44672</v>
      </c>
      <c r="BL7" s="2">
        <f>WeekRef[[#This Row],[Week 17]]+7</f>
        <v>44679</v>
      </c>
      <c r="BM7" s="2">
        <f>WeekRef[[#This Row],[Week 18]]+7</f>
        <v>44686</v>
      </c>
      <c r="BN7" s="2">
        <f>WeekRef[[#This Row],[Week 19]]+7</f>
        <v>44693</v>
      </c>
      <c r="BO7" s="2">
        <f>WeekRef[[#This Row],[Week 20]]+7</f>
        <v>44700</v>
      </c>
      <c r="BP7" s="2">
        <f>WeekRef[[#This Row],[Week 21]]+7</f>
        <v>44707</v>
      </c>
      <c r="BQ7" s="2">
        <f>WeekRef[[#This Row],[Week 22]]+7</f>
        <v>44714</v>
      </c>
      <c r="BR7" s="2">
        <f>WeekRef[[#This Row],[Week 23]]+7</f>
        <v>44721</v>
      </c>
      <c r="BS7" s="2">
        <f>WeekRef[[#This Row],[Week 24]]+7</f>
        <v>44728</v>
      </c>
      <c r="BT7" s="2">
        <f>WeekRef[[#This Row],[Week 25]]+7</f>
        <v>44735</v>
      </c>
      <c r="BU7" s="2">
        <f>WeekRef[[#This Row],[Week 26]]+7</f>
        <v>44742</v>
      </c>
      <c r="BV7" s="2">
        <f>WeekRef[[#This Row],[Week 27]]+7</f>
        <v>44749</v>
      </c>
      <c r="BW7" s="2">
        <f>WeekRef[[#This Row],[Week 28]]+7</f>
        <v>44756</v>
      </c>
      <c r="BX7" s="2">
        <f>WeekRef[[#This Row],[Week 29]]+7</f>
        <v>44763</v>
      </c>
      <c r="BY7" s="2">
        <f>WeekRef[[#This Row],[Week 30]]+7</f>
        <v>44770</v>
      </c>
      <c r="BZ7" s="2">
        <f>WeekRef[[#This Row],[Week 31]]+7</f>
        <v>44777</v>
      </c>
      <c r="CA7" s="2">
        <f>WeekRef[[#This Row],[Week 32]]+7</f>
        <v>44784</v>
      </c>
      <c r="CB7" s="2">
        <f>WeekRef[[#This Row],[Week 33]]+7</f>
        <v>44791</v>
      </c>
      <c r="CC7" s="2">
        <f>WeekRef[[#This Row],[Week 34]]+7</f>
        <v>44798</v>
      </c>
      <c r="CD7" s="2">
        <f>WeekRef[[#This Row],[Week 35]]+7</f>
        <v>44805</v>
      </c>
      <c r="CE7" s="2">
        <f>WeekRef[[#This Row],[Week 36]]+7</f>
        <v>44812</v>
      </c>
      <c r="CF7" s="2">
        <f>WeekRef[[#This Row],[Week 37]]+7</f>
        <v>44819</v>
      </c>
      <c r="CG7" s="2">
        <f>WeekRef[[#This Row],[Week 38]]+7</f>
        <v>44826</v>
      </c>
      <c r="CH7" s="2">
        <f>WeekRef[[#This Row],[Week 39]]+7</f>
        <v>44833</v>
      </c>
      <c r="CI7" s="2">
        <f>WeekRef[[#This Row],[Week 40]]+7</f>
        <v>44840</v>
      </c>
      <c r="CJ7" s="2">
        <f>WeekRef[[#This Row],[Week 41]]+7</f>
        <v>44847</v>
      </c>
      <c r="CK7" s="2">
        <f>WeekRef[[#This Row],[Week 42]]+7</f>
        <v>44854</v>
      </c>
      <c r="CL7" s="2">
        <f>WeekRef[[#This Row],[Week 43]]+7</f>
        <v>44861</v>
      </c>
      <c r="CM7" s="2">
        <f>WeekRef[[#This Row],[Week 44]]+7</f>
        <v>44868</v>
      </c>
      <c r="CN7" s="2">
        <f>WeekRef[[#This Row],[Week 45]]+7</f>
        <v>44875</v>
      </c>
      <c r="CO7" s="2">
        <f>WeekRef[[#This Row],[Week 46]]+7</f>
        <v>44882</v>
      </c>
      <c r="CP7" s="2">
        <f>WeekRef[[#This Row],[Week 47]]+7</f>
        <v>44889</v>
      </c>
      <c r="CQ7" s="2">
        <f>WeekRef[[#This Row],[Week 48]]+7</f>
        <v>44896</v>
      </c>
      <c r="CR7" s="2">
        <f>WeekRef[[#This Row],[Week 49]]+7</f>
        <v>44903</v>
      </c>
      <c r="CS7" s="2">
        <f>WeekRef[[#This Row],[Week 50]]+7</f>
        <v>44910</v>
      </c>
      <c r="CT7" s="2">
        <f>WeekRef[[#This Row],[Week 51]]+7</f>
        <v>44917</v>
      </c>
      <c r="CU7" s="2">
        <f>WeekRef[[#This Row],[Week 52]]+7</f>
        <v>44924</v>
      </c>
    </row>
    <row r="8" spans="1:101" x14ac:dyDescent="0.35">
      <c r="A8" t="s">
        <v>157</v>
      </c>
      <c r="B8" t="s">
        <v>135</v>
      </c>
      <c r="C8" t="str">
        <f t="shared" si="0"/>
        <v>Anno Wierenga Credit Risk</v>
      </c>
      <c r="D8" s="3">
        <v>1</v>
      </c>
      <c r="E8" s="3"/>
      <c r="F8" s="3"/>
      <c r="G8" s="3"/>
      <c r="H8" s="3"/>
      <c r="I8" s="3"/>
      <c r="J8" s="3">
        <v>0.65</v>
      </c>
      <c r="K8" s="3"/>
      <c r="L8" s="3"/>
      <c r="M8" s="3">
        <v>0.35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t="s">
        <v>161</v>
      </c>
      <c r="AH8" s="3"/>
      <c r="AN8">
        <v>7</v>
      </c>
      <c r="AP8" t="s">
        <v>173</v>
      </c>
      <c r="AQ8" t="s">
        <v>174</v>
      </c>
      <c r="AR8" t="s">
        <v>152</v>
      </c>
      <c r="AS8" t="s">
        <v>175</v>
      </c>
      <c r="AU8" s="19">
        <v>44561</v>
      </c>
      <c r="AV8" s="2">
        <f>WeekRef[[#This Row],[Week 1]]+7</f>
        <v>44568</v>
      </c>
      <c r="AW8" s="2">
        <f>WeekRef[[#This Row],[Week 2]]+7</f>
        <v>44575</v>
      </c>
      <c r="AX8" s="2">
        <f>WeekRef[[#This Row],[Week 3]]+7</f>
        <v>44582</v>
      </c>
      <c r="AY8" s="2">
        <f>WeekRef[[#This Row],[Week 4]]+7</f>
        <v>44589</v>
      </c>
      <c r="AZ8" s="2">
        <f>WeekRef[[#This Row],[Week 5]]+7</f>
        <v>44596</v>
      </c>
      <c r="BA8" s="2">
        <f>WeekRef[[#This Row],[Week 6]]+7</f>
        <v>44603</v>
      </c>
      <c r="BB8" s="2">
        <f>WeekRef[[#This Row],[Week 7]]+7</f>
        <v>44610</v>
      </c>
      <c r="BC8" s="2">
        <f>WeekRef[[#This Row],[Week 8]]+7</f>
        <v>44617</v>
      </c>
      <c r="BD8" s="2">
        <f>WeekRef[[#This Row],[Week 9]]+7</f>
        <v>44624</v>
      </c>
      <c r="BE8" s="2">
        <f>WeekRef[[#This Row],[Week 10]]+7</f>
        <v>44631</v>
      </c>
      <c r="BF8" s="2">
        <f>WeekRef[[#This Row],[Week 11]]+7</f>
        <v>44638</v>
      </c>
      <c r="BG8" s="2">
        <f>WeekRef[[#This Row],[Week 12]]+7</f>
        <v>44645</v>
      </c>
      <c r="BH8" s="2">
        <f>WeekRef[[#This Row],[Week 13]]+7</f>
        <v>44652</v>
      </c>
      <c r="BI8" s="2">
        <f>WeekRef[[#This Row],[Week 14]]+7</f>
        <v>44659</v>
      </c>
      <c r="BJ8" s="2">
        <f>WeekRef[[#This Row],[Week 15]]+7</f>
        <v>44666</v>
      </c>
      <c r="BK8" s="2">
        <f>WeekRef[[#This Row],[Week 16]]+7</f>
        <v>44673</v>
      </c>
      <c r="BL8" s="2">
        <f>WeekRef[[#This Row],[Week 17]]+7</f>
        <v>44680</v>
      </c>
      <c r="BM8" s="2">
        <f>WeekRef[[#This Row],[Week 18]]+7</f>
        <v>44687</v>
      </c>
      <c r="BN8" s="2">
        <f>WeekRef[[#This Row],[Week 19]]+7</f>
        <v>44694</v>
      </c>
      <c r="BO8" s="2">
        <f>WeekRef[[#This Row],[Week 20]]+7</f>
        <v>44701</v>
      </c>
      <c r="BP8" s="2">
        <f>WeekRef[[#This Row],[Week 21]]+7</f>
        <v>44708</v>
      </c>
      <c r="BQ8" s="2">
        <f>WeekRef[[#This Row],[Week 22]]+7</f>
        <v>44715</v>
      </c>
      <c r="BR8" s="2">
        <f>WeekRef[[#This Row],[Week 23]]+7</f>
        <v>44722</v>
      </c>
      <c r="BS8" s="2">
        <f>WeekRef[[#This Row],[Week 24]]+7</f>
        <v>44729</v>
      </c>
      <c r="BT8" s="2">
        <f>WeekRef[[#This Row],[Week 25]]+7</f>
        <v>44736</v>
      </c>
      <c r="BU8" s="2">
        <f>WeekRef[[#This Row],[Week 26]]+7</f>
        <v>44743</v>
      </c>
      <c r="BV8" s="2">
        <f>WeekRef[[#This Row],[Week 27]]+7</f>
        <v>44750</v>
      </c>
      <c r="BW8" s="2">
        <f>WeekRef[[#This Row],[Week 28]]+7</f>
        <v>44757</v>
      </c>
      <c r="BX8" s="2">
        <f>WeekRef[[#This Row],[Week 29]]+7</f>
        <v>44764</v>
      </c>
      <c r="BY8" s="2">
        <f>WeekRef[[#This Row],[Week 30]]+7</f>
        <v>44771</v>
      </c>
      <c r="BZ8" s="2">
        <f>WeekRef[[#This Row],[Week 31]]+7</f>
        <v>44778</v>
      </c>
      <c r="CA8" s="2">
        <f>WeekRef[[#This Row],[Week 32]]+7</f>
        <v>44785</v>
      </c>
      <c r="CB8" s="2">
        <f>WeekRef[[#This Row],[Week 33]]+7</f>
        <v>44792</v>
      </c>
      <c r="CC8" s="2">
        <f>WeekRef[[#This Row],[Week 34]]+7</f>
        <v>44799</v>
      </c>
      <c r="CD8" s="2">
        <f>WeekRef[[#This Row],[Week 35]]+7</f>
        <v>44806</v>
      </c>
      <c r="CE8" s="2">
        <f>WeekRef[[#This Row],[Week 36]]+7</f>
        <v>44813</v>
      </c>
      <c r="CF8" s="2">
        <f>WeekRef[[#This Row],[Week 37]]+7</f>
        <v>44820</v>
      </c>
      <c r="CG8" s="2">
        <f>WeekRef[[#This Row],[Week 38]]+7</f>
        <v>44827</v>
      </c>
      <c r="CH8" s="2">
        <f>WeekRef[[#This Row],[Week 39]]+7</f>
        <v>44834</v>
      </c>
      <c r="CI8" s="2">
        <f>WeekRef[[#This Row],[Week 40]]+7</f>
        <v>44841</v>
      </c>
      <c r="CJ8" s="2">
        <f>WeekRef[[#This Row],[Week 41]]+7</f>
        <v>44848</v>
      </c>
      <c r="CK8" s="2">
        <f>WeekRef[[#This Row],[Week 42]]+7</f>
        <v>44855</v>
      </c>
      <c r="CL8" s="2">
        <f>WeekRef[[#This Row],[Week 43]]+7</f>
        <v>44862</v>
      </c>
      <c r="CM8" s="2">
        <f>WeekRef[[#This Row],[Week 44]]+7</f>
        <v>44869</v>
      </c>
      <c r="CN8" s="2">
        <f>WeekRef[[#This Row],[Week 45]]+7</f>
        <v>44876</v>
      </c>
      <c r="CO8" s="2">
        <f>WeekRef[[#This Row],[Week 46]]+7</f>
        <v>44883</v>
      </c>
      <c r="CP8" s="2">
        <f>WeekRef[[#This Row],[Week 47]]+7</f>
        <v>44890</v>
      </c>
      <c r="CQ8" s="2">
        <f>WeekRef[[#This Row],[Week 48]]+7</f>
        <v>44897</v>
      </c>
      <c r="CR8" s="2">
        <f>WeekRef[[#This Row],[Week 49]]+7</f>
        <v>44904</v>
      </c>
      <c r="CS8" s="2">
        <f>WeekRef[[#This Row],[Week 50]]+7</f>
        <v>44911</v>
      </c>
      <c r="CT8" s="2">
        <f>WeekRef[[#This Row],[Week 51]]+7</f>
        <v>44918</v>
      </c>
      <c r="CU8" s="2">
        <f>WeekRef[[#This Row],[Week 52]]+7</f>
        <v>44925</v>
      </c>
    </row>
    <row r="9" spans="1:101" x14ac:dyDescent="0.35">
      <c r="A9" t="s">
        <v>160</v>
      </c>
      <c r="B9" t="s">
        <v>149</v>
      </c>
      <c r="C9" t="str">
        <f t="shared" si="0"/>
        <v>Bas Altorf Exchange Layer</v>
      </c>
      <c r="D9" s="3">
        <v>1</v>
      </c>
      <c r="E9" s="3"/>
      <c r="F9" s="3"/>
      <c r="G9" s="3">
        <v>0.35</v>
      </c>
      <c r="H9" s="3"/>
      <c r="I9" s="3"/>
      <c r="J9" s="3"/>
      <c r="K9" s="3"/>
      <c r="L9" s="3">
        <v>0.65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t="s">
        <v>154</v>
      </c>
      <c r="AH9" s="3"/>
      <c r="AN9">
        <v>8</v>
      </c>
      <c r="AP9" t="s">
        <v>177</v>
      </c>
      <c r="AQ9" t="s">
        <v>178</v>
      </c>
      <c r="AR9" t="s">
        <v>138</v>
      </c>
      <c r="AS9" t="s">
        <v>179</v>
      </c>
      <c r="AU9" s="19">
        <v>44562</v>
      </c>
      <c r="AV9" s="2">
        <f>WeekRef[[#This Row],[Week 1]]+7</f>
        <v>44569</v>
      </c>
      <c r="AW9" s="2">
        <f>WeekRef[[#This Row],[Week 2]]+7</f>
        <v>44576</v>
      </c>
      <c r="AX9" s="2">
        <f>WeekRef[[#This Row],[Week 3]]+7</f>
        <v>44583</v>
      </c>
      <c r="AY9" s="2">
        <f>WeekRef[[#This Row],[Week 4]]+7</f>
        <v>44590</v>
      </c>
      <c r="AZ9" s="2">
        <f>WeekRef[[#This Row],[Week 5]]+7</f>
        <v>44597</v>
      </c>
      <c r="BA9" s="2">
        <f>WeekRef[[#This Row],[Week 6]]+7</f>
        <v>44604</v>
      </c>
      <c r="BB9" s="2">
        <f>WeekRef[[#This Row],[Week 7]]+7</f>
        <v>44611</v>
      </c>
      <c r="BC9" s="2">
        <f>WeekRef[[#This Row],[Week 8]]+7</f>
        <v>44618</v>
      </c>
      <c r="BD9" s="2">
        <f>WeekRef[[#This Row],[Week 9]]+7</f>
        <v>44625</v>
      </c>
      <c r="BE9" s="2">
        <f>WeekRef[[#This Row],[Week 10]]+7</f>
        <v>44632</v>
      </c>
      <c r="BF9" s="2">
        <f>WeekRef[[#This Row],[Week 11]]+7</f>
        <v>44639</v>
      </c>
      <c r="BG9" s="2">
        <f>WeekRef[[#This Row],[Week 12]]+7</f>
        <v>44646</v>
      </c>
      <c r="BH9" s="2">
        <f>WeekRef[[#This Row],[Week 13]]+7</f>
        <v>44653</v>
      </c>
      <c r="BI9" s="2">
        <f>WeekRef[[#This Row],[Week 14]]+7</f>
        <v>44660</v>
      </c>
      <c r="BJ9" s="2">
        <f>WeekRef[[#This Row],[Week 15]]+7</f>
        <v>44667</v>
      </c>
      <c r="BK9" s="2">
        <f>WeekRef[[#This Row],[Week 16]]+7</f>
        <v>44674</v>
      </c>
      <c r="BL9" s="2">
        <f>WeekRef[[#This Row],[Week 17]]+7</f>
        <v>44681</v>
      </c>
      <c r="BM9" s="2">
        <f>WeekRef[[#This Row],[Week 18]]+7</f>
        <v>44688</v>
      </c>
      <c r="BN9" s="2">
        <f>WeekRef[[#This Row],[Week 19]]+7</f>
        <v>44695</v>
      </c>
      <c r="BO9" s="2">
        <f>WeekRef[[#This Row],[Week 20]]+7</f>
        <v>44702</v>
      </c>
      <c r="BP9" s="2">
        <f>WeekRef[[#This Row],[Week 21]]+7</f>
        <v>44709</v>
      </c>
      <c r="BQ9" s="2">
        <f>WeekRef[[#This Row],[Week 22]]+7</f>
        <v>44716</v>
      </c>
      <c r="BR9" s="2">
        <f>WeekRef[[#This Row],[Week 23]]+7</f>
        <v>44723</v>
      </c>
      <c r="BS9" s="2">
        <f>WeekRef[[#This Row],[Week 24]]+7</f>
        <v>44730</v>
      </c>
      <c r="BT9" s="2">
        <f>WeekRef[[#This Row],[Week 25]]+7</f>
        <v>44737</v>
      </c>
      <c r="BU9" s="2">
        <f>WeekRef[[#This Row],[Week 26]]+7</f>
        <v>44744</v>
      </c>
      <c r="BV9" s="2">
        <f>WeekRef[[#This Row],[Week 27]]+7</f>
        <v>44751</v>
      </c>
      <c r="BW9" s="2">
        <f>WeekRef[[#This Row],[Week 28]]+7</f>
        <v>44758</v>
      </c>
      <c r="BX9" s="2">
        <f>WeekRef[[#This Row],[Week 29]]+7</f>
        <v>44765</v>
      </c>
      <c r="BY9" s="2">
        <f>WeekRef[[#This Row],[Week 30]]+7</f>
        <v>44772</v>
      </c>
      <c r="BZ9" s="2">
        <f>WeekRef[[#This Row],[Week 31]]+7</f>
        <v>44779</v>
      </c>
      <c r="CA9" s="2">
        <f>WeekRef[[#This Row],[Week 32]]+7</f>
        <v>44786</v>
      </c>
      <c r="CB9" s="2">
        <f>WeekRef[[#This Row],[Week 33]]+7</f>
        <v>44793</v>
      </c>
      <c r="CC9" s="2">
        <f>WeekRef[[#This Row],[Week 34]]+7</f>
        <v>44800</v>
      </c>
      <c r="CD9" s="2">
        <f>WeekRef[[#This Row],[Week 35]]+7</f>
        <v>44807</v>
      </c>
      <c r="CE9" s="2">
        <f>WeekRef[[#This Row],[Week 36]]+7</f>
        <v>44814</v>
      </c>
      <c r="CF9" s="2">
        <f>WeekRef[[#This Row],[Week 37]]+7</f>
        <v>44821</v>
      </c>
      <c r="CG9" s="2">
        <f>WeekRef[[#This Row],[Week 38]]+7</f>
        <v>44828</v>
      </c>
      <c r="CH9" s="2">
        <f>WeekRef[[#This Row],[Week 39]]+7</f>
        <v>44835</v>
      </c>
      <c r="CI9" s="2">
        <f>WeekRef[[#This Row],[Week 40]]+7</f>
        <v>44842</v>
      </c>
      <c r="CJ9" s="2">
        <f>WeekRef[[#This Row],[Week 41]]+7</f>
        <v>44849</v>
      </c>
      <c r="CK9" s="2">
        <f>WeekRef[[#This Row],[Week 42]]+7</f>
        <v>44856</v>
      </c>
      <c r="CL9" s="2">
        <f>WeekRef[[#This Row],[Week 43]]+7</f>
        <v>44863</v>
      </c>
      <c r="CM9" s="2">
        <f>WeekRef[[#This Row],[Week 44]]+7</f>
        <v>44870</v>
      </c>
      <c r="CN9" s="2">
        <f>WeekRef[[#This Row],[Week 45]]+7</f>
        <v>44877</v>
      </c>
      <c r="CO9" s="2">
        <f>WeekRef[[#This Row],[Week 46]]+7</f>
        <v>44884</v>
      </c>
      <c r="CP9" s="2">
        <f>WeekRef[[#This Row],[Week 47]]+7</f>
        <v>44891</v>
      </c>
      <c r="CQ9" s="2">
        <f>WeekRef[[#This Row],[Week 48]]+7</f>
        <v>44898</v>
      </c>
      <c r="CR9" s="2">
        <f>WeekRef[[#This Row],[Week 49]]+7</f>
        <v>44905</v>
      </c>
      <c r="CS9" s="2">
        <f>WeekRef[[#This Row],[Week 50]]+7</f>
        <v>44912</v>
      </c>
      <c r="CT9" s="2">
        <f>WeekRef[[#This Row],[Week 51]]+7</f>
        <v>44919</v>
      </c>
      <c r="CU9" s="2">
        <f>WeekRef[[#This Row],[Week 52]]+7</f>
        <v>44926</v>
      </c>
    </row>
    <row r="10" spans="1:101" x14ac:dyDescent="0.35">
      <c r="A10" t="s">
        <v>164</v>
      </c>
      <c r="B10" t="s">
        <v>154</v>
      </c>
      <c r="C10" t="str">
        <f t="shared" si="0"/>
        <v>Bassim Hammoud Model Lifecycle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t="s">
        <v>18</v>
      </c>
      <c r="AH10" s="3"/>
      <c r="AN10">
        <v>9</v>
      </c>
      <c r="AP10" t="s">
        <v>181</v>
      </c>
      <c r="AQ10" t="s">
        <v>182</v>
      </c>
      <c r="AR10" t="s">
        <v>166</v>
      </c>
      <c r="AS10" t="s">
        <v>183</v>
      </c>
      <c r="AU10" s="19">
        <v>44563</v>
      </c>
      <c r="AV10" s="2">
        <f>WeekRef[[#This Row],[Week 1]]+7</f>
        <v>44570</v>
      </c>
      <c r="AW10" s="2">
        <f>WeekRef[[#This Row],[Week 2]]+7</f>
        <v>44577</v>
      </c>
      <c r="AX10" s="2">
        <f>WeekRef[[#This Row],[Week 3]]+7</f>
        <v>44584</v>
      </c>
      <c r="AY10" s="2">
        <f>WeekRef[[#This Row],[Week 4]]+7</f>
        <v>44591</v>
      </c>
      <c r="AZ10" s="2">
        <f>WeekRef[[#This Row],[Week 5]]+7</f>
        <v>44598</v>
      </c>
      <c r="BA10" s="2">
        <f>WeekRef[[#This Row],[Week 6]]+7</f>
        <v>44605</v>
      </c>
      <c r="BB10" s="2">
        <f>WeekRef[[#This Row],[Week 7]]+7</f>
        <v>44612</v>
      </c>
      <c r="BC10" s="2">
        <f>WeekRef[[#This Row],[Week 8]]+7</f>
        <v>44619</v>
      </c>
      <c r="BD10" s="2">
        <f>WeekRef[[#This Row],[Week 9]]+7</f>
        <v>44626</v>
      </c>
      <c r="BE10" s="2">
        <f>WeekRef[[#This Row],[Week 10]]+7</f>
        <v>44633</v>
      </c>
      <c r="BF10" s="2">
        <f>WeekRef[[#This Row],[Week 11]]+7</f>
        <v>44640</v>
      </c>
      <c r="BG10" s="2">
        <f>WeekRef[[#This Row],[Week 12]]+7</f>
        <v>44647</v>
      </c>
      <c r="BH10" s="2">
        <f>WeekRef[[#This Row],[Week 13]]+7</f>
        <v>44654</v>
      </c>
      <c r="BI10" s="2">
        <f>WeekRef[[#This Row],[Week 14]]+7</f>
        <v>44661</v>
      </c>
      <c r="BJ10" s="2">
        <f>WeekRef[[#This Row],[Week 15]]+7</f>
        <v>44668</v>
      </c>
      <c r="BK10" s="2">
        <f>WeekRef[[#This Row],[Week 16]]+7</f>
        <v>44675</v>
      </c>
      <c r="BL10" s="2">
        <f>WeekRef[[#This Row],[Week 17]]+7</f>
        <v>44682</v>
      </c>
      <c r="BM10" s="2">
        <f>WeekRef[[#This Row],[Week 18]]+7</f>
        <v>44689</v>
      </c>
      <c r="BN10" s="2">
        <f>WeekRef[[#This Row],[Week 19]]+7</f>
        <v>44696</v>
      </c>
      <c r="BO10" s="2">
        <f>WeekRef[[#This Row],[Week 20]]+7</f>
        <v>44703</v>
      </c>
      <c r="BP10" s="2">
        <f>WeekRef[[#This Row],[Week 21]]+7</f>
        <v>44710</v>
      </c>
      <c r="BQ10" s="2">
        <f>WeekRef[[#This Row],[Week 22]]+7</f>
        <v>44717</v>
      </c>
      <c r="BR10" s="2">
        <f>WeekRef[[#This Row],[Week 23]]+7</f>
        <v>44724</v>
      </c>
      <c r="BS10" s="2">
        <f>WeekRef[[#This Row],[Week 24]]+7</f>
        <v>44731</v>
      </c>
      <c r="BT10" s="2">
        <f>WeekRef[[#This Row],[Week 25]]+7</f>
        <v>44738</v>
      </c>
      <c r="BU10" s="2">
        <f>WeekRef[[#This Row],[Week 26]]+7</f>
        <v>44745</v>
      </c>
      <c r="BV10" s="2">
        <f>WeekRef[[#This Row],[Week 27]]+7</f>
        <v>44752</v>
      </c>
      <c r="BW10" s="2">
        <f>WeekRef[[#This Row],[Week 28]]+7</f>
        <v>44759</v>
      </c>
      <c r="BX10" s="2">
        <f>WeekRef[[#This Row],[Week 29]]+7</f>
        <v>44766</v>
      </c>
      <c r="BY10" s="2">
        <f>WeekRef[[#This Row],[Week 30]]+7</f>
        <v>44773</v>
      </c>
      <c r="BZ10" s="2">
        <f>WeekRef[[#This Row],[Week 31]]+7</f>
        <v>44780</v>
      </c>
      <c r="CA10" s="2">
        <f>WeekRef[[#This Row],[Week 32]]+7</f>
        <v>44787</v>
      </c>
      <c r="CB10" s="2">
        <f>WeekRef[[#This Row],[Week 33]]+7</f>
        <v>44794</v>
      </c>
      <c r="CC10" s="2">
        <f>WeekRef[[#This Row],[Week 34]]+7</f>
        <v>44801</v>
      </c>
      <c r="CD10" s="2">
        <f>WeekRef[[#This Row],[Week 35]]+7</f>
        <v>44808</v>
      </c>
      <c r="CE10" s="2">
        <f>WeekRef[[#This Row],[Week 36]]+7</f>
        <v>44815</v>
      </c>
      <c r="CF10" s="2">
        <f>WeekRef[[#This Row],[Week 37]]+7</f>
        <v>44822</v>
      </c>
      <c r="CG10" s="2">
        <f>WeekRef[[#This Row],[Week 38]]+7</f>
        <v>44829</v>
      </c>
      <c r="CH10" s="2">
        <f>WeekRef[[#This Row],[Week 39]]+7</f>
        <v>44836</v>
      </c>
      <c r="CI10" s="2">
        <f>WeekRef[[#This Row],[Week 40]]+7</f>
        <v>44843</v>
      </c>
      <c r="CJ10" s="2">
        <f>WeekRef[[#This Row],[Week 41]]+7</f>
        <v>44850</v>
      </c>
      <c r="CK10" s="2">
        <f>WeekRef[[#This Row],[Week 42]]+7</f>
        <v>44857</v>
      </c>
      <c r="CL10" s="2">
        <f>WeekRef[[#This Row],[Week 43]]+7</f>
        <v>44864</v>
      </c>
      <c r="CM10" s="2">
        <f>WeekRef[[#This Row],[Week 44]]+7</f>
        <v>44871</v>
      </c>
      <c r="CN10" s="2">
        <f>WeekRef[[#This Row],[Week 45]]+7</f>
        <v>44878</v>
      </c>
      <c r="CO10" s="2">
        <f>WeekRef[[#This Row],[Week 46]]+7</f>
        <v>44885</v>
      </c>
      <c r="CP10" s="2">
        <f>WeekRef[[#This Row],[Week 47]]+7</f>
        <v>44892</v>
      </c>
      <c r="CQ10" s="2">
        <f>WeekRef[[#This Row],[Week 48]]+7</f>
        <v>44899</v>
      </c>
      <c r="CR10" s="2">
        <f>WeekRef[[#This Row],[Week 49]]+7</f>
        <v>44906</v>
      </c>
      <c r="CS10" s="2">
        <f>WeekRef[[#This Row],[Week 50]]+7</f>
        <v>44913</v>
      </c>
      <c r="CT10" s="2">
        <f>WeekRef[[#This Row],[Week 51]]+7</f>
        <v>44920</v>
      </c>
      <c r="CU10" s="2">
        <f>WeekRef[[#This Row],[Week 52]]+7</f>
        <v>44927</v>
      </c>
    </row>
    <row r="11" spans="1:101" x14ac:dyDescent="0.35">
      <c r="A11" t="s">
        <v>165</v>
      </c>
      <c r="B11" t="s">
        <v>168</v>
      </c>
      <c r="C11" t="str">
        <f t="shared" si="0"/>
        <v>Darragh Gallagher Manangement &amp; Support</v>
      </c>
      <c r="D11" s="3">
        <v>1</v>
      </c>
      <c r="E11" s="3"/>
      <c r="F11" s="3"/>
      <c r="G11" s="3">
        <v>0.25</v>
      </c>
      <c r="H11" s="3"/>
      <c r="I11" s="3"/>
      <c r="J11" s="3">
        <v>0.05</v>
      </c>
      <c r="K11" s="3"/>
      <c r="L11" s="3"/>
      <c r="M11" s="3">
        <v>0.45</v>
      </c>
      <c r="N11" s="3">
        <v>0.05</v>
      </c>
      <c r="O11" s="3">
        <v>0.15</v>
      </c>
      <c r="P11" s="3"/>
      <c r="Q11" s="3">
        <v>0.05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t="s">
        <v>169</v>
      </c>
      <c r="AH11" s="3"/>
      <c r="AN11">
        <v>10</v>
      </c>
      <c r="AP11" t="s">
        <v>186</v>
      </c>
      <c r="AQ11" t="s">
        <v>187</v>
      </c>
      <c r="AR11" t="s">
        <v>144</v>
      </c>
      <c r="AS11" t="s">
        <v>188</v>
      </c>
    </row>
    <row r="12" spans="1:101" x14ac:dyDescent="0.35">
      <c r="A12" t="s">
        <v>167</v>
      </c>
      <c r="B12" t="s">
        <v>147</v>
      </c>
      <c r="C12" t="str">
        <f t="shared" si="0"/>
        <v>Dave Grieves Data Quality Management</v>
      </c>
      <c r="D12" s="3">
        <v>1</v>
      </c>
      <c r="E12" s="3">
        <v>0.1</v>
      </c>
      <c r="F12" s="3"/>
      <c r="G12" s="3">
        <v>0.2</v>
      </c>
      <c r="H12" s="3"/>
      <c r="I12" s="3"/>
      <c r="J12" s="3"/>
      <c r="K12" s="3"/>
      <c r="L12" s="3"/>
      <c r="M12" s="3">
        <v>0.4</v>
      </c>
      <c r="N12" s="3">
        <v>0.05</v>
      </c>
      <c r="O12" s="3"/>
      <c r="P12" s="3">
        <v>0.25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t="s">
        <v>172</v>
      </c>
      <c r="AH12" s="3"/>
      <c r="AN12">
        <v>11</v>
      </c>
      <c r="AP12" t="s">
        <v>2</v>
      </c>
      <c r="AQ12" t="s">
        <v>190</v>
      </c>
      <c r="AR12" t="s">
        <v>152</v>
      </c>
      <c r="AS12" t="s">
        <v>191</v>
      </c>
    </row>
    <row r="13" spans="1:101" x14ac:dyDescent="0.35">
      <c r="A13" t="s">
        <v>171</v>
      </c>
      <c r="B13" t="s">
        <v>161</v>
      </c>
      <c r="C13" t="str">
        <f t="shared" si="0"/>
        <v>David Estreich Model Development</v>
      </c>
      <c r="D13" s="3">
        <v>0.5</v>
      </c>
      <c r="E13" s="3"/>
      <c r="F13" s="3"/>
      <c r="G13" s="3">
        <v>0.3</v>
      </c>
      <c r="H13" s="3"/>
      <c r="I13" s="3"/>
      <c r="J13" s="3"/>
      <c r="K13" s="3"/>
      <c r="L13" s="3"/>
      <c r="M13" s="3"/>
      <c r="N13" s="3"/>
      <c r="O13" s="3">
        <v>0.2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t="s">
        <v>176</v>
      </c>
      <c r="AH13" s="3"/>
      <c r="AN13">
        <v>12</v>
      </c>
      <c r="AP13" t="s">
        <v>250</v>
      </c>
      <c r="AQ13" t="s">
        <v>251</v>
      </c>
      <c r="AR13" t="s">
        <v>152</v>
      </c>
      <c r="AS13" t="s">
        <v>193</v>
      </c>
    </row>
    <row r="14" spans="1:101" x14ac:dyDescent="0.35">
      <c r="A14" t="s">
        <v>171</v>
      </c>
      <c r="B14" t="s">
        <v>146</v>
      </c>
      <c r="C14" t="str">
        <f t="shared" si="0"/>
        <v>David Estreich Risk on Demand Services</v>
      </c>
      <c r="D14" s="3">
        <v>0.5</v>
      </c>
      <c r="E14" s="3"/>
      <c r="F14" s="3"/>
      <c r="G14" s="3">
        <v>0.3</v>
      </c>
      <c r="H14" s="3"/>
      <c r="I14" s="3"/>
      <c r="J14" s="3"/>
      <c r="K14" s="3"/>
      <c r="L14" s="3"/>
      <c r="M14" s="3">
        <v>0.05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t="s">
        <v>180</v>
      </c>
      <c r="AH14" s="3"/>
      <c r="AN14">
        <v>13</v>
      </c>
      <c r="AP14" t="s">
        <v>194</v>
      </c>
      <c r="AQ14" t="s">
        <v>195</v>
      </c>
      <c r="AR14" t="s">
        <v>138</v>
      </c>
      <c r="AS14" t="s">
        <v>196</v>
      </c>
    </row>
    <row r="15" spans="1:101" x14ac:dyDescent="0.35">
      <c r="A15" t="s">
        <v>175</v>
      </c>
      <c r="B15" t="s">
        <v>135</v>
      </c>
      <c r="C15" t="str">
        <f t="shared" si="0"/>
        <v>Egor Lipchinskiy Credit Risk</v>
      </c>
      <c r="D15" s="3">
        <v>1</v>
      </c>
      <c r="E15" s="3">
        <v>0.3</v>
      </c>
      <c r="F15" s="3"/>
      <c r="G15" s="3">
        <v>0.2</v>
      </c>
      <c r="H15" s="3"/>
      <c r="I15" s="3"/>
      <c r="J15" s="3">
        <v>0.3</v>
      </c>
      <c r="K15" s="3"/>
      <c r="L15" s="3"/>
      <c r="M15" s="3">
        <v>0.05</v>
      </c>
      <c r="N15" s="3">
        <v>0.1</v>
      </c>
      <c r="O15" s="3"/>
      <c r="P15" s="3">
        <v>0.05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t="s">
        <v>16</v>
      </c>
      <c r="AH15" s="3"/>
      <c r="AN15">
        <v>14</v>
      </c>
      <c r="AP15" t="s">
        <v>248</v>
      </c>
      <c r="AQ15" t="s">
        <v>201</v>
      </c>
      <c r="AR15" t="s">
        <v>138</v>
      </c>
      <c r="AS15" t="s">
        <v>202</v>
      </c>
    </row>
    <row r="16" spans="1:101" x14ac:dyDescent="0.35">
      <c r="A16" t="s">
        <v>179</v>
      </c>
      <c r="B16" t="s">
        <v>172</v>
      </c>
      <c r="C16" t="str">
        <f t="shared" si="0"/>
        <v>Fabio Franco Release Management</v>
      </c>
      <c r="D16" s="3">
        <v>1</v>
      </c>
      <c r="E16" s="3"/>
      <c r="F16" s="3"/>
      <c r="G16" s="3"/>
      <c r="H16" s="3"/>
      <c r="I16" s="3"/>
      <c r="J16" s="3">
        <v>0.1</v>
      </c>
      <c r="K16" s="3"/>
      <c r="L16" s="3"/>
      <c r="M16" s="3">
        <v>0.9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t="s">
        <v>185</v>
      </c>
      <c r="AH16" s="3"/>
      <c r="AN16">
        <v>15</v>
      </c>
      <c r="AP16" t="s">
        <v>204</v>
      </c>
      <c r="AQ16" t="s">
        <v>205</v>
      </c>
      <c r="AR16" t="s">
        <v>166</v>
      </c>
      <c r="AS16" t="s">
        <v>206</v>
      </c>
    </row>
    <row r="17" spans="1:45" x14ac:dyDescent="0.35">
      <c r="A17" t="s">
        <v>183</v>
      </c>
      <c r="B17" t="s">
        <v>149</v>
      </c>
      <c r="C17" t="str">
        <f t="shared" si="0"/>
        <v>Frank Eckhausen Exchange Layer</v>
      </c>
      <c r="D17" s="3">
        <v>1</v>
      </c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22</v>
      </c>
      <c r="AH17" s="3"/>
      <c r="AN17">
        <v>16</v>
      </c>
      <c r="AP17" t="s">
        <v>253</v>
      </c>
      <c r="AQ17" t="s">
        <v>252</v>
      </c>
      <c r="AR17" t="s">
        <v>138</v>
      </c>
      <c r="AS17" t="s">
        <v>207</v>
      </c>
    </row>
    <row r="18" spans="1:45" x14ac:dyDescent="0.35">
      <c r="A18" t="s">
        <v>184</v>
      </c>
      <c r="B18" t="s">
        <v>149</v>
      </c>
      <c r="C18" t="str">
        <f t="shared" si="0"/>
        <v>Henrik Hjollund Exchange Layer</v>
      </c>
      <c r="D18" s="3">
        <v>1</v>
      </c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146</v>
      </c>
      <c r="AH18" s="3"/>
      <c r="AN18">
        <v>17</v>
      </c>
      <c r="AP18" t="s">
        <v>208</v>
      </c>
      <c r="AQ18" t="s">
        <v>209</v>
      </c>
      <c r="AR18" t="s">
        <v>210</v>
      </c>
      <c r="AS18" t="s">
        <v>211</v>
      </c>
    </row>
    <row r="19" spans="1:45" x14ac:dyDescent="0.35">
      <c r="A19" t="s">
        <v>188</v>
      </c>
      <c r="B19" t="s">
        <v>147</v>
      </c>
      <c r="C19" t="str">
        <f t="shared" si="0"/>
        <v>Hubert Lanting Data Quality Management</v>
      </c>
      <c r="D19" s="3">
        <v>1</v>
      </c>
      <c r="E19" s="3">
        <v>0.1</v>
      </c>
      <c r="F19" s="3"/>
      <c r="G19" s="3">
        <v>0.1</v>
      </c>
      <c r="H19" s="3"/>
      <c r="I19" s="3"/>
      <c r="J19" s="3"/>
      <c r="K19" s="3"/>
      <c r="L19" s="3"/>
      <c r="M19" s="3">
        <v>0.45</v>
      </c>
      <c r="N19" s="3">
        <v>0.05</v>
      </c>
      <c r="O19" s="3">
        <v>0.2</v>
      </c>
      <c r="P19" s="3">
        <v>0.1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3"/>
      <c r="AN19">
        <v>18</v>
      </c>
      <c r="AP19" t="s">
        <v>212</v>
      </c>
      <c r="AQ19" t="s">
        <v>213</v>
      </c>
      <c r="AR19" t="s">
        <v>138</v>
      </c>
      <c r="AS19" t="s">
        <v>214</v>
      </c>
    </row>
    <row r="20" spans="1:45" x14ac:dyDescent="0.35">
      <c r="A20" t="s">
        <v>189</v>
      </c>
      <c r="B20" t="s">
        <v>185</v>
      </c>
      <c r="C20" t="str">
        <f t="shared" si="0"/>
        <v>João Alves Orchestration</v>
      </c>
      <c r="D20" s="3">
        <v>1</v>
      </c>
      <c r="E20" s="3">
        <v>0.1</v>
      </c>
      <c r="F20" s="3"/>
      <c r="G20" s="3">
        <v>0.1</v>
      </c>
      <c r="H20" s="3"/>
      <c r="I20" s="3"/>
      <c r="J20" s="3">
        <v>0.1</v>
      </c>
      <c r="K20" s="3"/>
      <c r="L20" s="3"/>
      <c r="M20" s="3">
        <v>0.4</v>
      </c>
      <c r="N20" s="3"/>
      <c r="O20" s="3">
        <v>0.2</v>
      </c>
      <c r="P20" s="3">
        <v>0.1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N20">
        <v>19</v>
      </c>
      <c r="AP20" t="s">
        <v>215</v>
      </c>
      <c r="AQ20" t="s">
        <v>216</v>
      </c>
      <c r="AR20" t="s">
        <v>152</v>
      </c>
      <c r="AS20" t="s">
        <v>217</v>
      </c>
    </row>
    <row r="21" spans="1:45" x14ac:dyDescent="0.35">
      <c r="A21" t="s">
        <v>191</v>
      </c>
      <c r="B21" t="s">
        <v>16</v>
      </c>
      <c r="C21" t="str">
        <f t="shared" si="0"/>
        <v>Johan du Pisanie Model Monitoring</v>
      </c>
      <c r="D21" s="3">
        <v>0.15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0.15</v>
      </c>
      <c r="P21" s="3"/>
      <c r="Q21" s="3"/>
      <c r="R21" t="s">
        <v>168</v>
      </c>
      <c r="S21" s="3"/>
      <c r="T21" s="3"/>
      <c r="U21" s="3">
        <v>0.13</v>
      </c>
      <c r="V21" s="3"/>
      <c r="W21" s="3"/>
      <c r="X21" s="3"/>
      <c r="Y21" s="3"/>
      <c r="Z21" s="3"/>
      <c r="AA21" s="3">
        <v>0.2</v>
      </c>
      <c r="AB21" s="3">
        <v>0.05</v>
      </c>
      <c r="AC21" s="3">
        <v>0.22</v>
      </c>
      <c r="AD21" s="3"/>
      <c r="AE21" s="3"/>
      <c r="AF21" s="3"/>
      <c r="AG21" s="3"/>
      <c r="AH21" s="3"/>
      <c r="AN21">
        <v>20</v>
      </c>
      <c r="AP21" t="s">
        <v>254</v>
      </c>
      <c r="AQ21" t="s">
        <v>255</v>
      </c>
      <c r="AR21" t="s">
        <v>152</v>
      </c>
      <c r="AS21" t="s">
        <v>256</v>
      </c>
    </row>
    <row r="22" spans="1:45" x14ac:dyDescent="0.35">
      <c r="A22" t="s">
        <v>191</v>
      </c>
      <c r="B22" t="s">
        <v>18</v>
      </c>
      <c r="C22" t="str">
        <f t="shared" si="0"/>
        <v>Johan du Pisanie Model Run</v>
      </c>
      <c r="D22" s="3">
        <v>0.6</v>
      </c>
      <c r="E22" s="3"/>
      <c r="F22" s="3"/>
      <c r="G22" s="3">
        <v>0.13</v>
      </c>
      <c r="H22" s="3"/>
      <c r="I22" s="3"/>
      <c r="J22" s="3"/>
      <c r="K22" s="3"/>
      <c r="L22" s="3"/>
      <c r="M22" s="3">
        <v>0.2</v>
      </c>
      <c r="N22" s="3">
        <v>0.05</v>
      </c>
      <c r="O22" s="3">
        <v>0.22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N22">
        <v>21</v>
      </c>
      <c r="AP22" t="s">
        <v>221</v>
      </c>
      <c r="AQ22" t="s">
        <v>222</v>
      </c>
      <c r="AR22" t="s">
        <v>152</v>
      </c>
      <c r="AS22" t="s">
        <v>223</v>
      </c>
    </row>
    <row r="23" spans="1:45" x14ac:dyDescent="0.35">
      <c r="A23" t="s">
        <v>191</v>
      </c>
      <c r="B23" t="s">
        <v>168</v>
      </c>
      <c r="C23" t="str">
        <f t="shared" si="0"/>
        <v>Johan du Pisanie Manangement &amp; Support</v>
      </c>
      <c r="D23" s="3">
        <v>0.25</v>
      </c>
      <c r="E23" s="3"/>
      <c r="F23" s="3"/>
      <c r="G23" s="3"/>
      <c r="H23" s="3"/>
      <c r="I23" s="3"/>
      <c r="J23" s="3"/>
      <c r="K23" s="3"/>
      <c r="L23" s="3"/>
      <c r="M23" s="3">
        <v>0.2</v>
      </c>
      <c r="N23" s="3"/>
      <c r="O23" s="3">
        <v>0.05</v>
      </c>
      <c r="P23" s="3"/>
      <c r="Q23" s="3"/>
      <c r="R23" t="s">
        <v>18</v>
      </c>
      <c r="S23" s="3"/>
      <c r="T23" s="3"/>
      <c r="U23" s="3">
        <v>0.13</v>
      </c>
      <c r="V23" s="3"/>
      <c r="W23" s="3"/>
      <c r="X23" s="3"/>
      <c r="Y23" s="3"/>
      <c r="Z23" s="3"/>
      <c r="AA23" s="3">
        <v>0.2</v>
      </c>
      <c r="AB23" s="3">
        <v>0.05</v>
      </c>
      <c r="AC23" s="3">
        <v>0.22</v>
      </c>
      <c r="AD23" s="3"/>
      <c r="AE23" s="3"/>
      <c r="AF23" s="3"/>
      <c r="AG23" s="3"/>
      <c r="AH23" s="3"/>
      <c r="AN23">
        <v>22</v>
      </c>
    </row>
    <row r="24" spans="1:45" x14ac:dyDescent="0.35">
      <c r="A24" t="s">
        <v>192</v>
      </c>
      <c r="B24" t="s">
        <v>159</v>
      </c>
      <c r="C24" t="str">
        <f t="shared" si="0"/>
        <v>Madhava Reddy IT VET</v>
      </c>
      <c r="D24" s="3">
        <v>1</v>
      </c>
      <c r="E24" s="3">
        <v>0.25</v>
      </c>
      <c r="F24" s="3"/>
      <c r="G24" s="3"/>
      <c r="H24" s="3"/>
      <c r="I24" s="3"/>
      <c r="J24" s="3"/>
      <c r="K24" s="3"/>
      <c r="L24" s="3"/>
      <c r="M24" s="3">
        <v>0.55000000000000004</v>
      </c>
      <c r="N24" s="3">
        <v>0.2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N24">
        <v>23</v>
      </c>
    </row>
    <row r="25" spans="1:45" x14ac:dyDescent="0.35">
      <c r="A25" t="s">
        <v>200</v>
      </c>
      <c r="B25" t="s">
        <v>18</v>
      </c>
      <c r="C25" t="str">
        <f t="shared" si="0"/>
        <v>Marek Kardach  Model Run</v>
      </c>
      <c r="D25" s="3">
        <v>1</v>
      </c>
      <c r="E25" s="3"/>
      <c r="F25" s="3"/>
      <c r="G25" s="3"/>
      <c r="H25" s="3"/>
      <c r="I25" s="3"/>
      <c r="J25" s="3">
        <v>0.2</v>
      </c>
      <c r="K25" s="3"/>
      <c r="L25" s="3"/>
      <c r="M25" s="3">
        <v>0.4</v>
      </c>
      <c r="N25" s="3"/>
      <c r="O25" s="3">
        <v>0.4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N25">
        <v>24</v>
      </c>
    </row>
    <row r="26" spans="1:45" ht="16.5" x14ac:dyDescent="0.35">
      <c r="A26" t="s">
        <v>196</v>
      </c>
      <c r="B26" t="s">
        <v>147</v>
      </c>
      <c r="C26" t="str">
        <f t="shared" si="0"/>
        <v>Matteo Maguolo Data Quality Management</v>
      </c>
      <c r="D26" s="3">
        <v>1</v>
      </c>
      <c r="E26" s="3">
        <v>0.2</v>
      </c>
      <c r="F26" s="3"/>
      <c r="G26" s="3"/>
      <c r="H26" s="3"/>
      <c r="I26" s="3"/>
      <c r="J26" s="3"/>
      <c r="K26" s="3"/>
      <c r="L26" s="3"/>
      <c r="M26" s="3">
        <v>0.45</v>
      </c>
      <c r="N26" s="3">
        <v>0.1</v>
      </c>
      <c r="O26" s="3">
        <v>0.1</v>
      </c>
      <c r="P26" s="3">
        <v>0.15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N26">
        <v>25</v>
      </c>
      <c r="AQ26" s="59"/>
    </row>
    <row r="27" spans="1:45" x14ac:dyDescent="0.35">
      <c r="A27" t="s">
        <v>197</v>
      </c>
      <c r="B27" t="s">
        <v>140</v>
      </c>
      <c r="C27" t="str">
        <f t="shared" si="0"/>
        <v>Max Covtun IFRS9</v>
      </c>
      <c r="D27" s="3">
        <v>0.9</v>
      </c>
      <c r="E27" s="3">
        <v>0.3</v>
      </c>
      <c r="F27" s="3"/>
      <c r="G27" s="3"/>
      <c r="H27" s="3"/>
      <c r="I27" s="3"/>
      <c r="J27" s="3"/>
      <c r="K27" s="3"/>
      <c r="L27" s="3"/>
      <c r="M27" s="3">
        <v>0.4</v>
      </c>
      <c r="N27" s="3">
        <v>0.2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N27">
        <v>26</v>
      </c>
    </row>
    <row r="28" spans="1:45" x14ac:dyDescent="0.35">
      <c r="A28" t="s">
        <v>197</v>
      </c>
      <c r="B28" t="s">
        <v>18</v>
      </c>
      <c r="C28" t="str">
        <f t="shared" si="0"/>
        <v>Max Covtun Model Run</v>
      </c>
      <c r="D28" s="3">
        <v>0.1</v>
      </c>
      <c r="E28" s="3"/>
      <c r="F28" s="3"/>
      <c r="G28" s="3"/>
      <c r="H28" s="3"/>
      <c r="I28" s="3"/>
      <c r="J28" s="3"/>
      <c r="K28" s="3"/>
      <c r="L28" s="3"/>
      <c r="M28" s="3">
        <v>0.1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N28">
        <v>27</v>
      </c>
    </row>
    <row r="29" spans="1:45" x14ac:dyDescent="0.35">
      <c r="A29" t="s">
        <v>198</v>
      </c>
      <c r="B29" t="s">
        <v>135</v>
      </c>
      <c r="C29" t="str">
        <f t="shared" si="0"/>
        <v>Nathan Desmidt Credit Risk</v>
      </c>
      <c r="D29" s="3">
        <v>1</v>
      </c>
      <c r="E29" s="3"/>
      <c r="F29" s="3"/>
      <c r="G29" s="3"/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N29">
        <v>28</v>
      </c>
    </row>
    <row r="30" spans="1:45" x14ac:dyDescent="0.35">
      <c r="A30" t="s">
        <v>198</v>
      </c>
      <c r="B30" t="s">
        <v>16</v>
      </c>
      <c r="C30" t="str">
        <f t="shared" si="0"/>
        <v>Nathan Desmidt Model Monitoring</v>
      </c>
      <c r="D30" s="3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N30">
        <v>29</v>
      </c>
    </row>
    <row r="31" spans="1:45" x14ac:dyDescent="0.35">
      <c r="A31" t="s">
        <v>199</v>
      </c>
      <c r="B31" t="s">
        <v>159</v>
      </c>
      <c r="C31" t="str">
        <f t="shared" si="0"/>
        <v>Nuno Grunho IT VET</v>
      </c>
      <c r="D31" s="3">
        <v>1</v>
      </c>
      <c r="E31" s="3"/>
      <c r="F31" s="3"/>
      <c r="G31" s="3"/>
      <c r="H31" s="3"/>
      <c r="I31" s="3">
        <v>0</v>
      </c>
      <c r="J31" s="3">
        <v>0.05</v>
      </c>
      <c r="K31" s="3"/>
      <c r="L31" s="3"/>
      <c r="M31" s="3">
        <v>0.4</v>
      </c>
      <c r="N31" s="3"/>
      <c r="O31" s="3">
        <v>0.4</v>
      </c>
      <c r="P31" s="3">
        <v>0.05</v>
      </c>
      <c r="Q31" s="3">
        <v>0.1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N31">
        <v>30</v>
      </c>
    </row>
    <row r="32" spans="1:45" x14ac:dyDescent="0.35">
      <c r="A32" t="s">
        <v>218</v>
      </c>
      <c r="B32" t="s">
        <v>159</v>
      </c>
      <c r="C32" t="str">
        <f t="shared" si="0"/>
        <v>Nuno Zuarte  IT VET</v>
      </c>
      <c r="D32" s="3">
        <v>0.9</v>
      </c>
      <c r="E32" s="3"/>
      <c r="F32" s="3"/>
      <c r="G32" s="3"/>
      <c r="H32" s="3"/>
      <c r="I32" s="3">
        <v>0.15</v>
      </c>
      <c r="J32" s="3">
        <v>0.1</v>
      </c>
      <c r="K32" s="3"/>
      <c r="L32" s="3"/>
      <c r="M32" s="3">
        <v>0.4</v>
      </c>
      <c r="N32" s="3"/>
      <c r="O32" s="3">
        <v>0.1</v>
      </c>
      <c r="P32" s="3">
        <v>0.05</v>
      </c>
      <c r="Q32" s="3">
        <v>0.1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N32">
        <v>31</v>
      </c>
    </row>
    <row r="33" spans="1:40" x14ac:dyDescent="0.35">
      <c r="A33" t="s">
        <v>218</v>
      </c>
      <c r="B33" t="s">
        <v>16</v>
      </c>
      <c r="C33" t="str">
        <f t="shared" si="0"/>
        <v>Nuno Zuarte  Model Monitoring</v>
      </c>
      <c r="D33" s="3">
        <v>0.1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0.1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N33">
        <v>32</v>
      </c>
    </row>
    <row r="34" spans="1:40" x14ac:dyDescent="0.35">
      <c r="A34" t="s">
        <v>203</v>
      </c>
      <c r="B34" t="s">
        <v>180</v>
      </c>
      <c r="C34" t="str">
        <f t="shared" si="0"/>
        <v>Pamela Makhaye Change Management</v>
      </c>
      <c r="D34" s="3">
        <v>1</v>
      </c>
      <c r="E34" s="3">
        <v>0.4</v>
      </c>
      <c r="F34" s="3"/>
      <c r="G34" s="3"/>
      <c r="H34" s="3"/>
      <c r="I34" s="3"/>
      <c r="J34" s="3"/>
      <c r="K34" s="3"/>
      <c r="L34" s="3"/>
      <c r="M34" s="3">
        <v>0.2</v>
      </c>
      <c r="N34" s="3"/>
      <c r="O34" s="3">
        <v>0.4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N34">
        <v>33</v>
      </c>
    </row>
    <row r="35" spans="1:40" x14ac:dyDescent="0.35">
      <c r="A35" t="s">
        <v>207</v>
      </c>
      <c r="B35" t="s">
        <v>159</v>
      </c>
      <c r="C35" t="str">
        <f t="shared" si="0"/>
        <v>Pedro Rodrigues IT VET</v>
      </c>
      <c r="D35" s="3">
        <v>1</v>
      </c>
      <c r="E35" s="3"/>
      <c r="F35" s="3"/>
      <c r="G35" s="3"/>
      <c r="H35" s="3"/>
      <c r="I35" s="3">
        <v>0.4</v>
      </c>
      <c r="J35" s="3">
        <v>0.15</v>
      </c>
      <c r="K35" s="3"/>
      <c r="L35" s="3"/>
      <c r="M35" s="3"/>
      <c r="N35" s="3"/>
      <c r="O35" s="3">
        <v>0.2</v>
      </c>
      <c r="P35" s="3">
        <v>0.05</v>
      </c>
      <c r="Q35" s="3">
        <v>0.2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N35">
        <v>34</v>
      </c>
    </row>
    <row r="36" spans="1:40" x14ac:dyDescent="0.35">
      <c r="A36" t="s">
        <v>224</v>
      </c>
      <c r="B36" t="s">
        <v>185</v>
      </c>
      <c r="C36" t="str">
        <f t="shared" si="0"/>
        <v>Pedro Redondo  Orchestration</v>
      </c>
      <c r="D36" s="3">
        <v>1</v>
      </c>
      <c r="E36" s="3">
        <v>0.05</v>
      </c>
      <c r="F36" s="3"/>
      <c r="G36" s="3"/>
      <c r="H36" s="3"/>
      <c r="I36" s="3"/>
      <c r="J36" s="3">
        <v>0.15</v>
      </c>
      <c r="K36" s="3"/>
      <c r="L36" s="3"/>
      <c r="M36" s="3">
        <v>0.4</v>
      </c>
      <c r="N36" s="3"/>
      <c r="O36" s="3">
        <v>0.25</v>
      </c>
      <c r="P36" s="3">
        <v>0.15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N36">
        <v>35</v>
      </c>
    </row>
    <row r="37" spans="1:40" x14ac:dyDescent="0.35">
      <c r="A37" t="s">
        <v>211</v>
      </c>
      <c r="B37" t="s">
        <v>16</v>
      </c>
      <c r="C37" t="str">
        <f t="shared" si="0"/>
        <v>Peter Schram Model Monitoring</v>
      </c>
      <c r="D37" s="3">
        <v>0.1</v>
      </c>
      <c r="E37" s="3">
        <v>0.15</v>
      </c>
      <c r="F37" s="3"/>
      <c r="G37" s="3"/>
      <c r="H37" s="3"/>
      <c r="I37" s="3"/>
      <c r="J37" s="3">
        <v>0.25</v>
      </c>
      <c r="K37" s="3"/>
      <c r="L37" s="3"/>
      <c r="M37" s="3">
        <v>0.5</v>
      </c>
      <c r="N37" s="3"/>
      <c r="O37" s="3"/>
      <c r="P37" s="3"/>
      <c r="Q37" s="3"/>
      <c r="R37" t="s">
        <v>135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>
        <v>0.1</v>
      </c>
      <c r="AD37" s="3"/>
      <c r="AE37" s="3"/>
      <c r="AF37" s="3"/>
      <c r="AG37" s="3"/>
      <c r="AH37" s="3"/>
      <c r="AN37">
        <v>36</v>
      </c>
    </row>
    <row r="38" spans="1:40" x14ac:dyDescent="0.35">
      <c r="A38" t="s">
        <v>211</v>
      </c>
      <c r="B38" t="s">
        <v>135</v>
      </c>
      <c r="C38" t="str">
        <f t="shared" si="0"/>
        <v>Peter Schram Credit Risk</v>
      </c>
      <c r="D38" s="3">
        <v>0.9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0.1</v>
      </c>
      <c r="P38" s="3"/>
      <c r="Q38" s="3"/>
      <c r="R38" t="s">
        <v>16</v>
      </c>
      <c r="S38" s="3">
        <v>0.15</v>
      </c>
      <c r="T38" s="3"/>
      <c r="U38" s="3"/>
      <c r="V38" s="3"/>
      <c r="W38" s="3"/>
      <c r="X38" s="3">
        <v>0.25</v>
      </c>
      <c r="Y38" s="3"/>
      <c r="Z38" s="3"/>
      <c r="AA38" s="3">
        <v>0.5</v>
      </c>
      <c r="AB38" s="3"/>
      <c r="AC38" s="3"/>
      <c r="AD38" s="3"/>
      <c r="AE38" s="3"/>
      <c r="AF38" s="3"/>
      <c r="AG38" s="3"/>
      <c r="AH38" s="3"/>
      <c r="AN38">
        <v>37</v>
      </c>
    </row>
    <row r="39" spans="1:40" x14ac:dyDescent="0.35">
      <c r="A39" t="s">
        <v>214</v>
      </c>
      <c r="B39" t="s">
        <v>159</v>
      </c>
      <c r="C39" t="str">
        <f t="shared" si="0"/>
        <v>Praveen Devalapalli IT VET</v>
      </c>
      <c r="D39" s="3">
        <v>1</v>
      </c>
      <c r="E39" s="3"/>
      <c r="F39" s="3"/>
      <c r="G39" s="3">
        <v>0.25</v>
      </c>
      <c r="H39" s="3"/>
      <c r="I39" s="3">
        <v>0.15</v>
      </c>
      <c r="J39" s="3"/>
      <c r="K39" s="3"/>
      <c r="L39" s="3"/>
      <c r="M39" s="3">
        <v>0.4</v>
      </c>
      <c r="N39" s="3"/>
      <c r="O39" s="3">
        <v>0.1</v>
      </c>
      <c r="P39" s="3">
        <v>0.05</v>
      </c>
      <c r="Q39" s="3">
        <v>0.05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N39">
        <v>38</v>
      </c>
    </row>
    <row r="40" spans="1:40" x14ac:dyDescent="0.35">
      <c r="A40" t="s">
        <v>217</v>
      </c>
      <c r="B40" t="s">
        <v>168</v>
      </c>
      <c r="C40" t="str">
        <f t="shared" si="0"/>
        <v>Rheta du Preez Manangement &amp; Support</v>
      </c>
      <c r="D40" s="3">
        <v>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0.05</v>
      </c>
      <c r="Q40" s="3">
        <v>0.95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N40">
        <v>39</v>
      </c>
    </row>
    <row r="41" spans="1:40" x14ac:dyDescent="0.35">
      <c r="A41" t="s">
        <v>225</v>
      </c>
      <c r="B41" t="s">
        <v>159</v>
      </c>
      <c r="C41" t="str">
        <f t="shared" si="0"/>
        <v>Ramcharan Vakkalagadda IT VET</v>
      </c>
      <c r="D41" s="3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N41">
        <v>40</v>
      </c>
    </row>
    <row r="42" spans="1:40" x14ac:dyDescent="0.35">
      <c r="A42" t="s">
        <v>220</v>
      </c>
      <c r="B42" t="s">
        <v>149</v>
      </c>
      <c r="C42" t="str">
        <f t="shared" si="0"/>
        <v>Smain Abdelmoumeni Exchange Layer</v>
      </c>
      <c r="D42" s="3">
        <v>1</v>
      </c>
      <c r="E42" s="3"/>
      <c r="F42" s="3"/>
      <c r="G42" s="3"/>
      <c r="H42" s="3"/>
      <c r="I42" s="3"/>
      <c r="J42" s="3"/>
      <c r="K42" s="3"/>
      <c r="L42" s="3"/>
      <c r="M42" s="3">
        <v>0.05</v>
      </c>
      <c r="N42" s="3">
        <v>0.1</v>
      </c>
      <c r="O42" s="3"/>
      <c r="P42" s="3">
        <v>0.85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N42">
        <v>41</v>
      </c>
    </row>
    <row r="43" spans="1:40" x14ac:dyDescent="0.35">
      <c r="A43" t="s">
        <v>219</v>
      </c>
      <c r="B43" t="s">
        <v>168</v>
      </c>
      <c r="C43" t="str">
        <f t="shared" si="0"/>
        <v>Seda Secilmis Manangement &amp; Support</v>
      </c>
      <c r="D43" s="3">
        <v>1</v>
      </c>
      <c r="E43" s="3"/>
      <c r="F43" s="3">
        <v>0.5</v>
      </c>
      <c r="G43" s="3">
        <v>0.1</v>
      </c>
      <c r="H43" s="3"/>
      <c r="I43" s="3"/>
      <c r="J43" s="3"/>
      <c r="K43" s="3"/>
      <c r="L43" s="3"/>
      <c r="M43" s="3">
        <v>0.4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N43">
        <v>42</v>
      </c>
    </row>
    <row r="44" spans="1:40" x14ac:dyDescent="0.35">
      <c r="A44" t="s">
        <v>223</v>
      </c>
      <c r="B44" t="s">
        <v>176</v>
      </c>
      <c r="C44" t="str">
        <f t="shared" si="0"/>
        <v>Steven Cox Test Management</v>
      </c>
      <c r="D44" s="3">
        <v>1</v>
      </c>
      <c r="E44" s="3"/>
      <c r="F44" s="3"/>
      <c r="G44" s="3"/>
      <c r="H44" s="3"/>
      <c r="I44" s="3"/>
      <c r="J44" s="3">
        <v>0.15</v>
      </c>
      <c r="K44" s="3"/>
      <c r="L44" s="3"/>
      <c r="M44" s="3">
        <v>0.4</v>
      </c>
      <c r="N44" s="3"/>
      <c r="O44" s="3">
        <v>0.2</v>
      </c>
      <c r="P44" s="3">
        <v>0.25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N44">
        <v>43</v>
      </c>
    </row>
    <row r="45" spans="1:40" x14ac:dyDescent="0.35">
      <c r="A45" t="s">
        <v>226</v>
      </c>
      <c r="B45" t="s">
        <v>168</v>
      </c>
      <c r="C45" t="str">
        <f t="shared" si="0"/>
        <v>Wolfgang Micheler  Manangement &amp; Support</v>
      </c>
      <c r="D45" s="3">
        <v>1</v>
      </c>
      <c r="E45" s="3"/>
      <c r="F45" s="3"/>
      <c r="G45" s="3">
        <v>0.05</v>
      </c>
      <c r="H45" s="3"/>
      <c r="I45" s="3"/>
      <c r="J45" s="3">
        <v>0.15</v>
      </c>
      <c r="K45" s="3"/>
      <c r="L45" s="3"/>
      <c r="M45" s="3">
        <v>0.4</v>
      </c>
      <c r="N45" s="3">
        <v>0.05</v>
      </c>
      <c r="O45" s="3">
        <v>0.25</v>
      </c>
      <c r="P45" s="3"/>
      <c r="Q45" s="3">
        <v>0.1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N45">
        <v>44</v>
      </c>
    </row>
    <row r="46" spans="1:40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N46">
        <v>45</v>
      </c>
    </row>
    <row r="47" spans="1:40" x14ac:dyDescent="0.35">
      <c r="C47" t="str">
        <f>_xlfn.CONCAT(A47," ",B47)</f>
        <v xml:space="preserve"> 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N47">
        <v>46</v>
      </c>
    </row>
    <row r="48" spans="1:40" x14ac:dyDescent="0.35">
      <c r="C48" t="str">
        <f>_xlfn.CONCAT(A48," ",B48)</f>
        <v xml:space="preserve"> 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N48">
        <v>47</v>
      </c>
    </row>
    <row r="49" spans="3:40" x14ac:dyDescent="0.35">
      <c r="C49" t="str">
        <f>_xlfn.CONCAT(A49," ",B49)</f>
        <v xml:space="preserve"> 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N49">
        <v>48</v>
      </c>
    </row>
    <row r="50" spans="3:40" x14ac:dyDescent="0.35">
      <c r="C50" t="str">
        <f>_xlfn.CONCAT(A50," ",B50)</f>
        <v xml:space="preserve"> 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N50">
        <v>49</v>
      </c>
    </row>
    <row r="51" spans="3:40" x14ac:dyDescent="0.35">
      <c r="C51" t="str">
        <f>_xlfn.CONCAT(A51," ",B51)</f>
        <v xml:space="preserve"> 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N51">
        <v>50</v>
      </c>
    </row>
    <row r="52" spans="3:40" x14ac:dyDescent="0.3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N52">
        <v>51</v>
      </c>
    </row>
    <row r="53" spans="3:40" x14ac:dyDescent="0.35">
      <c r="AN53">
        <v>52</v>
      </c>
    </row>
    <row r="54" spans="3:40" x14ac:dyDescent="0.35">
      <c r="AN54">
        <v>53</v>
      </c>
    </row>
  </sheetData>
  <phoneticPr fontId="6" type="noConversion"/>
  <dataValidations disablePrompts="1" count="2">
    <dataValidation showInputMessage="1" showErrorMessage="1" sqref="AU3" xr:uid="{82917247-96CA-4CB9-ABDA-9FB9F929BA67}"/>
    <dataValidation type="list" showInputMessage="1" showErrorMessage="1" sqref="AV3" xr:uid="{1133CCCD-B974-479E-A5F7-2641204F17EB}">
      <formula1>$AN$2:$AN$54</formula1>
    </dataValidation>
  </dataValidations>
  <pageMargins left="0.7" right="0.7" top="0.75" bottom="0.75" header="0.3" footer="0.3"/>
  <pageSetup paperSize="9" orientation="portrait" horizontalDpi="4294967293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5AD-07B7-449A-9CF0-85081FC76B34}">
  <sheetPr>
    <tabColor theme="7" tint="0.79998168889431442"/>
  </sheetPr>
  <dimension ref="A1:C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36.453125" customWidth="1"/>
    <col min="2" max="2" width="66.54296875" customWidth="1"/>
    <col min="3" max="6" width="31.81640625" customWidth="1"/>
  </cols>
  <sheetData>
    <row r="1" spans="1:3" ht="26.25" customHeight="1" x14ac:dyDescent="0.35">
      <c r="A1" s="60" t="s">
        <v>23</v>
      </c>
      <c r="B1" s="60" t="s">
        <v>227</v>
      </c>
    </row>
    <row r="2" spans="1:3" ht="15.5" x14ac:dyDescent="0.35">
      <c r="A2" s="61" t="s">
        <v>42</v>
      </c>
      <c r="B2" s="62" t="s">
        <v>228</v>
      </c>
    </row>
    <row r="3" spans="1:3" ht="29" x14ac:dyDescent="0.35">
      <c r="A3" s="61" t="s">
        <v>56</v>
      </c>
      <c r="B3" s="62" t="s">
        <v>229</v>
      </c>
    </row>
    <row r="4" spans="1:3" ht="29" x14ac:dyDescent="0.35">
      <c r="A4" s="61" t="s">
        <v>19</v>
      </c>
      <c r="B4" s="62" t="s">
        <v>230</v>
      </c>
    </row>
    <row r="5" spans="1:3" ht="15.5" x14ac:dyDescent="0.35">
      <c r="A5" s="61" t="s">
        <v>45</v>
      </c>
      <c r="B5" s="62" t="s">
        <v>231</v>
      </c>
    </row>
    <row r="6" spans="1:3" ht="29" x14ac:dyDescent="0.35">
      <c r="A6" s="61" t="s">
        <v>43</v>
      </c>
      <c r="B6" s="62" t="s">
        <v>232</v>
      </c>
    </row>
    <row r="7" spans="1:3" ht="15.5" x14ac:dyDescent="0.35">
      <c r="A7" s="61" t="s">
        <v>20</v>
      </c>
      <c r="B7" s="62" t="s">
        <v>233</v>
      </c>
    </row>
    <row r="9" spans="1:3" ht="29" x14ac:dyDescent="0.35">
      <c r="A9" s="61" t="s">
        <v>55</v>
      </c>
      <c r="B9" s="62" t="s">
        <v>234</v>
      </c>
    </row>
    <row r="10" spans="1:3" ht="15.5" x14ac:dyDescent="0.35">
      <c r="A10" s="61" t="s">
        <v>235</v>
      </c>
      <c r="B10" s="62" t="s">
        <v>236</v>
      </c>
    </row>
    <row r="11" spans="1:3" ht="29" x14ac:dyDescent="0.35">
      <c r="A11" s="61" t="s">
        <v>49</v>
      </c>
      <c r="B11" s="62" t="s">
        <v>237</v>
      </c>
    </row>
    <row r="12" spans="1:3" ht="15.5" x14ac:dyDescent="0.35">
      <c r="A12" s="61" t="s">
        <v>48</v>
      </c>
      <c r="B12" s="62" t="s">
        <v>238</v>
      </c>
    </row>
    <row r="13" spans="1:3" ht="15.5" x14ac:dyDescent="0.35">
      <c r="A13" s="61" t="s">
        <v>46</v>
      </c>
      <c r="B13" s="62" t="s">
        <v>239</v>
      </c>
    </row>
    <row r="14" spans="1:3" ht="15.5" x14ac:dyDescent="0.35">
      <c r="A14" s="61" t="s">
        <v>47</v>
      </c>
      <c r="B14" s="62" t="s">
        <v>240</v>
      </c>
    </row>
    <row r="15" spans="1:3" ht="15.5" x14ac:dyDescent="0.35">
      <c r="A15" s="63" t="s">
        <v>44</v>
      </c>
      <c r="B15" s="64" t="s">
        <v>241</v>
      </c>
      <c r="C15" t="s">
        <v>242</v>
      </c>
    </row>
    <row r="16" spans="1:3" ht="29" x14ac:dyDescent="0.35">
      <c r="A16" s="63" t="s">
        <v>243</v>
      </c>
      <c r="B16" s="64" t="s">
        <v>244</v>
      </c>
      <c r="C16" t="s">
        <v>245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F49D-D2FA-49A2-A2B6-7C0ACF295137}">
  <dimension ref="A1:C1"/>
  <sheetViews>
    <sheetView workbookViewId="0">
      <selection activeCell="C2" sqref="C2"/>
    </sheetView>
  </sheetViews>
  <sheetFormatPr defaultRowHeight="14.5" x14ac:dyDescent="0.35"/>
  <cols>
    <col min="1" max="1" width="39.453125" customWidth="1"/>
    <col min="2" max="2" width="49.1796875" customWidth="1"/>
  </cols>
  <sheetData>
    <row r="1" spans="1:3" x14ac:dyDescent="0.35">
      <c r="A1" t="s">
        <v>246</v>
      </c>
      <c r="B1" t="s">
        <v>247</v>
      </c>
      <c r="C1">
        <f>IF(A1=B1,1,0)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A18488505B42ADA3FF23B73CD275" ma:contentTypeVersion="11" ma:contentTypeDescription="Create a new document." ma:contentTypeScope="" ma:versionID="03bbd2f69962ea60e224dbba09d598d8">
  <xsd:schema xmlns:xsd="http://www.w3.org/2001/XMLSchema" xmlns:xs="http://www.w3.org/2001/XMLSchema" xmlns:p="http://schemas.microsoft.com/office/2006/metadata/properties" xmlns:ns2="518d1b18-a0c4-4858-a58d-9532fac65fa3" xmlns:ns3="3b9d6083-8299-4f88-b1e4-cf7df0ace5db" targetNamespace="http://schemas.microsoft.com/office/2006/metadata/properties" ma:root="true" ma:fieldsID="0225aa94fedada59eb0932bb1fdd7ce7" ns2:_="" ns3:_="">
    <xsd:import namespace="518d1b18-a0c4-4858-a58d-9532fac65fa3"/>
    <xsd:import namespace="3b9d6083-8299-4f88-b1e4-cf7df0ace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d1b18-a0c4-4858-a58d-9532fac65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d6083-8299-4f88-b1e4-cf7df0ace5d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79192A-C45B-4EF0-A911-80A896B4E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8d1b18-a0c4-4858-a58d-9532fac65fa3"/>
    <ds:schemaRef ds:uri="3b9d6083-8299-4f88-b1e4-cf7df0ace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31F3FE-C5EB-4F8C-ADDB-620125526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973A31-6014-4811-ABC7-10CB6561901C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3b9d6083-8299-4f88-b1e4-cf7df0ace5db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18d1b18-a0c4-4858-a58d-9532fac65fa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Timesheet</vt:lpstr>
      <vt:lpstr>Sheet2</vt:lpstr>
      <vt:lpstr>ReferenceTables</vt:lpstr>
      <vt:lpstr>Project Definitions</vt:lpstr>
      <vt:lpstr>Sheet1</vt:lpstr>
      <vt:lpstr>AllocationSplit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Cox</dc:creator>
  <cp:keywords/>
  <dc:description/>
  <cp:lastModifiedBy>Egor Lipchinskiy</cp:lastModifiedBy>
  <cp:revision/>
  <dcterms:created xsi:type="dcterms:W3CDTF">2021-05-13T07:59:22Z</dcterms:created>
  <dcterms:modified xsi:type="dcterms:W3CDTF">2022-05-27T13:09:13Z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0x010100A022A18488505B42ADA3FF23B73CD275</vt:lpwstr>
  </property>
</Properties>
</file>