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<sst xmlns="http://schemas.openxmlformats.org/spreadsheetml/2006/main" count="1190" uniqueCount="242">
  <si>
    <t>System_1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</si>
  <si>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</si>
  <si>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</si>
  <si>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</si>
  <si>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</si>
  <si>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</si>
  <si>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</si>
  <si>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</si>
  <si>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</si>
  <si>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</si>
  <si>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</si>
  <si>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</si>
  <si>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</si>
  <si>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</si>
  <si>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</si>
  <si>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Обозначение</t>
  </si>
  <si>
    <t>Вероятность</t>
  </si>
  <si>
    <t>λ</t>
  </si>
  <si>
    <t xml:space="preserve"> </t>
  </si>
  <si>
    <t>Хар-ка</t>
  </si>
  <si>
    <t>Прибор</t>
  </si>
  <si>
    <t>Расчетная формула</t>
  </si>
  <si>
    <t>СИСТ.1</t>
  </si>
  <si>
    <t>μ</t>
  </si>
  <si>
    <t>Нагрузка</t>
  </si>
  <si>
    <t>П1</t>
  </si>
  <si>
    <t>y1=λ1*b1</t>
  </si>
  <si>
    <t>2μ</t>
  </si>
  <si>
    <t>П2</t>
  </si>
  <si>
    <t>y2=λ2*b2</t>
  </si>
  <si>
    <t>Сумм.</t>
  </si>
  <si>
    <t>Y=y1+y2</t>
  </si>
  <si>
    <t>Имитационное моделирование</t>
  </si>
  <si>
    <t>Метод марковских процессов</t>
  </si>
  <si>
    <t>Степень различия, %</t>
  </si>
  <si>
    <t>Загрузка</t>
  </si>
  <si>
    <t>ρ1 = 1 - (p0 + p1)</t>
  </si>
  <si>
    <t>ρ2 = 1 - (p0 +p2+p4+s10+s11+s12+s13)</t>
  </si>
  <si>
    <t>R = 1-p0</t>
  </si>
  <si>
    <t>Вероятность потери</t>
  </si>
  <si>
    <t>π1 = (p8+p9 +p12+p13)</t>
  </si>
  <si>
    <t>π2 = (1 - (p0 +p2+p4+s10+s11+s12+s13))</t>
  </si>
  <si>
    <t>π = (π1 + π2) * 0.5</t>
  </si>
  <si>
    <t>Длина очереди</t>
  </si>
  <si>
    <t>l1 = (p6+p7+p10+p11)*1 + (p8+p9+p12+p13)*2</t>
  </si>
  <si>
    <t>l2 = 0</t>
  </si>
  <si>
    <t>l = l1 + l2</t>
  </si>
  <si>
    <t>Число заявок находящихся в системе</t>
  </si>
  <si>
    <t>m1 = (p2+p3+p4+p5)*1+(p6+p7+p10+p11)*2+(p8+p9+p12+p13)*3</t>
  </si>
  <si>
    <t>m2 = p3 + p5 + p6 + p7 + p8 + p9</t>
  </si>
  <si>
    <t>m = (p1+p2+p4)*1+(p3+p5+p10+p11)*2+(p6+p7+p12+p13)*3+(p8+p9)*4</t>
  </si>
  <si>
    <t>Производительность</t>
  </si>
  <si>
    <t>λ1' = (1-π1)*λ1</t>
  </si>
  <si>
    <t>λ2' = (1-π2)*λ2</t>
  </si>
  <si>
    <t xml:space="preserve">λ' = λ1'  + λ2' </t>
  </si>
  <si>
    <t>Коэффициент простоя системы</t>
  </si>
  <si>
    <t>η =1 − ρ1</t>
  </si>
  <si>
    <t>η =1 − ρ2</t>
  </si>
  <si>
    <t>η =1 − ρ</t>
  </si>
  <si>
    <t>Время ожидания</t>
  </si>
  <si>
    <t>w1 = l1 / λ1'</t>
  </si>
  <si>
    <t>w2 = l2 / λ2'</t>
  </si>
  <si>
    <t>w = l / λ'</t>
  </si>
  <si>
    <t>Время пребывания</t>
  </si>
  <si>
    <t>u1 = w1+b1</t>
  </si>
  <si>
    <t>u2 = w2+b2</t>
  </si>
  <si>
    <t>u=w+b</t>
  </si>
  <si>
    <t>СИСТ.2</t>
  </si>
  <si>
    <t>System_2</t>
  </si>
  <si>
    <t>S14</t>
  </si>
  <si>
    <t>S15</t>
  </si>
  <si>
    <t>λ1</t>
  </si>
  <si>
    <t>λ2</t>
  </si>
  <si>
    <t>λ3</t>
  </si>
  <si>
    <t>П3</t>
  </si>
  <si>
    <t>y3=λ3*b3</t>
  </si>
  <si>
    <t>Y=y1 + y2 + y3</t>
  </si>
  <si>
    <t>ρ1 = 1- (p0 + p1 + p2 + p3 + p4 + p5)</t>
  </si>
  <si>
    <t>ρ2 = p1 + p3 + p4 + p7 + p11 + p12 + p13 + p14</t>
  </si>
  <si>
    <t>ρ3 = 1 - (p0 + p1 +p4 +p8 + p10 + p12 + p13)</t>
  </si>
  <si>
    <t>R = 1 - p0</t>
  </si>
  <si>
    <t>π1 = (p10 + p13 + p14 + p15) * 0,5</t>
  </si>
  <si>
    <t>π2 = (p1 + p3 + p6 + p7 + p11 +p12 +p13 +p14) * 0,4</t>
  </si>
  <si>
    <t>π3 = (p2 +p3 +p4 +p7 + p9+ p11 + p14+ p15)* 0,1</t>
  </si>
  <si>
    <t>π = π1 + π2 + π3</t>
  </si>
  <si>
    <t>l1 = (p8 + p9 + p11+ p12)*1 + (p10+ p13 + p14 + p15)*2</t>
  </si>
  <si>
    <t>l3 = 0</t>
  </si>
  <si>
    <t>l = l1 + l2 + l3</t>
  </si>
  <si>
    <t>m1 = (p4+p6+p7)*1 + (p8+p9+p11+p12)*2 + (p10+p13+p14+p15)*3</t>
  </si>
  <si>
    <t>m2 =  p1+p3+p4+p7+p11+p12+p13+p14</t>
  </si>
  <si>
    <t>m3 =  p2+p3+p5+p6+p7+p9+p11+p14+p15</t>
  </si>
  <si>
    <t xml:space="preserve">m = (p1+p2+p5)*1 + (p3+p4+p6+p8)*2 + (p7+p9+p10+p12)*3 + (p11+p13+p15)*4 + p14*5   </t>
  </si>
  <si>
    <t>λ3' = (1-π3)*λ3</t>
  </si>
  <si>
    <t xml:space="preserve">λ' = λ1'  + λ2' + λ3' </t>
  </si>
  <si>
    <t>η =1 − ρ3</t>
  </si>
  <si>
    <t>w3 = l3 / λ3'</t>
  </si>
  <si>
    <t>u3 = w3+b3</t>
  </si>
  <si>
    <t>Разница, %</t>
  </si>
  <si>
    <t>пункт 3.2.2</t>
  </si>
  <si>
    <t>Q1</t>
  </si>
  <si>
    <t>Q3</t>
  </si>
  <si>
    <t xml:space="preserve">QTU_UZEL         </t>
  </si>
  <si>
    <t>ENTRY COUNT(test исполненный - пройденные)</t>
  </si>
  <si>
    <t>AVE COnt</t>
  </si>
  <si>
    <t>AVE COnt/ max</t>
  </si>
  <si>
    <t>aVE TIME</t>
  </si>
  <si>
    <t>STD.DEV</t>
  </si>
  <si>
    <t>Исх.данные (вариант _1):</t>
  </si>
  <si>
    <t>К</t>
  </si>
  <si>
    <t>Е</t>
  </si>
  <si>
    <t>поток</t>
  </si>
  <si>
    <t>a</t>
  </si>
  <si>
    <t>b</t>
  </si>
  <si>
    <t>КВ</t>
  </si>
  <si>
    <t>Исх.данные (вариант _2):</t>
  </si>
  <si>
    <t>Ср. инт. между заявками</t>
  </si>
  <si>
    <t>Ср. дл. обсл.</t>
  </si>
  <si>
    <t>Кол-во заявок</t>
  </si>
  <si>
    <t>2;0</t>
  </si>
  <si>
    <t>прост.</t>
  </si>
  <si>
    <t>1;1</t>
  </si>
  <si>
    <t>Заявок</t>
  </si>
  <si>
    <t>Потери</t>
  </si>
  <si>
    <t>Вер-ть потери</t>
  </si>
  <si>
    <t>П(%)</t>
  </si>
  <si>
    <t>Длина очер.</t>
  </si>
  <si>
    <t>Ср.вр. ож.</t>
  </si>
  <si>
    <t>О(%)</t>
  </si>
  <si>
    <t>СКО вр.ож.</t>
  </si>
  <si>
    <t>Дов. инт.</t>
  </si>
  <si>
    <t>Д(%)</t>
  </si>
  <si>
    <t>Исх.данные (вариант _5):</t>
  </si>
  <si>
    <t>Исх.данные (вариант _6):</t>
  </si>
  <si>
    <t>пункт 3.2.3</t>
  </si>
  <si>
    <t>Номер варианта</t>
  </si>
  <si>
    <t>Поток</t>
  </si>
  <si>
    <t>Количество приборов</t>
  </si>
  <si>
    <t>Простейший</t>
  </si>
  <si>
    <t>Емкость накопителя</t>
  </si>
  <si>
    <t>2/0</t>
  </si>
  <si>
    <t>Трасса</t>
  </si>
  <si>
    <t>Интервалы между заявками входящего потока</t>
  </si>
  <si>
    <t>Ср. значение</t>
  </si>
  <si>
    <t>АР</t>
  </si>
  <si>
    <t>Вид потока</t>
  </si>
  <si>
    <t>П</t>
  </si>
  <si>
    <t>Т</t>
  </si>
  <si>
    <t>А</t>
  </si>
  <si>
    <t>Длительность обслуживания заявок</t>
  </si>
  <si>
    <t>Коэф-т вариации</t>
  </si>
  <si>
    <t>0,5;1</t>
  </si>
  <si>
    <t>загрузка 0.3</t>
  </si>
  <si>
    <t>Исх.данные (вариант _4):</t>
  </si>
  <si>
    <t>Исх.данные (вариант _7):</t>
  </si>
  <si>
    <t>прост</t>
  </si>
  <si>
    <t>трасса</t>
  </si>
  <si>
    <t>аппр</t>
  </si>
  <si>
    <t>загрузка 0.6</t>
  </si>
  <si>
    <t>Исх.данные (вариант _8):</t>
  </si>
  <si>
    <t>загрузка 0.9</t>
  </si>
  <si>
    <t>Исх.данные (вариант _3):</t>
  </si>
  <si>
    <t>Исх.данные (вариант _9):</t>
  </si>
  <si>
    <t>пункт 3.2.5</t>
  </si>
  <si>
    <t>загрузка 0.5</t>
  </si>
  <si>
    <t>5.524</t>
  </si>
  <si>
    <t>581.312</t>
  </si>
  <si>
    <t>Емкость</t>
  </si>
  <si>
    <t>0.000</t>
  </si>
  <si>
    <t/>
  </si>
  <si>
    <t>1.000</t>
  </si>
  <si>
    <t>2.000</t>
  </si>
  <si>
    <t>3.000</t>
  </si>
  <si>
    <t>4.000</t>
  </si>
  <si>
    <t>5.000</t>
  </si>
  <si>
    <t>6.000</t>
  </si>
  <si>
    <t>7.000</t>
  </si>
  <si>
    <t>8.000</t>
  </si>
  <si>
    <t>9.000</t>
  </si>
  <si>
    <t>10.000</t>
  </si>
  <si>
    <t>11.000</t>
  </si>
  <si>
    <t>12.000</t>
  </si>
  <si>
    <t>13.000</t>
  </si>
  <si>
    <t>14.000</t>
  </si>
  <si>
    <t>15.000</t>
  </si>
  <si>
    <t>16.000</t>
  </si>
  <si>
    <t>17.000</t>
  </si>
  <si>
    <t>18.000</t>
  </si>
  <si>
    <t>19.000</t>
  </si>
  <si>
    <t>20.000</t>
  </si>
  <si>
    <t>21.000</t>
  </si>
  <si>
    <t>22.000</t>
  </si>
  <si>
    <t>23.000</t>
  </si>
  <si>
    <t>24.000</t>
  </si>
  <si>
    <t>25.000</t>
  </si>
  <si>
    <t>26.000</t>
  </si>
  <si>
    <t>27.000</t>
  </si>
  <si>
    <t>28.000</t>
  </si>
  <si>
    <t>29.000</t>
  </si>
  <si>
    <t>30.000</t>
  </si>
  <si>
    <t>31.000</t>
  </si>
  <si>
    <t>32.000</t>
  </si>
  <si>
    <t>33.000</t>
  </si>
  <si>
    <t>34.000</t>
  </si>
  <si>
    <t>35.000</t>
  </si>
  <si>
    <t>36.000</t>
  </si>
  <si>
    <t>37.000</t>
  </si>
  <si>
    <t>38.000</t>
  </si>
  <si>
    <t>39.000</t>
  </si>
  <si>
    <t>40.000</t>
  </si>
  <si>
    <t>41.000</t>
  </si>
  <si>
    <t>42.000</t>
  </si>
  <si>
    <t>43.000</t>
  </si>
  <si>
    <t>44.000</t>
  </si>
  <si>
    <t>45.000</t>
  </si>
  <si>
    <t>46.000</t>
  </si>
  <si>
    <t>47.000</t>
  </si>
  <si>
    <t>48.000</t>
  </si>
  <si>
    <t>49.000</t>
  </si>
  <si>
    <t>50.000</t>
  </si>
  <si>
    <t>51.000</t>
  </si>
  <si>
    <t>52.000</t>
  </si>
  <si>
    <t>53.000</t>
  </si>
  <si>
    <t>54.000</t>
  </si>
  <si>
    <t>55.000</t>
  </si>
  <si>
    <t>56.000</t>
  </si>
  <si>
    <t>57.000</t>
  </si>
  <si>
    <t>58.000</t>
  </si>
  <si>
    <t>59.000</t>
  </si>
  <si>
    <t>60.000</t>
  </si>
  <si>
    <t>61.000</t>
  </si>
  <si>
    <t>62.000</t>
  </si>
  <si>
    <t>63.000</t>
  </si>
  <si>
    <t>64.000</t>
  </si>
  <si>
    <t>65.000</t>
  </si>
  <si>
    <t>66.000</t>
  </si>
  <si>
    <t>67.000</t>
  </si>
  <si>
    <t>68.000</t>
  </si>
  <si>
    <t>69.000</t>
  </si>
  <si>
    <t>70.000</t>
  </si>
  <si>
    <t>71.000</t>
  </si>
  <si>
    <t>72.000</t>
  </si>
  <si>
    <t>73.000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</si>
</sst>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"/>
    <numFmt numFmtId="165" formatCode="0.000"/>
    <numFmt numFmtId="166" formatCode="0.0000"/>
    <numFmt numFmtId="167" formatCode="0.0%"/>
    <numFmt numFmtId="168" formatCode="#,##0.0000"/>
  </numFmts>
  <fonts count="18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2.0"/>
      <color rgb="FF202124"/>
      <name val="Arial"/>
    </font>
    <font>
      <b/>
      <color theme="1"/>
      <name val="Arial"/>
      <scheme val="minor"/>
    </font>
    <font>
      <b/>
      <color theme="1"/>
      <name val="Arial"/>
    </font>
    <font>
      <sz val="11.0"/>
      <color rgb="FF000000"/>
      <name val="&quot;Times New Roman&quot;"/>
    </font>
    <font>
      <sz val="11.0"/>
      <color rgb="FF000000"/>
      <name val="Docs-Calibri"/>
    </font>
    <font/>
    <font>
      <color theme="1"/>
      <name val="Arial"/>
    </font>
    <font>
      <color rgb="FF000000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2.0"/>
      <color rgb="FF000000"/>
      <name val="&quot;Times New Roman&quot;"/>
    </font>
    <font>
      <color rgb="FF000000"/>
      <name val="Roboto"/>
    </font>
    <font>
      <sz val="11.0"/>
      <color theme="1"/>
      <name val="Arial"/>
    </font>
    <font>
      <color theme="1"/>
      <name val="&quot;Times New Roman&quot;"/>
    </font>
    <font>
      <sz val="10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2" numFmtId="10" xfId="0" applyFont="1" applyNumberFormat="1"/>
    <xf borderId="1" fillId="3" fontId="1" numFmtId="0" xfId="0" applyAlignment="1" applyBorder="1" applyFont="1">
      <alignment readingOrder="0" shrinkToFit="0" vertical="bottom" wrapText="0"/>
    </xf>
    <xf borderId="1" fillId="4" fontId="3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readingOrder="0"/>
    </xf>
    <xf borderId="3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/>
    </xf>
    <xf borderId="1" fillId="3" fontId="4" numFmtId="10" xfId="0" applyAlignment="1" applyBorder="1" applyFont="1" applyNumberFormat="1">
      <alignment horizontal="center" readingOrder="0" vertical="center"/>
    </xf>
    <xf borderId="1" fillId="2" fontId="7" numFmtId="0" xfId="0" applyAlignment="1" applyBorder="1" applyFont="1">
      <alignment horizontal="right" readingOrder="0"/>
    </xf>
    <xf borderId="4" fillId="0" fontId="8" numFmtId="0" xfId="0" applyBorder="1" applyFont="1"/>
    <xf borderId="5" fillId="2" fontId="5" numFmtId="0" xfId="0" applyAlignment="1" applyBorder="1" applyFont="1">
      <alignment horizontal="center" vertical="center"/>
    </xf>
    <xf borderId="0" fillId="2" fontId="5" numFmtId="0" xfId="0" applyAlignment="1" applyFont="1">
      <alignment horizontal="center" vertical="center"/>
    </xf>
    <xf borderId="6" fillId="2" fontId="5" numFmtId="10" xfId="0" applyAlignment="1" applyBorder="1" applyFont="1" applyNumberFormat="1">
      <alignment horizontal="center" vertical="center"/>
    </xf>
    <xf borderId="1" fillId="4" fontId="7" numFmtId="0" xfId="0" applyAlignment="1" applyBorder="1" applyFont="1">
      <alignment horizontal="right" readingOrder="0"/>
    </xf>
    <xf borderId="7" fillId="0" fontId="8" numFmtId="0" xfId="0" applyBorder="1" applyFont="1"/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/>
    </xf>
    <xf borderId="1" fillId="0" fontId="2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2" numFmtId="0" xfId="0" applyFont="1"/>
    <xf borderId="1" fillId="4" fontId="1" numFmtId="0" xfId="0" applyAlignment="1" applyBorder="1" applyFont="1">
      <alignment horizontal="right" readingOrder="0"/>
    </xf>
    <xf borderId="1" fillId="0" fontId="5" numFmtId="165" xfId="0" applyAlignment="1" applyBorder="1" applyFont="1" applyNumberFormat="1">
      <alignment horizontal="center"/>
    </xf>
    <xf borderId="1" fillId="4" fontId="10" numFmtId="0" xfId="0" applyAlignment="1" applyBorder="1" applyFont="1">
      <alignment horizontal="center" readingOrder="0" vertical="center"/>
    </xf>
    <xf borderId="1" fillId="0" fontId="9" numFmtId="164" xfId="0" applyAlignment="1" applyBorder="1" applyFont="1" applyNumberFormat="1">
      <alignment horizontal="center"/>
    </xf>
    <xf borderId="1" fillId="5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left" shrinkToFit="0" vertical="bottom" wrapText="1"/>
    </xf>
    <xf borderId="0" fillId="0" fontId="2" numFmtId="10" xfId="0" applyAlignment="1" applyFont="1" applyNumberFormat="1">
      <alignment horizontal="left" shrinkToFit="0" vertical="bottom" wrapText="1"/>
    </xf>
    <xf borderId="0" fillId="0" fontId="12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right" readingOrder="0" shrinkToFit="0" wrapText="1"/>
    </xf>
    <xf borderId="1" fillId="3" fontId="2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2" numFmtId="0" xfId="0" applyBorder="1" applyFont="1"/>
    <xf borderId="1" fillId="0" fontId="1" numFmtId="0" xfId="0" applyAlignment="1" applyBorder="1" applyFont="1">
      <alignment horizontal="right" readingOrder="0"/>
    </xf>
    <xf borderId="0" fillId="0" fontId="11" numFmtId="10" xfId="0" applyAlignment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9" fillId="0" fontId="2" numFmtId="10" xfId="0" applyBorder="1" applyFont="1" applyNumberFormat="1"/>
    <xf borderId="10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8" fillId="3" fontId="12" numFmtId="0" xfId="0" applyAlignment="1" applyBorder="1" applyFont="1">
      <alignment horizontal="center" readingOrder="0" shrinkToFit="0" wrapText="1"/>
    </xf>
    <xf borderId="10" fillId="0" fontId="8" numFmtId="0" xfId="0" applyBorder="1" applyFont="1"/>
    <xf borderId="1" fillId="3" fontId="12" numFmtId="0" xfId="0" applyAlignment="1" applyBorder="1" applyFont="1">
      <alignment horizontal="center" readingOrder="0" shrinkToFit="0" wrapText="1"/>
    </xf>
    <xf borderId="1" fillId="3" fontId="13" numFmtId="0" xfId="0" applyAlignment="1" applyBorder="1" applyFont="1">
      <alignment horizontal="left" shrinkToFit="0" vertical="bottom" wrapText="1"/>
    </xf>
    <xf borderId="1" fillId="3" fontId="14" numFmtId="0" xfId="0" applyAlignment="1" applyBorder="1" applyFont="1">
      <alignment readingOrder="0"/>
    </xf>
    <xf borderId="11" fillId="0" fontId="8" numFmtId="0" xfId="0" applyBorder="1" applyFont="1"/>
    <xf borderId="12" fillId="0" fontId="8" numFmtId="0" xfId="0" applyBorder="1" applyFont="1"/>
    <xf borderId="1" fillId="0" fontId="11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readingOrder="0"/>
    </xf>
    <xf borderId="1" fillId="0" fontId="13" numFmtId="0" xfId="0" applyAlignment="1" applyBorder="1" applyFont="1">
      <alignment horizontal="left" shrinkToFit="0" vertical="bottom" wrapText="1"/>
    </xf>
    <xf borderId="1" fillId="0" fontId="15" numFmtId="0" xfId="0" applyAlignment="1" applyBorder="1" applyFont="1">
      <alignment readingOrder="0"/>
    </xf>
    <xf borderId="3" fillId="3" fontId="12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right" vertical="bottom"/>
    </xf>
    <xf borderId="5" fillId="0" fontId="2" numFmtId="0" xfId="0" applyAlignment="1" applyBorder="1" applyFont="1">
      <alignment readingOrder="0"/>
    </xf>
    <xf borderId="0" fillId="0" fontId="2" numFmtId="166" xfId="0" applyFont="1" applyNumberFormat="1"/>
    <xf borderId="0" fillId="0" fontId="2" numFmtId="167" xfId="0" applyAlignment="1" applyFont="1" applyNumberFormat="1">
      <alignment readingOrder="0"/>
    </xf>
    <xf borderId="6" fillId="0" fontId="2" numFmtId="0" xfId="0" applyAlignment="1" applyBorder="1" applyFont="1">
      <alignment readingOrder="0"/>
    </xf>
    <xf borderId="8" fillId="0" fontId="9" numFmtId="0" xfId="0" applyAlignment="1" applyBorder="1" applyFont="1">
      <alignment horizontal="right" vertical="bottom"/>
    </xf>
    <xf borderId="0" fillId="0" fontId="2" numFmtId="165" xfId="0" applyFont="1" applyNumberFormat="1"/>
    <xf borderId="6" fillId="0" fontId="2" numFmtId="167" xfId="0" applyAlignment="1" applyBorder="1" applyFont="1" applyNumberFormat="1">
      <alignment readingOrder="0"/>
    </xf>
    <xf borderId="5" fillId="0" fontId="9" numFmtId="0" xfId="0" applyAlignment="1" applyBorder="1" applyFont="1">
      <alignment horizontal="right" vertical="bottom"/>
    </xf>
    <xf borderId="0" fillId="0" fontId="2" numFmtId="167" xfId="0" applyFont="1" applyNumberFormat="1"/>
    <xf borderId="11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166" xfId="0" applyBorder="1" applyFont="1" applyNumberFormat="1"/>
    <xf borderId="13" fillId="0" fontId="2" numFmtId="167" xfId="0" applyBorder="1" applyFont="1" applyNumberFormat="1"/>
    <xf borderId="13" fillId="0" fontId="2" numFmtId="0" xfId="0" applyBorder="1" applyFont="1"/>
    <xf borderId="13" fillId="0" fontId="2" numFmtId="165" xfId="0" applyBorder="1" applyFont="1" applyNumberFormat="1"/>
    <xf borderId="12" fillId="0" fontId="2" numFmtId="167" xfId="0" applyAlignment="1" applyBorder="1" applyFont="1" applyNumberFormat="1">
      <alignment readingOrder="0"/>
    </xf>
    <xf borderId="11" fillId="0" fontId="9" numFmtId="0" xfId="0" applyAlignment="1" applyBorder="1" applyFont="1">
      <alignment horizontal="right" vertical="bottom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166" xfId="0" applyBorder="1" applyFont="1" applyNumberFormat="1"/>
    <xf borderId="10" fillId="0" fontId="2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 vertical="center"/>
    </xf>
    <xf borderId="1" fillId="0" fontId="11" numFmtId="4" xfId="0" applyAlignment="1" applyBorder="1" applyFont="1" applyNumberFormat="1">
      <alignment horizontal="center" readingOrder="0" shrinkToFit="0" vertical="center" wrapText="1"/>
    </xf>
    <xf borderId="1" fillId="0" fontId="11" numFmtId="166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vertical="center"/>
    </xf>
    <xf borderId="14" fillId="0" fontId="8" numFmtId="0" xfId="0" applyBorder="1" applyFont="1"/>
    <xf borderId="3" fillId="3" fontId="2" numFmtId="0" xfId="0" applyAlignment="1" applyBorder="1" applyFont="1">
      <alignment horizontal="center" readingOrder="0" vertical="center"/>
    </xf>
    <xf borderId="15" fillId="2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readingOrder="0" vertical="center"/>
    </xf>
    <xf borderId="16" fillId="0" fontId="11" numFmtId="4" xfId="0" applyAlignment="1" applyBorder="1" applyFont="1" applyNumberFormat="1">
      <alignment horizontal="center" readingOrder="0" shrinkToFit="0" vertical="center" wrapText="1"/>
    </xf>
    <xf borderId="16" fillId="0" fontId="2" numFmtId="4" xfId="0" applyAlignment="1" applyBorder="1" applyFont="1" applyNumberFormat="1">
      <alignment horizontal="center" vertical="center"/>
    </xf>
    <xf borderId="17" fillId="0" fontId="2" numFmtId="168" xfId="0" applyAlignment="1" applyBorder="1" applyFont="1" applyNumberFormat="1">
      <alignment horizontal="center" vertical="center"/>
    </xf>
    <xf borderId="18" fillId="2" fontId="2" numFmtId="0" xfId="0" applyAlignment="1" applyBorder="1" applyFont="1">
      <alignment horizontal="center" readingOrder="0" vertical="center"/>
    </xf>
    <xf borderId="1" fillId="0" fontId="2" numFmtId="4" xfId="0" applyAlignment="1" applyBorder="1" applyFont="1" applyNumberFormat="1">
      <alignment horizontal="center" vertical="center"/>
    </xf>
    <xf borderId="19" fillId="0" fontId="2" numFmtId="166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horizontal="center" readingOrder="0" vertical="center"/>
    </xf>
    <xf borderId="21" fillId="0" fontId="11" numFmtId="4" xfId="0" applyAlignment="1" applyBorder="1" applyFont="1" applyNumberFormat="1">
      <alignment horizontal="center" readingOrder="0" shrinkToFit="0" vertical="center" wrapText="1"/>
    </xf>
    <xf borderId="21" fillId="0" fontId="2" numFmtId="4" xfId="0" applyAlignment="1" applyBorder="1" applyFont="1" applyNumberFormat="1">
      <alignment horizontal="center" vertical="center"/>
    </xf>
    <xf borderId="22" fillId="0" fontId="2" numFmtId="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readingOrder="0" shrinkToFit="0" vertical="center" wrapText="1"/>
    </xf>
    <xf borderId="17" fillId="0" fontId="2" numFmtId="166" xfId="0" applyAlignment="1" applyBorder="1" applyFont="1" applyNumberFormat="1">
      <alignment horizontal="center" vertical="center"/>
    </xf>
    <xf borderId="19" fillId="0" fontId="2" numFmtId="4" xfId="0" applyAlignment="1" applyBorder="1" applyFont="1" applyNumberFormat="1">
      <alignment horizontal="center" vertical="center"/>
    </xf>
    <xf borderId="21" fillId="0" fontId="11" numFmtId="0" xfId="0" applyAlignment="1" applyBorder="1" applyFont="1">
      <alignment horizontal="center" readingOrder="0" shrinkToFit="0" vertical="center" wrapText="1"/>
    </xf>
    <xf borderId="17" fillId="0" fontId="2" numFmtId="4" xfId="0" applyAlignment="1" applyBorder="1" applyFont="1" applyNumberFormat="1">
      <alignment horizontal="center" vertical="center"/>
    </xf>
    <xf borderId="22" fillId="0" fontId="2" numFmtId="166" xfId="0" applyAlignment="1" applyBorder="1" applyFont="1" applyNumberFormat="1">
      <alignment horizontal="center" vertical="center"/>
    </xf>
    <xf borderId="11" fillId="0" fontId="2" numFmtId="0" xfId="0" applyBorder="1" applyFont="1"/>
    <xf borderId="13" fillId="0" fontId="2" numFmtId="10" xfId="0" applyBorder="1" applyFont="1" applyNumberFormat="1"/>
    <xf borderId="12" fillId="0" fontId="2" numFmtId="0" xfId="0" applyBorder="1" applyFont="1"/>
    <xf borderId="8" fillId="3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5" numFmtId="0" xfId="0" applyAlignment="1" applyFont="1">
      <alignment readingOrder="0" vertical="center"/>
    </xf>
    <xf borderId="1" fillId="0" fontId="11" numFmtId="0" xfId="0" applyAlignment="1" applyBorder="1" applyFont="1">
      <alignment horizontal="right" readingOrder="0" shrinkToFit="0" vertical="center" wrapText="1"/>
    </xf>
    <xf borderId="0" fillId="0" fontId="2" numFmtId="0" xfId="0" applyAlignment="1" applyFont="1">
      <alignment readingOrder="0" vertical="center"/>
    </xf>
    <xf borderId="1" fillId="0" fontId="13" numFmtId="0" xfId="0" applyAlignment="1" applyBorder="1" applyFont="1">
      <alignment horizontal="left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readingOrder="0" vertical="center"/>
    </xf>
    <xf borderId="3" fillId="3" fontId="12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1" fillId="0" fontId="2" numFmtId="166" xfId="0" applyAlignment="1" applyBorder="1" applyFont="1" applyNumberFormat="1">
      <alignment vertical="center"/>
    </xf>
    <xf borderId="1" fillId="0" fontId="11" numFmtId="10" xfId="0" applyAlignment="1" applyBorder="1" applyFont="1" applyNumberFormat="1">
      <alignment horizontal="center" readingOrder="0" shrinkToFit="0" vertical="center" wrapText="1"/>
    </xf>
    <xf borderId="1" fillId="4" fontId="17" numFmtId="0" xfId="0" applyAlignment="1" applyBorder="1" applyFont="1">
      <alignment vertical="center"/>
    </xf>
    <xf borderId="1" fillId="0" fontId="2" numFmtId="167" xfId="0" applyAlignment="1" applyBorder="1" applyFont="1" applyNumberFormat="1">
      <alignment readingOrder="0" vertical="center"/>
    </xf>
    <xf borderId="1" fillId="0" fontId="2" numFmtId="167" xfId="0" applyAlignment="1" applyBorder="1" applyFont="1" applyNumberFormat="1">
      <alignment vertical="center"/>
    </xf>
    <xf borderId="5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0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right" readingOrder="0" shrinkToFit="0" vertical="center" wrapText="1"/>
    </xf>
    <xf borderId="0" fillId="0" fontId="2" numFmtId="10" xfId="0" applyAlignment="1" applyFont="1" applyNumberFormat="1">
      <alignment vertical="center"/>
    </xf>
    <xf borderId="5" fillId="0" fontId="2" numFmtId="0" xfId="0" applyAlignment="1" applyBorder="1" applyFont="1">
      <alignment vertical="center"/>
    </xf>
    <xf borderId="5" fillId="0" fontId="9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shrinkToFit="0" vertical="center" wrapText="0"/>
    </xf>
    <xf borderId="0" fillId="0" fontId="9" numFmtId="10" xfId="0" applyAlignment="1" applyFont="1" applyNumberFormat="1">
      <alignment vertical="center"/>
    </xf>
    <xf borderId="5" fillId="0" fontId="2" numFmtId="0" xfId="0" applyAlignment="1" applyBorder="1" applyFont="1">
      <alignment readingOrder="0" vertical="center"/>
    </xf>
    <xf borderId="1" fillId="0" fontId="15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11" numFmtId="0" xfId="0" applyAlignment="1" applyBorder="1" applyFont="1">
      <alignment horizontal="right" readingOrder="0" shrinkToFit="0" wrapText="1"/>
    </xf>
    <xf borderId="1" fillId="2" fontId="11" numFmtId="0" xfId="0" applyAlignment="1" applyBorder="1" applyFont="1">
      <alignment horizontal="center" readingOrder="0" shrinkToFit="0" wrapText="1"/>
    </xf>
    <xf borderId="1" fillId="0" fontId="11" numFmtId="10" xfId="0" applyAlignment="1" applyBorder="1" applyFont="1" applyNumberFormat="1">
      <alignment horizontal="center" readingOrder="0" shrinkToFit="0" wrapText="1"/>
    </xf>
    <xf borderId="1" fillId="4" fontId="17" numFmtId="0" xfId="0" applyBorder="1" applyFont="1"/>
    <xf borderId="1" fillId="0" fontId="2" numFmtId="167" xfId="0" applyAlignment="1" applyBorder="1" applyFont="1" applyNumberFormat="1">
      <alignment readingOrder="0"/>
    </xf>
    <xf borderId="1" fillId="0" fontId="2" numFmtId="167" xfId="0" applyBorder="1" applyFont="1" applyNumberFormat="1"/>
    <xf borderId="1" fillId="4" fontId="17" numFmtId="0" xfId="0" applyAlignment="1" applyBorder="1" applyFont="1">
      <alignment readingOrder="0"/>
    </xf>
    <xf borderId="17" fillId="0" fontId="2" numFmtId="168" xfId="0" applyAlignment="1" applyBorder="1" applyFont="1" applyNumberFormat="1">
      <alignment horizontal="center" readingOrder="0" vertical="center"/>
    </xf>
    <xf borderId="19" fillId="0" fontId="2" numFmtId="166" xfId="0" applyAlignment="1" applyBorder="1" applyFont="1" applyNumberFormat="1">
      <alignment horizontal="center" readingOrder="0" vertical="center"/>
    </xf>
    <xf borderId="22" fillId="0" fontId="2" numFmtId="4" xfId="0" applyAlignment="1" applyBorder="1" applyFont="1" applyNumberFormat="1">
      <alignment horizontal="center" readingOrder="0" vertical="center"/>
    </xf>
    <xf borderId="17" fillId="0" fontId="2" numFmtId="166" xfId="0" applyAlignment="1" applyBorder="1" applyFont="1" applyNumberFormat="1">
      <alignment horizontal="center" readingOrder="0" vertical="center"/>
    </xf>
    <xf borderId="19" fillId="0" fontId="2" numFmtId="4" xfId="0" applyAlignment="1" applyBorder="1" applyFont="1" applyNumberFormat="1">
      <alignment horizontal="center" readingOrder="0" vertical="center"/>
    </xf>
    <xf borderId="0" fillId="0" fontId="4" numFmtId="0" xfId="0" applyFon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СИСТ.1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'Лист1'!$Z$83:$Z$90</c:f>
            </c:strRef>
          </c:cat>
          <c:val>
            <c:numRef>
              <c:f>'Лист1'!$AA$83:$AA$90</c:f>
              <c:numCache/>
            </c:numRef>
          </c:val>
        </c:ser>
        <c:ser>
          <c:idx val="1"/>
          <c:order val="1"/>
          <c:tx>
            <c:v>СИСТ.2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'Лист1'!$Z$83:$Z$90</c:f>
            </c:strRef>
          </c:cat>
          <c:val>
            <c:numRef>
              <c:f>'Лист1'!$AB$83:$AB$90</c:f>
              <c:numCache/>
            </c:numRef>
          </c:val>
        </c:ser>
        <c:axId val="1965840987"/>
        <c:axId val="1168332182"/>
      </c:barChart>
      <c:catAx>
        <c:axId val="1965840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332182"/>
      </c:catAx>
      <c:valAx>
        <c:axId val="1168332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40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Загрузка 0.9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Время ожидания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'Лист1'!$R$272:$R$274</c:f>
            </c:strRef>
          </c:cat>
          <c:val>
            <c:numRef>
              <c:f>'Лист1'!$S$275:$S$277</c:f>
              <c:numCache/>
            </c:numRef>
          </c:val>
          <c:smooth val="0"/>
        </c:ser>
        <c:axId val="2001412049"/>
        <c:axId val="712233721"/>
      </c:lineChart>
      <c:catAx>
        <c:axId val="2001412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233721"/>
      </c:catAx>
      <c:valAx>
        <c:axId val="712233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41204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'Лист2'!$B$1:$B$1000</c:f>
            </c:strRef>
          </c:cat>
          <c:val>
            <c:numRef>
              <c:f>'Лист2'!$C$1:$C$75</c:f>
              <c:numCache/>
            </c:numRef>
          </c:val>
          <c:smooth val="0"/>
        </c:ser>
        <c:axId val="555499195"/>
        <c:axId val="1580286161"/>
      </c:lineChart>
      <c:catAx>
        <c:axId val="555499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286161"/>
      </c:catAx>
      <c:valAx>
        <c:axId val="158028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499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'Лист2'!$D$1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'Лист2'!$B$2:$B$1000</c:f>
            </c:strRef>
          </c:cat>
          <c:val>
            <c:numRef>
              <c:f>'Лист2'!$D$2:$D$1000</c:f>
              <c:numCache/>
            </c:numRef>
          </c:val>
          <c:smooth val="0"/>
        </c:ser>
        <c:axId val="1480465213"/>
        <c:axId val="612040687"/>
      </c:lineChart>
      <c:catAx>
        <c:axId val="148046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040687"/>
      </c:catAx>
      <c:valAx>
        <c:axId val="612040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465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Изменение ср. интервала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'Лист1'!$AE$97:$AE$98</c:f>
            </c:strRef>
          </c:cat>
          <c:val>
            <c:numRef>
              <c:f>'Лист1'!$AD$97:$AD$98</c:f>
              <c:numCache/>
            </c:numRef>
          </c:val>
          <c:smooth val="0"/>
        </c:ser>
        <c:ser>
          <c:idx val="1"/>
          <c:order val="1"/>
          <c:tx>
            <c:v>Изменение ср. длительности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'Лист1'!$AE$97:$AE$98</c:f>
            </c:strRef>
          </c:cat>
          <c:val>
            <c:numRef>
              <c:f>'Лист1'!$AD$134:$AD$135</c:f>
              <c:numCache/>
            </c:numRef>
          </c:val>
          <c:smooth val="0"/>
        </c:ser>
        <c:axId val="1265377990"/>
        <c:axId val="1238282180"/>
      </c:lineChart>
      <c:catAx>
        <c:axId val="1265377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282180"/>
      </c:catAx>
      <c:valAx>
        <c:axId val="1238282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377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 ожидания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Простейший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'Лист1'!$T$155:$T$157</c:f>
              <c:numCache/>
            </c:numRef>
          </c:val>
          <c:smooth val="0"/>
        </c:ser>
        <c:ser>
          <c:idx val="1"/>
          <c:order val="1"/>
          <c:tx>
            <c:v>Трасса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'Лист1'!$U$155:$U$157</c:f>
              <c:numCache/>
            </c:numRef>
          </c:val>
          <c:smooth val="0"/>
        </c:ser>
        <c:ser>
          <c:idx val="2"/>
          <c:order val="2"/>
          <c:tx>
            <c:v>Аппр. распределение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'Лист1'!$V$155:$V$157</c:f>
              <c:numCache/>
            </c:numRef>
          </c:val>
          <c:smooth val="0"/>
        </c:ser>
        <c:axId val="1558748494"/>
        <c:axId val="883625358"/>
      </c:lineChart>
      <c:catAx>
        <c:axId val="155874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625358"/>
      </c:catAx>
      <c:valAx>
        <c:axId val="883625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748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Время пребывания</a:t>
            </a:r>
          </a:p>
        </c:rich>
      </c:tx>
      <c:overlay val="0"/>
    </c:title>
    <c:plotArea>
      <c:layout/>
      <c:lineChart>
        <c:ser>
          <c:idx val="0"/>
          <c:order val="0"/>
          <c:tx>
            <c:v>Простейший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'Лист1'!$AC$152:$AC$154</c:f>
              <c:numCache/>
            </c:numRef>
          </c:val>
          <c:smooth val="0"/>
        </c:ser>
        <c:ser>
          <c:idx val="1"/>
          <c:order val="1"/>
          <c:tx>
            <c:v>Трасса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'Лист1'!$AD$152:$AD$154</c:f>
              <c:numCache/>
            </c:numRef>
          </c:val>
          <c:smooth val="0"/>
        </c:ser>
        <c:ser>
          <c:idx val="2"/>
          <c:order val="2"/>
          <c:tx>
            <c:v>Аппр. распределение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'Лист1'!$AE$152:$AE$154</c:f>
              <c:numCache/>
            </c:numRef>
          </c:val>
          <c:smooth val="0"/>
        </c:ser>
        <c:axId val="1591193381"/>
        <c:axId val="1438725809"/>
      </c:lineChart>
      <c:catAx>
        <c:axId val="1591193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725809"/>
      </c:catAx>
      <c:valAx>
        <c:axId val="1438725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193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plotArea>
      <c:layout/>
      <c:lineChart>
        <c:ser>
          <c:idx val="0"/>
          <c:order val="0"/>
          <c:tx>
            <c:v>Простейший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'Лист1'!$AH$152:$AH$154</c:f>
              <c:numCache/>
            </c:numRef>
          </c:val>
          <c:smooth val="0"/>
        </c:ser>
        <c:ser>
          <c:idx val="1"/>
          <c:order val="1"/>
          <c:tx>
            <c:v>Трасса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'Лист1'!$AI$152:$AI$154</c:f>
              <c:numCache/>
            </c:numRef>
          </c:val>
          <c:smooth val="0"/>
        </c:ser>
        <c:ser>
          <c:idx val="2"/>
          <c:order val="2"/>
          <c:tx>
            <c:v>Аппр. распределение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'Лист1'!$S$155:$S$157</c:f>
            </c:strRef>
          </c:cat>
          <c:val>
            <c:numRef>
              <c:f>'Лист1'!$AJ$152:$AJ$154</c:f>
              <c:numCache/>
            </c:numRef>
          </c:val>
          <c:smooth val="0"/>
        </c:ser>
        <c:axId val="1567079823"/>
        <c:axId val="1368033024"/>
      </c:lineChart>
      <c:catAx>
        <c:axId val="156707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033024"/>
      </c:catAx>
      <c:valAx>
        <c:axId val="1368033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79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Загрузка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Время ожидания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'Лист1'!$R$272:$R$274</c:f>
            </c:strRef>
          </c:cat>
          <c:val>
            <c:numRef>
              <c:f>'Лист1'!$S$272:$S$274</c:f>
              <c:numCache/>
            </c:numRef>
          </c:val>
          <c:smooth val="0"/>
        </c:ser>
        <c:axId val="1111824187"/>
        <c:axId val="1679771131"/>
      </c:lineChart>
      <c:catAx>
        <c:axId val="111182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771131"/>
      </c:catAx>
      <c:valAx>
        <c:axId val="1679771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2418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Загрузка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Время пребывания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'Лист1'!$R$272:$R$274</c:f>
            </c:strRef>
          </c:cat>
          <c:val>
            <c:numRef>
              <c:f>'Лист1'!$T$272:$T$274</c:f>
              <c:numCache/>
            </c:numRef>
          </c:val>
          <c:smooth val="0"/>
        </c:ser>
        <c:axId val="578633114"/>
        <c:axId val="503489466"/>
      </c:lineChart>
      <c:catAx>
        <c:axId val="57863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89466"/>
      </c:catAx>
      <c:valAx>
        <c:axId val="503489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6331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Загрузка 0.9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Вероятность потери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'Лист1'!$R$272:$R$274</c:f>
            </c:strRef>
          </c:cat>
          <c:val>
            <c:numRef>
              <c:f>'Лист1'!$U$275:$U$277</c:f>
              <c:numCache/>
            </c:numRef>
          </c:val>
          <c:smooth val="0"/>
        </c:ser>
        <c:axId val="1138882355"/>
        <c:axId val="1613313626"/>
      </c:lineChart>
      <c:catAx>
        <c:axId val="113888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313626"/>
      </c:catAx>
      <c:valAx>
        <c:axId val="1613313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88235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Загрузка 0.9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Время пребывания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'Лист1'!$R$272:$R$274</c:f>
            </c:strRef>
          </c:cat>
          <c:val>
            <c:numRef>
              <c:f>'Лист1'!$T$275:$T$277</c:f>
              <c:numCache/>
            </c:numRef>
          </c:val>
          <c:smooth val="0"/>
        </c:ser>
        <c:axId val="1496924506"/>
        <c:axId val="1087579348"/>
      </c:lineChart>
      <c:catAx>
        <c:axId val="149692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579348"/>
      </c:catAx>
      <c:valAx>
        <c:axId val="1087579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2450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28575</xdr:colOff>
      <xdr:row>72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1438275</xdr:colOff>
      <xdr:row>103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657225</xdr:colOff>
      <xdr:row>156</xdr:row>
      <xdr:rowOff>76200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28</xdr:col>
      <xdr:colOff>657225</xdr:colOff>
      <xdr:row>156</xdr:row>
      <xdr:rowOff>76200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35</xdr:col>
      <xdr:colOff>657225</xdr:colOff>
      <xdr:row>156</xdr:row>
      <xdr:rowOff>76200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647700</xdr:colOff>
      <xdr:row>269</xdr:row>
      <xdr:rowOff>190500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27</xdr:col>
      <xdr:colOff>457200</xdr:colOff>
      <xdr:row>269</xdr:row>
      <xdr:rowOff>190500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33</xdr:col>
      <xdr:colOff>9525</xdr:colOff>
      <xdr:row>288</xdr:row>
      <xdr:rowOff>190500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514350</xdr:colOff>
      <xdr:row>288</xdr:row>
      <xdr:rowOff>190500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21</xdr:col>
      <xdr:colOff>647700</xdr:colOff>
      <xdr:row>288</xdr:row>
      <xdr:rowOff>190500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3</xdr:row>
      <xdr:rowOff>152400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190500</xdr:colOff>
      <xdr:row>21</xdr:row>
      <xdr:rowOff>180975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5.75"/>
    <col customWidth="1" min="3" max="3" width="7.75"/>
    <col customWidth="1" min="4" max="4" width="6.25"/>
    <col customWidth="1" min="5" max="5" width="8.5"/>
    <col customWidth="1" min="6" max="6" width="12.63"/>
    <col customWidth="1" min="7" max="7" width="8.63"/>
    <col customWidth="1" min="8" max="8" width="7.0"/>
    <col customWidth="1" min="9" max="9" width="8.13"/>
    <col customWidth="1" min="10" max="10" width="6.0"/>
    <col customWidth="1" min="11" max="11" width="5.13"/>
    <col customWidth="1" min="12" max="12" width="6.25"/>
    <col customWidth="1" min="13" max="13" width="6.5"/>
    <col customWidth="1" min="14" max="14" width="6.88"/>
    <col customWidth="1" min="15" max="16" width="6.38"/>
    <col customWidth="1" min="17" max="17" width="5.5"/>
    <col customWidth="1" min="26" max="26" width="14.88"/>
    <col customWidth="1" min="27" max="27" width="19.38"/>
    <col customWidth="1" min="28" max="28" width="25.13"/>
    <col customWidth="1" min="33" max="33" width="15.38"/>
    <col customWidth="1" min="35" max="35" width="17.5"/>
    <col customWidth="1" min="36" max="36" width="19.13"/>
    <col customWidth="1" min="37" max="37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S1" s="3" t="s">
        <v>15</v>
      </c>
      <c r="T1" s="3" t="s">
        <v>16</v>
      </c>
      <c r="V1" s="4" t="s">
        <v>17</v>
      </c>
      <c r="W1" s="5">
        <v>0.3</v>
      </c>
      <c r="Y1" s="6" t="s">
        <v>18</v>
      </c>
      <c r="Z1" s="7" t="s">
        <v>19</v>
      </c>
      <c r="AA1" s="7" t="s">
        <v>20</v>
      </c>
      <c r="AB1" s="7" t="s">
        <v>21</v>
      </c>
      <c r="AC1" s="8" t="s">
        <v>22</v>
      </c>
      <c r="AD1" s="9"/>
      <c r="AE1" s="10"/>
      <c r="AF1" s="10"/>
      <c r="AK1" s="11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>
      <c r="A2" s="2" t="s">
        <v>1</v>
      </c>
      <c r="B2" s="12">
        <v>0.0</v>
      </c>
      <c r="C2" s="13" t="s">
        <v>17</v>
      </c>
      <c r="D2" s="13" t="s">
        <v>17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S2" s="1" t="s">
        <v>1</v>
      </c>
      <c r="T2" s="5">
        <v>0.0026</v>
      </c>
      <c r="V2" s="15" t="s">
        <v>23</v>
      </c>
      <c r="W2" s="5">
        <v>0.1</v>
      </c>
      <c r="Z2" s="16" t="s">
        <v>24</v>
      </c>
      <c r="AA2" s="17" t="s">
        <v>25</v>
      </c>
      <c r="AB2" s="18" t="s">
        <v>26</v>
      </c>
      <c r="AC2" s="19">
        <f t="shared" ref="AC2:AC3" si="1">0.3*10</f>
        <v>3</v>
      </c>
      <c r="AD2" s="9"/>
      <c r="AE2" s="10"/>
      <c r="AF2" s="10"/>
      <c r="AG2" s="20"/>
      <c r="AH2" s="7"/>
      <c r="AI2" s="7"/>
      <c r="AJ2" s="7"/>
      <c r="AK2" s="21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>
      <c r="A3" s="2" t="s">
        <v>2</v>
      </c>
      <c r="B3" s="13" t="s">
        <v>23</v>
      </c>
      <c r="C3" s="12">
        <v>1.0</v>
      </c>
      <c r="D3" s="14"/>
      <c r="E3" s="13" t="s">
        <v>17</v>
      </c>
      <c r="F3" s="14"/>
      <c r="G3" s="14"/>
      <c r="H3" s="14"/>
      <c r="I3" s="14"/>
      <c r="J3" s="14"/>
      <c r="K3" s="14"/>
      <c r="L3" s="14"/>
      <c r="M3" s="14"/>
      <c r="N3" s="14"/>
      <c r="O3" s="14"/>
      <c r="S3" s="1" t="s">
        <v>2</v>
      </c>
      <c r="T3" s="5">
        <v>0.0078</v>
      </c>
      <c r="V3" s="22" t="s">
        <v>27</v>
      </c>
      <c r="W3" s="5">
        <v>0.2</v>
      </c>
      <c r="Z3" s="23"/>
      <c r="AA3" s="17" t="s">
        <v>28</v>
      </c>
      <c r="AB3" s="18" t="s">
        <v>29</v>
      </c>
      <c r="AC3" s="19">
        <f t="shared" si="1"/>
        <v>3</v>
      </c>
      <c r="AG3" s="24"/>
      <c r="AH3" s="25"/>
      <c r="AI3" s="25"/>
      <c r="AJ3" s="25"/>
      <c r="AK3" s="26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>
      <c r="A4" s="2" t="s">
        <v>3</v>
      </c>
      <c r="B4" s="14"/>
      <c r="C4" s="14"/>
      <c r="D4" s="12">
        <v>2.0</v>
      </c>
      <c r="E4" s="13" t="s">
        <v>17</v>
      </c>
      <c r="F4" s="27" t="s">
        <v>27</v>
      </c>
      <c r="G4" s="14"/>
      <c r="H4" s="14"/>
      <c r="I4" s="14"/>
      <c r="J4" s="14"/>
      <c r="K4" s="14"/>
      <c r="L4" s="13" t="s">
        <v>17</v>
      </c>
      <c r="M4" s="14"/>
      <c r="N4" s="14"/>
      <c r="O4" s="14"/>
      <c r="S4" s="1" t="s">
        <v>3</v>
      </c>
      <c r="T4" s="5">
        <v>0.0098</v>
      </c>
      <c r="Z4" s="28"/>
      <c r="AA4" s="17" t="s">
        <v>30</v>
      </c>
      <c r="AB4" s="29" t="s">
        <v>31</v>
      </c>
      <c r="AC4" s="19">
        <f>AC2+AC3</f>
        <v>6</v>
      </c>
      <c r="AG4" s="20" t="s">
        <v>19</v>
      </c>
      <c r="AH4" s="7" t="s">
        <v>20</v>
      </c>
      <c r="AI4" s="7" t="s">
        <v>32</v>
      </c>
      <c r="AJ4" s="7" t="s">
        <v>33</v>
      </c>
      <c r="AK4" s="21" t="s">
        <v>34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>
      <c r="A5" s="2" t="s">
        <v>4</v>
      </c>
      <c r="B5" s="14"/>
      <c r="C5" s="14"/>
      <c r="D5" s="13" t="s">
        <v>23</v>
      </c>
      <c r="E5" s="12">
        <v>3.0</v>
      </c>
      <c r="F5" s="14"/>
      <c r="G5" s="27" t="s">
        <v>27</v>
      </c>
      <c r="H5" s="13" t="s">
        <v>17</v>
      </c>
      <c r="I5" s="14"/>
      <c r="J5" s="14"/>
      <c r="K5" s="14"/>
      <c r="L5" s="14"/>
      <c r="M5" s="14"/>
      <c r="N5" s="14"/>
      <c r="O5" s="14"/>
      <c r="S5" s="1" t="s">
        <v>4</v>
      </c>
      <c r="T5" s="5">
        <v>0.0294</v>
      </c>
      <c r="Z5" s="16" t="s">
        <v>35</v>
      </c>
      <c r="AA5" s="17" t="s">
        <v>25</v>
      </c>
      <c r="AB5" s="18" t="s">
        <v>36</v>
      </c>
      <c r="AC5" s="30">
        <f>1-T2-T3</f>
        <v>0.9896</v>
      </c>
      <c r="AD5" s="9"/>
      <c r="AE5" s="10"/>
      <c r="AF5" s="10"/>
      <c r="AG5" s="31" t="s">
        <v>35</v>
      </c>
      <c r="AH5" s="32" t="s">
        <v>25</v>
      </c>
      <c r="AI5" s="33">
        <v>0.994</v>
      </c>
      <c r="AJ5" s="34">
        <f t="shared" ref="AJ5:AJ28" si="2">AC5</f>
        <v>0.9896</v>
      </c>
      <c r="AK5" s="35">
        <f t="shared" ref="AK5:AK28" si="3">IFERROR((AI5/AJ5)-1,0)</f>
        <v>0.004446240905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>
      <c r="A6" s="2" t="s">
        <v>5</v>
      </c>
      <c r="B6" s="36" t="s">
        <v>27</v>
      </c>
      <c r="C6" s="14"/>
      <c r="D6" s="14"/>
      <c r="E6" s="14"/>
      <c r="F6" s="12">
        <v>4.0</v>
      </c>
      <c r="G6" s="13" t="s">
        <v>17</v>
      </c>
      <c r="H6" s="14"/>
      <c r="I6" s="14"/>
      <c r="J6" s="14"/>
      <c r="K6" s="14"/>
      <c r="L6" s="14"/>
      <c r="M6" s="13" t="s">
        <v>17</v>
      </c>
      <c r="N6" s="14"/>
      <c r="O6" s="14"/>
      <c r="S6" s="1" t="s">
        <v>5</v>
      </c>
      <c r="T6" s="5">
        <v>0.0039</v>
      </c>
      <c r="V6" s="37">
        <f>T3+T5+T7+T8+T9+T10+T11</f>
        <v>0.75</v>
      </c>
      <c r="Z6" s="23"/>
      <c r="AA6" s="17" t="s">
        <v>28</v>
      </c>
      <c r="AB6" s="29" t="s">
        <v>37</v>
      </c>
      <c r="AC6" s="30">
        <f>1-T2-T4-T6-T12-T13-T14-T15</f>
        <v>0.75</v>
      </c>
      <c r="AG6" s="23"/>
      <c r="AH6" s="32" t="s">
        <v>28</v>
      </c>
      <c r="AI6" s="33">
        <v>0.777</v>
      </c>
      <c r="AJ6" s="34">
        <f t="shared" si="2"/>
        <v>0.75</v>
      </c>
      <c r="AK6" s="35">
        <f t="shared" si="3"/>
        <v>0.036</v>
      </c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>
      <c r="A7" s="2" t="s">
        <v>6</v>
      </c>
      <c r="B7" s="14"/>
      <c r="C7" s="27" t="s">
        <v>27</v>
      </c>
      <c r="D7" s="14"/>
      <c r="E7" s="14"/>
      <c r="F7" s="38" t="s">
        <v>23</v>
      </c>
      <c r="G7" s="12">
        <v>5.0</v>
      </c>
      <c r="H7" s="14"/>
      <c r="I7" s="13" t="s">
        <v>17</v>
      </c>
      <c r="J7" s="14"/>
      <c r="K7" s="14"/>
      <c r="L7" s="14"/>
      <c r="M7" s="14"/>
      <c r="N7" s="14"/>
      <c r="O7" s="14"/>
      <c r="S7" s="1" t="s">
        <v>6</v>
      </c>
      <c r="T7" s="5">
        <v>0.0118</v>
      </c>
      <c r="Z7" s="28"/>
      <c r="AA7" s="17" t="s">
        <v>30</v>
      </c>
      <c r="AB7" s="29" t="s">
        <v>38</v>
      </c>
      <c r="AC7" s="30">
        <f>1-T2</f>
        <v>0.9974</v>
      </c>
      <c r="AG7" s="28"/>
      <c r="AH7" s="32" t="s">
        <v>30</v>
      </c>
      <c r="AI7" s="39">
        <f>1-0.0048</f>
        <v>0.9952</v>
      </c>
      <c r="AJ7" s="32">
        <f t="shared" si="2"/>
        <v>0.9974</v>
      </c>
      <c r="AK7" s="35">
        <f t="shared" si="3"/>
        <v>-0.002205734911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>
      <c r="A8" s="2" t="s">
        <v>7</v>
      </c>
      <c r="B8" s="14"/>
      <c r="C8" s="14"/>
      <c r="D8" s="14"/>
      <c r="E8" s="14"/>
      <c r="F8" s="14"/>
      <c r="G8" s="14"/>
      <c r="H8" s="12">
        <v>6.0</v>
      </c>
      <c r="I8" s="27" t="s">
        <v>27</v>
      </c>
      <c r="J8" s="14"/>
      <c r="K8" s="13" t="s">
        <v>17</v>
      </c>
      <c r="L8" s="13" t="s">
        <v>23</v>
      </c>
      <c r="M8" s="14"/>
      <c r="N8" s="14"/>
      <c r="O8" s="14"/>
      <c r="S8" s="1" t="s">
        <v>7</v>
      </c>
      <c r="T8" s="5">
        <v>0.1367</v>
      </c>
      <c r="Z8" s="16" t="s">
        <v>39</v>
      </c>
      <c r="AA8" s="17" t="s">
        <v>25</v>
      </c>
      <c r="AB8" s="40" t="s">
        <v>40</v>
      </c>
      <c r="AC8" s="30">
        <f>(T10+T11+T14+T15) </f>
        <v>0.6701</v>
      </c>
      <c r="AD8" s="9"/>
      <c r="AE8" s="10"/>
      <c r="AF8" s="10"/>
      <c r="AG8" s="31" t="s">
        <v>39</v>
      </c>
      <c r="AH8" s="32" t="s">
        <v>25</v>
      </c>
      <c r="AI8" s="34">
        <f>(100-31.99)/100</f>
        <v>0.6801</v>
      </c>
      <c r="AJ8" s="34">
        <f t="shared" si="2"/>
        <v>0.6701</v>
      </c>
      <c r="AK8" s="35">
        <f t="shared" si="3"/>
        <v>0.0149231458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>
      <c r="A9" s="2" t="s">
        <v>8</v>
      </c>
      <c r="B9" s="14"/>
      <c r="C9" s="14"/>
      <c r="D9" s="14"/>
      <c r="E9" s="27" t="s">
        <v>27</v>
      </c>
      <c r="F9" s="14"/>
      <c r="G9" s="14"/>
      <c r="H9" s="14"/>
      <c r="I9" s="12">
        <v>7.0</v>
      </c>
      <c r="J9" s="13" t="s">
        <v>17</v>
      </c>
      <c r="K9" s="14"/>
      <c r="L9" s="14"/>
      <c r="M9" s="13" t="s">
        <v>23</v>
      </c>
      <c r="N9" s="14"/>
      <c r="O9" s="14"/>
      <c r="S9" s="1" t="s">
        <v>8</v>
      </c>
      <c r="T9" s="5">
        <v>0.0617</v>
      </c>
      <c r="Z9" s="23"/>
      <c r="AA9" s="17" t="s">
        <v>28</v>
      </c>
      <c r="AB9" s="40" t="s">
        <v>41</v>
      </c>
      <c r="AC9" s="30">
        <f>AC6</f>
        <v>0.75</v>
      </c>
      <c r="AG9" s="23"/>
      <c r="AH9" s="32" t="s">
        <v>28</v>
      </c>
      <c r="AI9" s="41">
        <f>AI6</f>
        <v>0.777</v>
      </c>
      <c r="AJ9" s="34">
        <f t="shared" si="2"/>
        <v>0.75</v>
      </c>
      <c r="AK9" s="35">
        <f t="shared" si="3"/>
        <v>0.036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>
      <c r="A10" s="2" t="s">
        <v>9</v>
      </c>
      <c r="B10" s="14"/>
      <c r="C10" s="14"/>
      <c r="D10" s="14"/>
      <c r="E10" s="14"/>
      <c r="F10" s="14"/>
      <c r="G10" s="14"/>
      <c r="H10" s="27" t="s">
        <v>27</v>
      </c>
      <c r="I10" s="14"/>
      <c r="J10" s="12">
        <v>8.0</v>
      </c>
      <c r="K10" s="14"/>
      <c r="L10" s="14"/>
      <c r="M10" s="14"/>
      <c r="N10" s="14"/>
      <c r="O10" s="13" t="s">
        <v>23</v>
      </c>
      <c r="S10" s="1" t="s">
        <v>9</v>
      </c>
      <c r="T10" s="5">
        <v>0.2976</v>
      </c>
      <c r="Z10" s="28"/>
      <c r="AA10" s="17" t="s">
        <v>30</v>
      </c>
      <c r="AB10" s="42" t="s">
        <v>42</v>
      </c>
      <c r="AC10" s="43">
        <f>SUM(AC8:AC9) * 0.5</f>
        <v>0.71005</v>
      </c>
      <c r="AG10" s="28"/>
      <c r="AH10" s="32" t="s">
        <v>30</v>
      </c>
      <c r="AI10" s="32">
        <f>(AI8+AI9) * 0.5</f>
        <v>0.72855</v>
      </c>
      <c r="AJ10" s="32">
        <f t="shared" si="2"/>
        <v>0.71005</v>
      </c>
      <c r="AK10" s="35">
        <f t="shared" si="3"/>
        <v>0.0260545032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>
      <c r="A11" s="2" t="s">
        <v>10</v>
      </c>
      <c r="B11" s="14"/>
      <c r="C11" s="14"/>
      <c r="D11" s="14"/>
      <c r="E11" s="14"/>
      <c r="F11" s="14"/>
      <c r="G11" s="14"/>
      <c r="H11" s="14"/>
      <c r="I11" s="14"/>
      <c r="J11" s="27" t="s">
        <v>27</v>
      </c>
      <c r="K11" s="12">
        <v>9.0</v>
      </c>
      <c r="L11" s="14"/>
      <c r="M11" s="14"/>
      <c r="N11" s="13" t="s">
        <v>23</v>
      </c>
      <c r="O11" s="14"/>
      <c r="S11" s="1" t="s">
        <v>10</v>
      </c>
      <c r="T11" s="5">
        <v>0.205</v>
      </c>
      <c r="Z11" s="16" t="s">
        <v>43</v>
      </c>
      <c r="AA11" s="17" t="s">
        <v>25</v>
      </c>
      <c r="AB11" s="18" t="s">
        <v>44</v>
      </c>
      <c r="AC11" s="30">
        <f>(T8+T9+T12+T13) + (T10+T11+T14+T15)*2</f>
        <v>1.6048</v>
      </c>
      <c r="AD11" s="9"/>
      <c r="AE11" s="10"/>
      <c r="AF11" s="10"/>
      <c r="AG11" s="31" t="s">
        <v>43</v>
      </c>
      <c r="AH11" s="32" t="s">
        <v>25</v>
      </c>
      <c r="AI11" s="44">
        <v>1.663</v>
      </c>
      <c r="AJ11" s="34">
        <f t="shared" si="2"/>
        <v>1.6048</v>
      </c>
      <c r="AK11" s="35">
        <f t="shared" si="3"/>
        <v>0.0362662014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>
      <c r="A12" s="2" t="s">
        <v>11</v>
      </c>
      <c r="B12" s="14"/>
      <c r="C12" s="14"/>
      <c r="D12" s="14"/>
      <c r="E12" s="14"/>
      <c r="F12" s="14"/>
      <c r="G12" s="14"/>
      <c r="H12" s="13" t="s">
        <v>17</v>
      </c>
      <c r="I12" s="14"/>
      <c r="J12" s="14"/>
      <c r="K12" s="14"/>
      <c r="L12" s="12">
        <v>10.0</v>
      </c>
      <c r="M12" s="27" t="s">
        <v>27</v>
      </c>
      <c r="N12" s="13" t="s">
        <v>17</v>
      </c>
      <c r="O12" s="14"/>
      <c r="S12" s="1" t="s">
        <v>11</v>
      </c>
      <c r="T12" s="5">
        <v>0.0456</v>
      </c>
      <c r="Z12" s="23"/>
      <c r="AA12" s="17" t="s">
        <v>28</v>
      </c>
      <c r="AB12" s="18" t="s">
        <v>45</v>
      </c>
      <c r="AC12" s="19">
        <v>0.0</v>
      </c>
      <c r="AG12" s="23"/>
      <c r="AH12" s="32" t="s">
        <v>28</v>
      </c>
      <c r="AI12" s="44">
        <v>0.0</v>
      </c>
      <c r="AJ12" s="34">
        <f t="shared" si="2"/>
        <v>0</v>
      </c>
      <c r="AK12" s="35">
        <f t="shared" si="3"/>
        <v>0</v>
      </c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>
      <c r="A13" s="2" t="s">
        <v>12</v>
      </c>
      <c r="B13" s="14"/>
      <c r="C13" s="14"/>
      <c r="D13" s="27" t="s">
        <v>27</v>
      </c>
      <c r="E13" s="14"/>
      <c r="F13" s="14"/>
      <c r="G13" s="14"/>
      <c r="H13" s="14"/>
      <c r="I13" s="13" t="s">
        <v>17</v>
      </c>
      <c r="J13" s="14"/>
      <c r="K13" s="14"/>
      <c r="L13" s="14"/>
      <c r="M13" s="12">
        <v>11.0</v>
      </c>
      <c r="N13" s="14"/>
      <c r="O13" s="13" t="s">
        <v>17</v>
      </c>
      <c r="S13" s="1" t="s">
        <v>12</v>
      </c>
      <c r="T13" s="5">
        <v>0.0206</v>
      </c>
      <c r="Z13" s="28"/>
      <c r="AA13" s="17" t="s">
        <v>30</v>
      </c>
      <c r="AB13" s="18" t="s">
        <v>46</v>
      </c>
      <c r="AC13" s="30">
        <f>AC11+AC12</f>
        <v>1.6048</v>
      </c>
      <c r="AG13" s="28"/>
      <c r="AH13" s="32" t="s">
        <v>30</v>
      </c>
      <c r="AI13" s="32">
        <f>AI11+AI12</f>
        <v>1.663</v>
      </c>
      <c r="AJ13" s="32">
        <f t="shared" si="2"/>
        <v>1.6048</v>
      </c>
      <c r="AK13" s="35">
        <f t="shared" si="3"/>
        <v>0.0362662014</v>
      </c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>
      <c r="A14" s="2" t="s">
        <v>13</v>
      </c>
      <c r="B14" s="14"/>
      <c r="C14" s="14"/>
      <c r="D14" s="14"/>
      <c r="E14" s="14"/>
      <c r="F14" s="14"/>
      <c r="G14" s="14"/>
      <c r="H14" s="14"/>
      <c r="I14" s="14"/>
      <c r="J14" s="14"/>
      <c r="K14" s="13" t="s">
        <v>17</v>
      </c>
      <c r="L14" s="14"/>
      <c r="M14" s="14"/>
      <c r="N14" s="12">
        <v>12.0</v>
      </c>
      <c r="O14" s="27" t="s">
        <v>27</v>
      </c>
      <c r="S14" s="1" t="s">
        <v>13</v>
      </c>
      <c r="T14" s="5">
        <v>0.0683</v>
      </c>
      <c r="Z14" s="16" t="s">
        <v>47</v>
      </c>
      <c r="AA14" s="17" t="s">
        <v>25</v>
      </c>
      <c r="AB14" s="29" t="s">
        <v>48</v>
      </c>
      <c r="AC14" s="30">
        <f>(T4+T5+T6+T7)*1 +(T8+T9+T12+T13)*2 + (T10+T11+T14+T15)*3</f>
        <v>2.5944</v>
      </c>
      <c r="AD14" s="9"/>
      <c r="AE14" s="10"/>
      <c r="AF14" s="10"/>
      <c r="AG14" s="31" t="s">
        <v>47</v>
      </c>
      <c r="AH14" s="32" t="s">
        <v>25</v>
      </c>
      <c r="AI14" s="44">
        <f>AI16-AI15</f>
        <v>2.657</v>
      </c>
      <c r="AJ14" s="34">
        <f t="shared" si="2"/>
        <v>2.5944</v>
      </c>
      <c r="AK14" s="35">
        <f t="shared" si="3"/>
        <v>0.024128893</v>
      </c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>
      <c r="A15" s="2" t="s">
        <v>14</v>
      </c>
      <c r="B15" s="14"/>
      <c r="C15" s="14"/>
      <c r="D15" s="14"/>
      <c r="E15" s="14"/>
      <c r="F15" s="14"/>
      <c r="G15" s="14"/>
      <c r="H15" s="14"/>
      <c r="I15" s="14"/>
      <c r="J15" s="13" t="s">
        <v>17</v>
      </c>
      <c r="K15" s="14"/>
      <c r="L15" s="27" t="s">
        <v>27</v>
      </c>
      <c r="M15" s="14"/>
      <c r="N15" s="14"/>
      <c r="O15" s="12">
        <v>13.0</v>
      </c>
      <c r="S15" s="1" t="s">
        <v>14</v>
      </c>
      <c r="T15" s="5">
        <v>0.0992</v>
      </c>
      <c r="Z15" s="23"/>
      <c r="AA15" s="17" t="s">
        <v>28</v>
      </c>
      <c r="AB15" s="18" t="s">
        <v>49</v>
      </c>
      <c r="AC15" s="30">
        <f>T5+T7+T8+T9+T10+T11</f>
        <v>0.7422</v>
      </c>
      <c r="AG15" s="23"/>
      <c r="AH15" s="32" t="s">
        <v>28</v>
      </c>
      <c r="AI15" s="44">
        <v>0.777</v>
      </c>
      <c r="AJ15" s="34">
        <f t="shared" si="2"/>
        <v>0.7422</v>
      </c>
      <c r="AK15" s="35">
        <f t="shared" si="3"/>
        <v>0.04688763137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>
      <c r="T16" s="37">
        <f>SUM(T2:T15)</f>
        <v>1</v>
      </c>
      <c r="Z16" s="28"/>
      <c r="AA16" s="17" t="s">
        <v>30</v>
      </c>
      <c r="AB16" s="29" t="s">
        <v>50</v>
      </c>
      <c r="AC16" s="30">
        <f>(T3+T4+T6)*1 +(T5+T7+T12+T13)*2+(T8+T9+T14+T15)*3+(T10+T11)*4</f>
        <v>3.3444</v>
      </c>
      <c r="AG16" s="28"/>
      <c r="AH16" s="32" t="s">
        <v>30</v>
      </c>
      <c r="AI16" s="45">
        <v>3.434</v>
      </c>
      <c r="AJ16" s="32">
        <f t="shared" si="2"/>
        <v>3.3444</v>
      </c>
      <c r="AK16" s="35">
        <f t="shared" si="3"/>
        <v>0.0267910537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>
      <c r="Z17" s="16" t="s">
        <v>51</v>
      </c>
      <c r="AA17" s="17" t="s">
        <v>25</v>
      </c>
      <c r="AB17" s="29" t="s">
        <v>52</v>
      </c>
      <c r="AC17" s="30">
        <f t="shared" ref="AC17:AC18" si="4">(1-AC8)*0.3</f>
        <v>0.09897</v>
      </c>
      <c r="AD17" s="9"/>
      <c r="AE17" s="10"/>
      <c r="AF17" s="10"/>
      <c r="AG17" s="31" t="s">
        <v>51</v>
      </c>
      <c r="AH17" s="32" t="s">
        <v>25</v>
      </c>
      <c r="AI17" s="30">
        <f t="shared" ref="AI17:AI18" si="5">(1-AI8)*0.3</f>
        <v>0.09597</v>
      </c>
      <c r="AJ17" s="34">
        <f t="shared" si="2"/>
        <v>0.09897</v>
      </c>
      <c r="AK17" s="35">
        <f t="shared" si="3"/>
        <v>-0.03031221582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>
      <c r="A18" s="6"/>
      <c r="B18" s="6"/>
      <c r="C18" s="6"/>
      <c r="Z18" s="23"/>
      <c r="AA18" s="17" t="s">
        <v>28</v>
      </c>
      <c r="AB18" s="29" t="s">
        <v>53</v>
      </c>
      <c r="AC18" s="30">
        <f t="shared" si="4"/>
        <v>0.075</v>
      </c>
      <c r="AG18" s="23"/>
      <c r="AH18" s="32" t="s">
        <v>28</v>
      </c>
      <c r="AI18" s="30">
        <f t="shared" si="5"/>
        <v>0.0669</v>
      </c>
      <c r="AJ18" s="34">
        <f t="shared" si="2"/>
        <v>0.075</v>
      </c>
      <c r="AK18" s="35">
        <f t="shared" si="3"/>
        <v>-0.108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>
      <c r="Z19" s="28"/>
      <c r="AA19" s="17" t="s">
        <v>30</v>
      </c>
      <c r="AB19" s="29" t="s">
        <v>54</v>
      </c>
      <c r="AC19" s="30">
        <f>(1-AC10)*0.6</f>
        <v>0.17397</v>
      </c>
      <c r="AG19" s="28"/>
      <c r="AH19" s="32" t="s">
        <v>30</v>
      </c>
      <c r="AI19" s="32">
        <f>AI17+AI18</f>
        <v>0.16287</v>
      </c>
      <c r="AJ19" s="32">
        <f t="shared" si="2"/>
        <v>0.17397</v>
      </c>
      <c r="AK19" s="35">
        <f t="shared" si="3"/>
        <v>-0.06380410416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>
      <c r="Z20" s="16" t="s">
        <v>55</v>
      </c>
      <c r="AA20" s="17" t="s">
        <v>25</v>
      </c>
      <c r="AB20" s="29" t="s">
        <v>56</v>
      </c>
      <c r="AC20" s="19">
        <f t="shared" ref="AC20:AC22" si="6">1-AC5</f>
        <v>0.0104</v>
      </c>
      <c r="AD20" s="9"/>
      <c r="AE20" s="10"/>
      <c r="AF20" s="10"/>
      <c r="AG20" s="31" t="s">
        <v>55</v>
      </c>
      <c r="AH20" s="32" t="s">
        <v>25</v>
      </c>
      <c r="AI20" s="33">
        <f t="shared" ref="AI20:AI22" si="7">1-AI5</f>
        <v>0.006</v>
      </c>
      <c r="AJ20" s="34">
        <f t="shared" si="2"/>
        <v>0.0104</v>
      </c>
      <c r="AK20" s="35">
        <f t="shared" si="3"/>
        <v>-0.4230769231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>
      <c r="Z21" s="23"/>
      <c r="AA21" s="17" t="s">
        <v>28</v>
      </c>
      <c r="AB21" s="29" t="s">
        <v>57</v>
      </c>
      <c r="AC21" s="19">
        <f t="shared" si="6"/>
        <v>0.25</v>
      </c>
      <c r="AG21" s="23"/>
      <c r="AH21" s="32" t="s">
        <v>28</v>
      </c>
      <c r="AI21" s="33">
        <f t="shared" si="7"/>
        <v>0.223</v>
      </c>
      <c r="AJ21" s="34">
        <f t="shared" si="2"/>
        <v>0.25</v>
      </c>
      <c r="AK21" s="35">
        <f t="shared" si="3"/>
        <v>-0.108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>
      <c r="Z22" s="28"/>
      <c r="AA22" s="17" t="s">
        <v>30</v>
      </c>
      <c r="AB22" s="29" t="s">
        <v>58</v>
      </c>
      <c r="AC22" s="19">
        <f t="shared" si="6"/>
        <v>0.0026</v>
      </c>
      <c r="AG22" s="28"/>
      <c r="AH22" s="32" t="s">
        <v>30</v>
      </c>
      <c r="AI22" s="46">
        <f t="shared" si="7"/>
        <v>0.0048</v>
      </c>
      <c r="AJ22" s="32">
        <f t="shared" si="2"/>
        <v>0.0026</v>
      </c>
      <c r="AK22" s="35">
        <f t="shared" si="3"/>
        <v>0.8461538462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>
      <c r="Z23" s="16" t="s">
        <v>59</v>
      </c>
      <c r="AA23" s="17" t="s">
        <v>25</v>
      </c>
      <c r="AB23" s="18" t="s">
        <v>60</v>
      </c>
      <c r="AC23" s="30">
        <f t="shared" ref="AC23:AC25" si="8">AC11/AC17</f>
        <v>16.21501465</v>
      </c>
      <c r="AD23" s="9"/>
      <c r="AE23" s="10"/>
      <c r="AF23" s="10"/>
      <c r="AG23" s="31" t="s">
        <v>59</v>
      </c>
      <c r="AH23" s="32" t="s">
        <v>25</v>
      </c>
      <c r="AI23" s="44">
        <v>16.738</v>
      </c>
      <c r="AJ23" s="34">
        <f t="shared" si="2"/>
        <v>16.21501465</v>
      </c>
      <c r="AK23" s="35">
        <f t="shared" si="3"/>
        <v>0.03225315304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>
      <c r="Z24" s="23"/>
      <c r="AA24" s="17" t="s">
        <v>28</v>
      </c>
      <c r="AB24" s="18" t="s">
        <v>61</v>
      </c>
      <c r="AC24" s="30">
        <f t="shared" si="8"/>
        <v>0</v>
      </c>
      <c r="AG24" s="23"/>
      <c r="AH24" s="32" t="s">
        <v>28</v>
      </c>
      <c r="AI24" s="44">
        <v>0.0</v>
      </c>
      <c r="AJ24" s="34">
        <f t="shared" si="2"/>
        <v>0</v>
      </c>
      <c r="AK24" s="35">
        <f t="shared" si="3"/>
        <v>0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>
      <c r="Z25" s="28"/>
      <c r="AA25" s="17" t="s">
        <v>30</v>
      </c>
      <c r="AB25" s="18" t="s">
        <v>62</v>
      </c>
      <c r="AC25" s="30">
        <f t="shared" si="8"/>
        <v>9.22457895</v>
      </c>
      <c r="AG25" s="28"/>
      <c r="AH25" s="32" t="s">
        <v>30</v>
      </c>
      <c r="AI25" s="47">
        <f>AI13/AI19</f>
        <v>10.21059741</v>
      </c>
      <c r="AJ25" s="32">
        <f t="shared" si="2"/>
        <v>9.22457895</v>
      </c>
      <c r="AK25" s="35">
        <f t="shared" si="3"/>
        <v>0.1068903485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Z26" s="16" t="s">
        <v>63</v>
      </c>
      <c r="AA26" s="17" t="s">
        <v>25</v>
      </c>
      <c r="AB26" s="18" t="s">
        <v>64</v>
      </c>
      <c r="AC26" s="32">
        <f t="shared" ref="AC26:AC28" si="9">AC14/AC17</f>
        <v>26.21400424</v>
      </c>
      <c r="AD26" s="9"/>
      <c r="AE26" s="10"/>
      <c r="AF26" s="10"/>
      <c r="AG26" s="31" t="s">
        <v>63</v>
      </c>
      <c r="AH26" s="32" t="s">
        <v>25</v>
      </c>
      <c r="AI26" s="34">
        <f t="shared" ref="AI26:AI28" si="10">AI14/AI17</f>
        <v>27.68573513</v>
      </c>
      <c r="AJ26" s="34">
        <f t="shared" si="2"/>
        <v>26.21400424</v>
      </c>
      <c r="AK26" s="35">
        <f t="shared" si="3"/>
        <v>0.05614292529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Z27" s="23"/>
      <c r="AA27" s="17" t="s">
        <v>28</v>
      </c>
      <c r="AB27" s="18" t="s">
        <v>65</v>
      </c>
      <c r="AC27" s="32">
        <f t="shared" si="9"/>
        <v>9.896</v>
      </c>
      <c r="AG27" s="23"/>
      <c r="AH27" s="32" t="s">
        <v>28</v>
      </c>
      <c r="AI27" s="34">
        <f t="shared" si="10"/>
        <v>11.61434978</v>
      </c>
      <c r="AJ27" s="34">
        <f t="shared" si="2"/>
        <v>9.896</v>
      </c>
      <c r="AK27" s="35">
        <f t="shared" si="3"/>
        <v>0.1736408423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>
      <c r="Z28" s="28"/>
      <c r="AA28" s="17" t="s">
        <v>30</v>
      </c>
      <c r="AB28" s="18" t="s">
        <v>66</v>
      </c>
      <c r="AC28" s="32">
        <f t="shared" si="9"/>
        <v>19.22400414</v>
      </c>
      <c r="AG28" s="28"/>
      <c r="AH28" s="32" t="s">
        <v>30</v>
      </c>
      <c r="AI28" s="32">
        <f t="shared" si="10"/>
        <v>21.08430036</v>
      </c>
      <c r="AJ28" s="32">
        <f t="shared" si="2"/>
        <v>19.22400414</v>
      </c>
      <c r="AK28" s="35">
        <f t="shared" si="3"/>
        <v>0.09676944565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>
      <c r="AC29" s="48"/>
      <c r="AK29" s="11"/>
    </row>
    <row r="30">
      <c r="AC30" s="48"/>
      <c r="AG30" s="49"/>
      <c r="AI30" s="50"/>
      <c r="AJ30" s="50"/>
      <c r="AK30" s="50"/>
    </row>
    <row r="31">
      <c r="AC31" s="48"/>
      <c r="AG31" s="49"/>
      <c r="AI31" s="50"/>
      <c r="AJ31" s="50"/>
      <c r="AK31" s="50"/>
    </row>
    <row r="32">
      <c r="AG32" s="49"/>
      <c r="AI32" s="50"/>
      <c r="AJ32" s="50"/>
      <c r="AK32" s="50"/>
    </row>
    <row r="33">
      <c r="AG33" s="49"/>
      <c r="AH33" s="49"/>
      <c r="AI33" s="51"/>
      <c r="AJ33" s="51"/>
      <c r="AK33" s="51"/>
    </row>
    <row r="34">
      <c r="AH34" s="49"/>
      <c r="AI34" s="50"/>
      <c r="AJ34" s="50"/>
      <c r="AK34" s="50"/>
    </row>
    <row r="35">
      <c r="AG35" s="49"/>
      <c r="AH35" s="49"/>
      <c r="AI35" s="52"/>
      <c r="AJ35" s="52"/>
      <c r="AK35" s="53"/>
    </row>
    <row r="36">
      <c r="AH36" s="49"/>
      <c r="AI36" s="52"/>
      <c r="AJ36" s="52"/>
      <c r="AK36" s="53"/>
    </row>
    <row r="37">
      <c r="AK37" s="11"/>
    </row>
    <row r="38">
      <c r="AK38" s="11"/>
    </row>
    <row r="39">
      <c r="AG39" s="54"/>
      <c r="AI39" s="54"/>
      <c r="AJ39" s="54"/>
      <c r="AK39" s="54"/>
      <c r="AL39" s="54"/>
      <c r="AM39" s="54"/>
      <c r="AN39" s="54"/>
      <c r="AO39" s="55"/>
      <c r="AP39" s="55"/>
      <c r="AQ39" s="55"/>
      <c r="AR39" s="55"/>
      <c r="AS39" s="55"/>
      <c r="AT39" s="55"/>
      <c r="AU39" s="55"/>
      <c r="AV39" s="55"/>
    </row>
    <row r="40">
      <c r="Z40" s="7" t="s">
        <v>19</v>
      </c>
      <c r="AA40" s="7" t="s">
        <v>20</v>
      </c>
      <c r="AB40" s="7" t="s">
        <v>21</v>
      </c>
      <c r="AC40" s="7" t="s">
        <v>67</v>
      </c>
      <c r="AI40" s="50"/>
      <c r="AJ40" s="50"/>
      <c r="AK40" s="50"/>
      <c r="AL40" s="56"/>
      <c r="AM40" s="56"/>
      <c r="AN40" s="50"/>
      <c r="AO40" s="55"/>
      <c r="AP40" s="55"/>
      <c r="AQ40" s="55"/>
      <c r="AR40" s="55"/>
      <c r="AS40" s="55"/>
      <c r="AT40" s="55"/>
      <c r="AU40" s="55"/>
      <c r="AV40" s="55"/>
    </row>
    <row r="41">
      <c r="A41" s="1" t="s">
        <v>68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2" t="s">
        <v>69</v>
      </c>
      <c r="Q41" s="3" t="s">
        <v>70</v>
      </c>
      <c r="S41" s="3" t="s">
        <v>15</v>
      </c>
      <c r="T41" s="3" t="s">
        <v>16</v>
      </c>
      <c r="V41" s="4" t="s">
        <v>71</v>
      </c>
      <c r="W41" s="5">
        <v>0.3</v>
      </c>
      <c r="Z41" s="16" t="s">
        <v>24</v>
      </c>
      <c r="AA41" s="17" t="s">
        <v>25</v>
      </c>
      <c r="AB41" s="18" t="s">
        <v>26</v>
      </c>
      <c r="AC41" s="29">
        <f>(0.5*0.6)/0.1</f>
        <v>3</v>
      </c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</row>
    <row r="42">
      <c r="A42" s="2" t="s">
        <v>1</v>
      </c>
      <c r="B42" s="57">
        <v>0.0</v>
      </c>
      <c r="C42" s="58" t="s">
        <v>72</v>
      </c>
      <c r="D42" s="58" t="s">
        <v>73</v>
      </c>
      <c r="E42" s="59"/>
      <c r="F42" s="59"/>
      <c r="G42" s="58" t="s">
        <v>71</v>
      </c>
      <c r="H42" s="59"/>
      <c r="I42" s="59"/>
      <c r="J42" s="59"/>
      <c r="K42" s="59"/>
      <c r="L42" s="59"/>
      <c r="M42" s="59"/>
      <c r="N42" s="59"/>
      <c r="O42" s="59"/>
      <c r="P42" s="59"/>
      <c r="Q42" s="59"/>
      <c r="S42" s="1" t="s">
        <v>1</v>
      </c>
      <c r="T42" s="5">
        <v>0.0048</v>
      </c>
      <c r="V42" s="4" t="s">
        <v>72</v>
      </c>
      <c r="W42" s="5">
        <v>0.24</v>
      </c>
      <c r="Z42" s="23"/>
      <c r="AA42" s="17" t="s">
        <v>28</v>
      </c>
      <c r="AB42" s="18" t="s">
        <v>29</v>
      </c>
      <c r="AC42" s="29">
        <f>(0.4*0.6)/0.1</f>
        <v>2.4</v>
      </c>
      <c r="AR42" s="54"/>
      <c r="AS42" s="54"/>
      <c r="AT42" s="54"/>
      <c r="AU42" s="54"/>
      <c r="AV42" s="54"/>
    </row>
    <row r="43">
      <c r="A43" s="2" t="s">
        <v>2</v>
      </c>
      <c r="B43" s="60" t="s">
        <v>23</v>
      </c>
      <c r="C43" s="57">
        <v>1.0</v>
      </c>
      <c r="D43" s="59"/>
      <c r="E43" s="58" t="s">
        <v>73</v>
      </c>
      <c r="F43" s="59"/>
      <c r="G43" s="59"/>
      <c r="H43" s="58" t="s">
        <v>71</v>
      </c>
      <c r="I43" s="59"/>
      <c r="J43" s="59"/>
      <c r="K43" s="59"/>
      <c r="L43" s="59"/>
      <c r="M43" s="59"/>
      <c r="N43" s="59"/>
      <c r="O43" s="59"/>
      <c r="P43" s="59"/>
      <c r="Q43" s="59"/>
      <c r="S43" s="1" t="s">
        <v>2</v>
      </c>
      <c r="T43" s="5">
        <v>0.0103</v>
      </c>
      <c r="V43" s="4" t="s">
        <v>73</v>
      </c>
      <c r="W43" s="5">
        <v>0.06</v>
      </c>
      <c r="Z43" s="23"/>
      <c r="AA43" s="17" t="s">
        <v>74</v>
      </c>
      <c r="AB43" s="29" t="s">
        <v>75</v>
      </c>
      <c r="AC43" s="29">
        <f>(0.1*0.6)/0.1</f>
        <v>0.6</v>
      </c>
      <c r="AG43" s="50"/>
      <c r="AH43" s="50"/>
      <c r="AI43" s="50"/>
      <c r="AJ43" s="61"/>
      <c r="AK43" s="50"/>
      <c r="AL43" s="50"/>
      <c r="AM43" s="50"/>
      <c r="AN43" s="61"/>
      <c r="AO43" s="50"/>
      <c r="AP43" s="50"/>
      <c r="AQ43" s="61"/>
      <c r="AR43" s="61"/>
      <c r="AS43" s="61"/>
      <c r="AT43" s="61"/>
      <c r="AU43" s="61"/>
      <c r="AV43" s="61"/>
    </row>
    <row r="44">
      <c r="A44" s="2" t="s">
        <v>3</v>
      </c>
      <c r="B44" s="60" t="s">
        <v>23</v>
      </c>
      <c r="C44" s="59"/>
      <c r="D44" s="57">
        <v>2.0</v>
      </c>
      <c r="E44" s="58" t="s">
        <v>72</v>
      </c>
      <c r="F44" s="58" t="s">
        <v>71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S44" s="1" t="s">
        <v>3</v>
      </c>
      <c r="T44" s="5">
        <v>0.0031</v>
      </c>
      <c r="V44" s="15" t="s">
        <v>23</v>
      </c>
      <c r="W44" s="5">
        <v>0.1</v>
      </c>
      <c r="Z44" s="28"/>
      <c r="AA44" s="17" t="s">
        <v>30</v>
      </c>
      <c r="AB44" s="29" t="s">
        <v>76</v>
      </c>
      <c r="AC44" s="62">
        <f>AC41+AC42+AC43</f>
        <v>6</v>
      </c>
      <c r="AG44" s="50"/>
      <c r="AH44" s="50"/>
      <c r="AI44" s="50"/>
      <c r="AJ44" s="61"/>
      <c r="AK44" s="50"/>
      <c r="AL44" s="50"/>
      <c r="AM44" s="50"/>
      <c r="AN44" s="61"/>
      <c r="AO44" s="50"/>
      <c r="AP44" s="56"/>
      <c r="AQ44" s="61"/>
      <c r="AR44" s="61"/>
      <c r="AS44" s="61"/>
      <c r="AT44" s="61"/>
      <c r="AU44" s="61"/>
      <c r="AV44" s="61"/>
    </row>
    <row r="45">
      <c r="A45" s="2" t="s">
        <v>4</v>
      </c>
      <c r="B45" s="59"/>
      <c r="C45" s="60" t="s">
        <v>23</v>
      </c>
      <c r="D45" s="60" t="s">
        <v>23</v>
      </c>
      <c r="E45" s="57">
        <v>3.0</v>
      </c>
      <c r="F45" s="59"/>
      <c r="G45" s="59"/>
      <c r="H45" s="59"/>
      <c r="I45" s="58" t="s">
        <v>71</v>
      </c>
      <c r="J45" s="59"/>
      <c r="K45" s="59"/>
      <c r="L45" s="59"/>
      <c r="M45" s="59"/>
      <c r="N45" s="59"/>
      <c r="O45" s="59"/>
      <c r="P45" s="59"/>
      <c r="Q45" s="59"/>
      <c r="S45" s="1" t="s">
        <v>4</v>
      </c>
      <c r="T45" s="5">
        <v>0.0068</v>
      </c>
      <c r="Z45" s="16" t="s">
        <v>35</v>
      </c>
      <c r="AA45" s="17" t="s">
        <v>25</v>
      </c>
      <c r="AB45" s="18" t="s">
        <v>77</v>
      </c>
      <c r="AC45" s="62">
        <f>1-(T42+T43+T44+T45+T46+T47)</f>
        <v>0.9496</v>
      </c>
      <c r="AG45" s="50"/>
      <c r="AH45" s="50"/>
      <c r="AI45" s="50"/>
      <c r="AJ45" s="61"/>
      <c r="AK45" s="50"/>
      <c r="AL45" s="50"/>
      <c r="AM45" s="50"/>
      <c r="AN45" s="61"/>
      <c r="AO45" s="50"/>
      <c r="AP45" s="56"/>
      <c r="AQ45" s="61"/>
      <c r="AR45" s="61"/>
      <c r="AS45" s="61"/>
      <c r="AT45" s="61"/>
      <c r="AU45" s="61"/>
      <c r="AV45" s="61"/>
    </row>
    <row r="46">
      <c r="A46" s="2" t="s">
        <v>5</v>
      </c>
      <c r="B46" s="59"/>
      <c r="C46" s="59"/>
      <c r="D46" s="60" t="s">
        <v>23</v>
      </c>
      <c r="E46" s="59"/>
      <c r="F46" s="57">
        <v>4.0</v>
      </c>
      <c r="G46" s="60" t="s">
        <v>23</v>
      </c>
      <c r="H46" s="59"/>
      <c r="I46" s="58" t="s">
        <v>72</v>
      </c>
      <c r="J46" s="59"/>
      <c r="K46" s="58" t="s">
        <v>71</v>
      </c>
      <c r="L46" s="59"/>
      <c r="M46" s="59"/>
      <c r="N46" s="59"/>
      <c r="O46" s="59"/>
      <c r="P46" s="59"/>
      <c r="Q46" s="59"/>
      <c r="S46" s="1" t="s">
        <v>5</v>
      </c>
      <c r="T46" s="5">
        <v>0.0099</v>
      </c>
      <c r="Z46" s="23"/>
      <c r="AA46" s="17" t="s">
        <v>28</v>
      </c>
      <c r="AB46" s="29" t="s">
        <v>78</v>
      </c>
      <c r="AC46" s="62">
        <f>T43+T45+T46+T49+T53+T54+T55+T56</f>
        <v>0.6802</v>
      </c>
      <c r="AG46" s="50"/>
      <c r="AH46" s="50"/>
      <c r="AI46" s="50"/>
      <c r="AJ46" s="61"/>
      <c r="AK46" s="50"/>
      <c r="AL46" s="50"/>
      <c r="AM46" s="50"/>
      <c r="AN46" s="61"/>
      <c r="AO46" s="50"/>
      <c r="AP46" s="56"/>
      <c r="AQ46" s="61"/>
      <c r="AR46" s="61"/>
      <c r="AS46" s="61"/>
      <c r="AT46" s="61"/>
      <c r="AU46" s="61"/>
      <c r="AV46" s="61"/>
    </row>
    <row r="47">
      <c r="A47" s="2" t="s">
        <v>6</v>
      </c>
      <c r="B47" s="60" t="s">
        <v>23</v>
      </c>
      <c r="C47" s="59"/>
      <c r="D47" s="59"/>
      <c r="E47" s="59"/>
      <c r="F47" s="60" t="s">
        <v>23</v>
      </c>
      <c r="G47" s="57">
        <v>5.0</v>
      </c>
      <c r="H47" s="60" t="s">
        <v>23</v>
      </c>
      <c r="I47" s="59"/>
      <c r="J47" s="58" t="s">
        <v>71</v>
      </c>
      <c r="K47" s="59"/>
      <c r="L47" s="59"/>
      <c r="M47" s="59"/>
      <c r="N47" s="59"/>
      <c r="O47" s="59"/>
      <c r="P47" s="59"/>
      <c r="Q47" s="59"/>
      <c r="S47" s="1" t="s">
        <v>6</v>
      </c>
      <c r="T47" s="5">
        <v>0.0155</v>
      </c>
      <c r="Z47" s="23"/>
      <c r="AA47" s="17" t="s">
        <v>74</v>
      </c>
      <c r="AB47" s="29" t="s">
        <v>79</v>
      </c>
      <c r="AC47" s="62">
        <f>1-(T42+T43+T46+T50+T52+T54+T55)</f>
        <v>0.4235</v>
      </c>
      <c r="AD47" s="6"/>
      <c r="AE47" s="6"/>
      <c r="AF47" s="6"/>
      <c r="AG47" s="50"/>
      <c r="AH47" s="50"/>
      <c r="AI47" s="50"/>
      <c r="AJ47" s="61"/>
      <c r="AK47" s="50"/>
      <c r="AL47" s="50"/>
      <c r="AM47" s="50"/>
      <c r="AN47" s="61"/>
      <c r="AO47" s="50"/>
      <c r="AP47" s="56"/>
      <c r="AQ47" s="61"/>
      <c r="AR47" s="61"/>
      <c r="AS47" s="61"/>
      <c r="AT47" s="61"/>
      <c r="AU47" s="61"/>
      <c r="AV47" s="61"/>
    </row>
    <row r="48">
      <c r="A48" s="2" t="s">
        <v>7</v>
      </c>
      <c r="B48" s="59"/>
      <c r="C48" s="60" t="s">
        <v>23</v>
      </c>
      <c r="D48" s="59"/>
      <c r="E48" s="59"/>
      <c r="F48" s="59"/>
      <c r="G48" s="60" t="s">
        <v>23</v>
      </c>
      <c r="H48" s="57">
        <v>6.0</v>
      </c>
      <c r="I48" s="58" t="s">
        <v>73</v>
      </c>
      <c r="J48" s="59"/>
      <c r="K48" s="59"/>
      <c r="L48" s="59"/>
      <c r="M48" s="59"/>
      <c r="N48" s="58" t="s">
        <v>71</v>
      </c>
      <c r="O48" s="59"/>
      <c r="P48" s="59"/>
      <c r="Q48" s="59"/>
      <c r="S48" s="1" t="s">
        <v>7</v>
      </c>
      <c r="T48" s="5">
        <v>0.0291</v>
      </c>
      <c r="Z48" s="28"/>
      <c r="AA48" s="17" t="s">
        <v>30</v>
      </c>
      <c r="AB48" s="29" t="s">
        <v>80</v>
      </c>
      <c r="AC48" s="29">
        <f>1-T42</f>
        <v>0.9952</v>
      </c>
      <c r="AG48" s="50"/>
      <c r="AH48" s="50"/>
      <c r="AI48" s="50"/>
      <c r="AJ48" s="61"/>
      <c r="AK48" s="50"/>
      <c r="AL48" s="50"/>
      <c r="AM48" s="50"/>
      <c r="AN48" s="61"/>
      <c r="AO48" s="50"/>
      <c r="AP48" s="56"/>
      <c r="AQ48" s="61"/>
      <c r="AR48" s="61"/>
      <c r="AS48" s="61"/>
      <c r="AT48" s="61"/>
      <c r="AU48" s="61"/>
      <c r="AV48" s="61"/>
    </row>
    <row r="49">
      <c r="A49" s="2" t="s">
        <v>8</v>
      </c>
      <c r="B49" s="59"/>
      <c r="C49" s="59"/>
      <c r="D49" s="59"/>
      <c r="E49" s="60" t="s">
        <v>23</v>
      </c>
      <c r="F49" s="60" t="s">
        <v>23</v>
      </c>
      <c r="G49" s="59"/>
      <c r="H49" s="60" t="s">
        <v>23</v>
      </c>
      <c r="I49" s="57">
        <v>7.0</v>
      </c>
      <c r="J49" s="59"/>
      <c r="K49" s="59"/>
      <c r="L49" s="59"/>
      <c r="M49" s="58" t="s">
        <v>71</v>
      </c>
      <c r="N49" s="59"/>
      <c r="O49" s="59"/>
      <c r="P49" s="59"/>
      <c r="Q49" s="59"/>
      <c r="S49" s="1" t="s">
        <v>8</v>
      </c>
      <c r="T49" s="5">
        <v>0.0205</v>
      </c>
      <c r="Z49" s="16" t="s">
        <v>39</v>
      </c>
      <c r="AA49" s="17" t="s">
        <v>25</v>
      </c>
      <c r="AB49" s="40" t="s">
        <v>81</v>
      </c>
      <c r="AC49" s="62">
        <f>(T52+T55+T56+T57) * 0.5</f>
        <v>0.3375</v>
      </c>
      <c r="AG49" s="50"/>
      <c r="AH49" s="50"/>
      <c r="AI49" s="50"/>
      <c r="AJ49" s="61"/>
      <c r="AK49" s="50"/>
      <c r="AL49" s="50"/>
      <c r="AM49" s="50"/>
      <c r="AN49" s="61"/>
      <c r="AO49" s="50"/>
      <c r="AP49" s="56"/>
      <c r="AQ49" s="61"/>
      <c r="AR49" s="61"/>
      <c r="AS49" s="61"/>
      <c r="AT49" s="61"/>
      <c r="AU49" s="61"/>
      <c r="AV49" s="61"/>
    </row>
    <row r="50">
      <c r="A50" s="2" t="s">
        <v>9</v>
      </c>
      <c r="B50" s="59"/>
      <c r="C50" s="59"/>
      <c r="D50" s="59"/>
      <c r="E50" s="59"/>
      <c r="F50" s="59"/>
      <c r="G50" s="60" t="s">
        <v>23</v>
      </c>
      <c r="H50" s="59"/>
      <c r="I50" s="59"/>
      <c r="J50" s="57">
        <v>8.0</v>
      </c>
      <c r="K50" s="60" t="s">
        <v>23</v>
      </c>
      <c r="L50" s="58" t="s">
        <v>71</v>
      </c>
      <c r="M50" s="59"/>
      <c r="N50" s="58" t="s">
        <v>72</v>
      </c>
      <c r="O50" s="59"/>
      <c r="P50" s="59"/>
      <c r="Q50" s="59"/>
      <c r="S50" s="1" t="s">
        <v>9</v>
      </c>
      <c r="T50" s="5">
        <v>0.0396</v>
      </c>
      <c r="Z50" s="23"/>
      <c r="AA50" s="17" t="s">
        <v>28</v>
      </c>
      <c r="AB50" s="40" t="s">
        <v>82</v>
      </c>
      <c r="AC50" s="62">
        <f>(T43+T45+T48+T49+T53+T54+T55+T56)*0.4</f>
        <v>0.27976</v>
      </c>
      <c r="AG50" s="50"/>
      <c r="AH50" s="50"/>
      <c r="AI50" s="50"/>
      <c r="AJ50" s="61"/>
      <c r="AK50" s="50"/>
      <c r="AL50" s="50"/>
      <c r="AM50" s="50"/>
      <c r="AN50" s="61"/>
      <c r="AO50" s="50"/>
      <c r="AP50" s="56"/>
      <c r="AQ50" s="61"/>
      <c r="AR50" s="61"/>
      <c r="AS50" s="61"/>
      <c r="AT50" s="61"/>
      <c r="AU50" s="61"/>
      <c r="AV50" s="61"/>
    </row>
    <row r="51">
      <c r="A51" s="2" t="s">
        <v>10</v>
      </c>
      <c r="B51" s="59"/>
      <c r="C51" s="59"/>
      <c r="D51" s="59"/>
      <c r="E51" s="59"/>
      <c r="F51" s="60" t="s">
        <v>23</v>
      </c>
      <c r="G51" s="59"/>
      <c r="H51" s="59"/>
      <c r="I51" s="59"/>
      <c r="J51" s="60" t="s">
        <v>23</v>
      </c>
      <c r="K51" s="57">
        <v>9.0</v>
      </c>
      <c r="L51" s="59"/>
      <c r="M51" s="58" t="s">
        <v>72</v>
      </c>
      <c r="N51" s="59"/>
      <c r="O51" s="59"/>
      <c r="P51" s="59"/>
      <c r="Q51" s="58" t="s">
        <v>71</v>
      </c>
      <c r="S51" s="1" t="s">
        <v>10</v>
      </c>
      <c r="T51" s="5">
        <v>0.0281</v>
      </c>
      <c r="Z51" s="23"/>
      <c r="AA51" s="17" t="s">
        <v>74</v>
      </c>
      <c r="AB51" s="40" t="s">
        <v>83</v>
      </c>
      <c r="AC51" s="62">
        <f>(T44+T45+T46+T49+T51+T53+T56+T57)*0.1</f>
        <v>0.03888</v>
      </c>
      <c r="AG51" s="50"/>
      <c r="AH51" s="50"/>
      <c r="AI51" s="50"/>
      <c r="AJ51" s="61"/>
      <c r="AK51" s="50"/>
      <c r="AL51" s="50"/>
      <c r="AM51" s="50"/>
      <c r="AN51" s="61"/>
      <c r="AO51" s="50"/>
      <c r="AP51" s="56"/>
      <c r="AQ51" s="61"/>
      <c r="AR51" s="61"/>
      <c r="AS51" s="61"/>
      <c r="AT51" s="61"/>
      <c r="AU51" s="61"/>
      <c r="AV51" s="61"/>
    </row>
    <row r="52">
      <c r="A52" s="2" t="s">
        <v>11</v>
      </c>
      <c r="B52" s="59"/>
      <c r="C52" s="59"/>
      <c r="D52" s="59"/>
      <c r="E52" s="59"/>
      <c r="F52" s="59"/>
      <c r="G52" s="59"/>
      <c r="H52" s="59"/>
      <c r="I52" s="59"/>
      <c r="J52" s="60" t="s">
        <v>23</v>
      </c>
      <c r="K52" s="59"/>
      <c r="L52" s="57">
        <v>10.0</v>
      </c>
      <c r="M52" s="59"/>
      <c r="N52" s="59"/>
      <c r="O52" s="58" t="s">
        <v>72</v>
      </c>
      <c r="P52" s="59"/>
      <c r="Q52" s="58" t="s">
        <v>73</v>
      </c>
      <c r="S52" s="1" t="s">
        <v>11</v>
      </c>
      <c r="T52" s="5">
        <v>0.1224</v>
      </c>
      <c r="Z52" s="28"/>
      <c r="AA52" s="17" t="s">
        <v>30</v>
      </c>
      <c r="AB52" s="29" t="s">
        <v>84</v>
      </c>
      <c r="AC52" s="62">
        <f>AC49+AC50+AC51</f>
        <v>0.65614</v>
      </c>
      <c r="AK52" s="11"/>
    </row>
    <row r="53">
      <c r="A53" s="2" t="s">
        <v>12</v>
      </c>
      <c r="B53" s="59"/>
      <c r="C53" s="59"/>
      <c r="D53" s="59"/>
      <c r="E53" s="59"/>
      <c r="F53" s="59"/>
      <c r="G53" s="59"/>
      <c r="H53" s="59"/>
      <c r="I53" s="60" t="s">
        <v>23</v>
      </c>
      <c r="J53" s="59"/>
      <c r="K53" s="60" t="s">
        <v>23</v>
      </c>
      <c r="L53" s="59"/>
      <c r="M53" s="57">
        <v>11.0</v>
      </c>
      <c r="N53" s="60" t="s">
        <v>23</v>
      </c>
      <c r="O53" s="59"/>
      <c r="P53" s="58" t="s">
        <v>71</v>
      </c>
      <c r="Q53" s="59"/>
      <c r="S53" s="1" t="s">
        <v>12</v>
      </c>
      <c r="T53" s="5">
        <v>0.0614</v>
      </c>
      <c r="Z53" s="16" t="s">
        <v>43</v>
      </c>
      <c r="AA53" s="17" t="s">
        <v>25</v>
      </c>
      <c r="AB53" s="18" t="s">
        <v>85</v>
      </c>
      <c r="AC53" s="62">
        <f>(T50+T51+T53+T54)*1 + (T52+T55+T56+T57)*2</f>
        <v>1.575</v>
      </c>
      <c r="AK53" s="11"/>
    </row>
    <row r="54">
      <c r="A54" s="2" t="s">
        <v>13</v>
      </c>
      <c r="B54" s="59"/>
      <c r="C54" s="59"/>
      <c r="D54" s="59"/>
      <c r="E54" s="59"/>
      <c r="F54" s="59"/>
      <c r="G54" s="59"/>
      <c r="H54" s="60" t="s">
        <v>23</v>
      </c>
      <c r="I54" s="59"/>
      <c r="J54" s="60" t="s">
        <v>23</v>
      </c>
      <c r="K54" s="59"/>
      <c r="L54" s="59"/>
      <c r="M54" s="58" t="s">
        <v>73</v>
      </c>
      <c r="N54" s="57">
        <v>12.0</v>
      </c>
      <c r="O54" s="58" t="s">
        <v>71</v>
      </c>
      <c r="P54" s="59"/>
      <c r="Q54" s="59"/>
      <c r="S54" s="1" t="s">
        <v>13</v>
      </c>
      <c r="T54" s="5">
        <v>0.0959</v>
      </c>
      <c r="Z54" s="23"/>
      <c r="AA54" s="17" t="s">
        <v>28</v>
      </c>
      <c r="AB54" s="18" t="s">
        <v>45</v>
      </c>
      <c r="AC54" s="29">
        <v>0.0</v>
      </c>
      <c r="AG54" s="54"/>
      <c r="AI54" s="54"/>
      <c r="AJ54" s="54"/>
      <c r="AK54" s="54"/>
      <c r="AL54" s="54"/>
      <c r="AM54" s="54"/>
      <c r="AN54" s="54"/>
      <c r="AO54" s="55"/>
      <c r="AP54" s="55"/>
      <c r="AQ54" s="55"/>
      <c r="AR54" s="55"/>
      <c r="AS54" s="55"/>
      <c r="AT54" s="55"/>
      <c r="AU54" s="55"/>
      <c r="AV54" s="55"/>
    </row>
    <row r="55">
      <c r="A55" s="2" t="s">
        <v>14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60" t="s">
        <v>23</v>
      </c>
      <c r="M55" s="59"/>
      <c r="N55" s="60" t="s">
        <v>23</v>
      </c>
      <c r="O55" s="57">
        <v>13.0</v>
      </c>
      <c r="P55" s="58" t="s">
        <v>73</v>
      </c>
      <c r="Q55" s="59"/>
      <c r="S55" s="1" t="s">
        <v>14</v>
      </c>
      <c r="T55" s="5">
        <v>0.2936</v>
      </c>
      <c r="Z55" s="23"/>
      <c r="AA55" s="17" t="s">
        <v>74</v>
      </c>
      <c r="AB55" s="18" t="s">
        <v>86</v>
      </c>
      <c r="AC55" s="29">
        <v>0.0</v>
      </c>
      <c r="AI55" s="50"/>
      <c r="AJ55" s="50"/>
      <c r="AK55" s="50"/>
      <c r="AL55" s="50"/>
      <c r="AM55" s="50"/>
      <c r="AN55" s="50"/>
      <c r="AO55" s="55"/>
      <c r="AP55" s="55"/>
      <c r="AQ55" s="55"/>
      <c r="AR55" s="55"/>
      <c r="AS55" s="55"/>
      <c r="AT55" s="55"/>
      <c r="AU55" s="55"/>
      <c r="AV55" s="55"/>
    </row>
    <row r="56">
      <c r="A56" s="3" t="s">
        <v>69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60" t="s">
        <v>23</v>
      </c>
      <c r="N56" s="59"/>
      <c r="O56" s="60" t="s">
        <v>23</v>
      </c>
      <c r="P56" s="57">
        <v>14.0</v>
      </c>
      <c r="Q56" s="60" t="s">
        <v>23</v>
      </c>
      <c r="S56" s="5" t="s">
        <v>69</v>
      </c>
      <c r="T56" s="5">
        <v>0.1818</v>
      </c>
      <c r="Z56" s="28"/>
      <c r="AA56" s="17" t="s">
        <v>30</v>
      </c>
      <c r="AB56" s="18" t="s">
        <v>87</v>
      </c>
      <c r="AC56" s="62">
        <f>AC53+AC54+AC55</f>
        <v>1.575</v>
      </c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</row>
    <row r="57">
      <c r="A57" s="3" t="s">
        <v>70</v>
      </c>
      <c r="B57" s="59"/>
      <c r="C57" s="59"/>
      <c r="D57" s="59"/>
      <c r="E57" s="59"/>
      <c r="F57" s="59"/>
      <c r="G57" s="59"/>
      <c r="H57" s="59"/>
      <c r="I57" s="59"/>
      <c r="J57" s="59"/>
      <c r="K57" s="60" t="s">
        <v>23</v>
      </c>
      <c r="L57" s="60" t="s">
        <v>23</v>
      </c>
      <c r="M57" s="59"/>
      <c r="N57" s="59"/>
      <c r="O57" s="59"/>
      <c r="P57" s="58" t="s">
        <v>72</v>
      </c>
      <c r="Q57" s="57">
        <v>15.0</v>
      </c>
      <c r="S57" s="5" t="s">
        <v>70</v>
      </c>
      <c r="T57" s="5">
        <v>0.0772</v>
      </c>
      <c r="Z57" s="16" t="s">
        <v>47</v>
      </c>
      <c r="AA57" s="17" t="s">
        <v>25</v>
      </c>
      <c r="AB57" s="29" t="s">
        <v>88</v>
      </c>
      <c r="AC57" s="62">
        <f>(T46+T48+T49)*1+(T50+T51+T53+T54)*2+(T52+T55+T56+T57)*3</f>
        <v>2.5345</v>
      </c>
      <c r="AR57" s="54"/>
      <c r="AS57" s="54"/>
      <c r="AT57" s="54"/>
      <c r="AU57" s="54"/>
      <c r="AV57" s="54"/>
    </row>
    <row r="58">
      <c r="T58" s="37">
        <f>SUM(T42:T57)</f>
        <v>1</v>
      </c>
      <c r="Z58" s="23"/>
      <c r="AA58" s="17" t="s">
        <v>28</v>
      </c>
      <c r="AB58" s="29" t="s">
        <v>89</v>
      </c>
      <c r="AC58" s="62">
        <f>T43+T45+T46+T49+T53+T54+T55+T56</f>
        <v>0.6802</v>
      </c>
      <c r="AG58" s="50"/>
      <c r="AH58" s="50"/>
      <c r="AI58" s="50"/>
      <c r="AJ58" s="61"/>
      <c r="AK58" s="50"/>
      <c r="AL58" s="50"/>
      <c r="AM58" s="50"/>
      <c r="AN58" s="61"/>
      <c r="AO58" s="50"/>
      <c r="AP58" s="50"/>
      <c r="AQ58" s="61"/>
      <c r="AR58" s="61"/>
      <c r="AS58" s="61"/>
      <c r="AT58" s="61"/>
      <c r="AU58" s="61"/>
      <c r="AV58" s="61"/>
    </row>
    <row r="59">
      <c r="Z59" s="23"/>
      <c r="AA59" s="17" t="s">
        <v>74</v>
      </c>
      <c r="AB59" s="29" t="s">
        <v>90</v>
      </c>
      <c r="AC59" s="62">
        <f>T44+T45+T47+T48+T49+T51+T53+T56+T57</f>
        <v>0.4235</v>
      </c>
      <c r="AG59" s="50"/>
      <c r="AH59" s="50"/>
      <c r="AI59" s="50"/>
      <c r="AJ59" s="61"/>
      <c r="AK59" s="50"/>
      <c r="AL59" s="50"/>
      <c r="AM59" s="50"/>
      <c r="AN59" s="61"/>
      <c r="AO59" s="50"/>
      <c r="AP59" s="56"/>
      <c r="AQ59" s="61"/>
      <c r="AR59" s="61"/>
      <c r="AS59" s="61"/>
      <c r="AT59" s="61"/>
      <c r="AU59" s="61"/>
      <c r="AV59" s="61"/>
    </row>
    <row r="60">
      <c r="Z60" s="28"/>
      <c r="AA60" s="17" t="s">
        <v>30</v>
      </c>
      <c r="AB60" s="29" t="s">
        <v>91</v>
      </c>
      <c r="AC60" s="62">
        <f>(T43+T44+T47)*1 +(T45+T46+T48+T50)*2 +(T49+T51+T52+T54)*3 +(T53+T55+T57)*4+(T56)*5</f>
        <v>3.6382</v>
      </c>
      <c r="AG60" s="50"/>
      <c r="AH60" s="50"/>
      <c r="AI60" s="50"/>
      <c r="AJ60" s="61"/>
      <c r="AK60" s="50"/>
      <c r="AL60" s="50"/>
      <c r="AM60" s="50"/>
      <c r="AN60" s="61"/>
      <c r="AO60" s="50"/>
      <c r="AP60" s="56"/>
      <c r="AQ60" s="61"/>
      <c r="AR60" s="61"/>
      <c r="AS60" s="61"/>
      <c r="AT60" s="61"/>
      <c r="AU60" s="61"/>
      <c r="AV60" s="61"/>
    </row>
    <row r="61">
      <c r="Z61" s="16" t="s">
        <v>51</v>
      </c>
      <c r="AA61" s="17" t="s">
        <v>25</v>
      </c>
      <c r="AB61" s="29" t="s">
        <v>52</v>
      </c>
      <c r="AC61" s="62">
        <f>(1-AC49)*0.6*0.5</f>
        <v>0.19875</v>
      </c>
      <c r="AG61" s="50"/>
      <c r="AH61" s="50"/>
      <c r="AI61" s="50"/>
      <c r="AJ61" s="61"/>
      <c r="AK61" s="50"/>
      <c r="AL61" s="50"/>
      <c r="AM61" s="50"/>
      <c r="AN61" s="61"/>
      <c r="AO61" s="50"/>
      <c r="AP61" s="56"/>
      <c r="AQ61" s="61"/>
      <c r="AR61" s="61"/>
      <c r="AS61" s="61"/>
      <c r="AT61" s="61"/>
      <c r="AU61" s="61"/>
      <c r="AV61" s="61"/>
    </row>
    <row r="62">
      <c r="Z62" s="23"/>
      <c r="AA62" s="17" t="s">
        <v>28</v>
      </c>
      <c r="AB62" s="29" t="s">
        <v>53</v>
      </c>
      <c r="AC62" s="62">
        <f>(1-AC50)*0.6*0.4</f>
        <v>0.1728576</v>
      </c>
      <c r="AG62" s="50"/>
      <c r="AH62" s="50"/>
      <c r="AI62" s="50"/>
      <c r="AJ62" s="61"/>
      <c r="AK62" s="50"/>
      <c r="AL62" s="50"/>
      <c r="AM62" s="50"/>
      <c r="AN62" s="61"/>
      <c r="AO62" s="50"/>
      <c r="AP62" s="56"/>
      <c r="AQ62" s="61"/>
      <c r="AR62" s="61"/>
      <c r="AS62" s="61"/>
      <c r="AT62" s="61"/>
      <c r="AU62" s="61"/>
      <c r="AV62" s="61"/>
    </row>
    <row r="63">
      <c r="Z63" s="23"/>
      <c r="AA63" s="17" t="s">
        <v>74</v>
      </c>
      <c r="AB63" s="29" t="s">
        <v>92</v>
      </c>
      <c r="AC63" s="62">
        <f>(1-AC51)*0.6*0.1</f>
        <v>0.0576672</v>
      </c>
      <c r="AG63" s="50"/>
      <c r="AH63" s="50"/>
      <c r="AI63" s="50"/>
      <c r="AJ63" s="61"/>
      <c r="AK63" s="50"/>
      <c r="AL63" s="50"/>
      <c r="AM63" s="50"/>
      <c r="AN63" s="61"/>
      <c r="AO63" s="50"/>
      <c r="AP63" s="56"/>
      <c r="AQ63" s="61"/>
      <c r="AR63" s="61"/>
      <c r="AS63" s="61"/>
      <c r="AT63" s="61"/>
      <c r="AU63" s="61"/>
      <c r="AV63" s="61"/>
    </row>
    <row r="64">
      <c r="Z64" s="28"/>
      <c r="AA64" s="17" t="s">
        <v>30</v>
      </c>
      <c r="AB64" s="29" t="s">
        <v>93</v>
      </c>
      <c r="AC64" s="62">
        <f>AC61+AC62+AC63</f>
        <v>0.4292748</v>
      </c>
      <c r="AK64" s="11"/>
    </row>
    <row r="65">
      <c r="Z65" s="16" t="s">
        <v>55</v>
      </c>
      <c r="AA65" s="17" t="s">
        <v>25</v>
      </c>
      <c r="AB65" s="29" t="s">
        <v>56</v>
      </c>
      <c r="AC65" s="62">
        <f t="shared" ref="AC65:AC68" si="11">1-AC45</f>
        <v>0.0504</v>
      </c>
      <c r="AK65" s="11"/>
    </row>
    <row r="66">
      <c r="Z66" s="23"/>
      <c r="AA66" s="17" t="s">
        <v>28</v>
      </c>
      <c r="AB66" s="29" t="s">
        <v>57</v>
      </c>
      <c r="AC66" s="62">
        <f t="shared" si="11"/>
        <v>0.3198</v>
      </c>
      <c r="AG66" s="54"/>
      <c r="AI66" s="54"/>
      <c r="AJ66" s="54"/>
      <c r="AK66" s="54"/>
      <c r="AL66" s="54"/>
      <c r="AM66" s="54"/>
      <c r="AN66" s="54"/>
      <c r="AO66" s="55"/>
      <c r="AP66" s="55"/>
      <c r="AQ66" s="55"/>
      <c r="AR66" s="55"/>
      <c r="AS66" s="55"/>
      <c r="AT66" s="55"/>
      <c r="AU66" s="55"/>
      <c r="AV66" s="55"/>
    </row>
    <row r="67">
      <c r="Z67" s="23"/>
      <c r="AA67" s="17" t="s">
        <v>74</v>
      </c>
      <c r="AB67" s="29" t="s">
        <v>94</v>
      </c>
      <c r="AC67" s="62">
        <f t="shared" si="11"/>
        <v>0.5765</v>
      </c>
      <c r="AI67" s="50"/>
      <c r="AJ67" s="50"/>
      <c r="AK67" s="50"/>
      <c r="AL67" s="50"/>
      <c r="AM67" s="50"/>
      <c r="AN67" s="50"/>
      <c r="AO67" s="55"/>
      <c r="AP67" s="55"/>
      <c r="AQ67" s="55"/>
      <c r="AR67" s="55"/>
      <c r="AS67" s="55"/>
      <c r="AT67" s="55"/>
      <c r="AU67" s="55"/>
      <c r="AV67" s="55"/>
    </row>
    <row r="68">
      <c r="Z68" s="28"/>
      <c r="AA68" s="17" t="s">
        <v>30</v>
      </c>
      <c r="AB68" s="29" t="s">
        <v>58</v>
      </c>
      <c r="AC68" s="62">
        <f t="shared" si="11"/>
        <v>0.0048</v>
      </c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</row>
    <row r="69">
      <c r="Z69" s="16" t="s">
        <v>59</v>
      </c>
      <c r="AA69" s="17" t="s">
        <v>25</v>
      </c>
      <c r="AB69" s="18" t="s">
        <v>60</v>
      </c>
      <c r="AC69" s="62">
        <f t="shared" ref="AC69:AC72" si="12">AC53/AC61</f>
        <v>7.924528302</v>
      </c>
      <c r="AR69" s="54"/>
      <c r="AS69" s="54"/>
      <c r="AT69" s="54"/>
      <c r="AU69" s="54"/>
      <c r="AV69" s="54"/>
    </row>
    <row r="70">
      <c r="Z70" s="23"/>
      <c r="AA70" s="17" t="s">
        <v>28</v>
      </c>
      <c r="AB70" s="18" t="s">
        <v>61</v>
      </c>
      <c r="AC70" s="62">
        <f t="shared" si="12"/>
        <v>0</v>
      </c>
      <c r="AG70" s="50"/>
      <c r="AH70" s="50"/>
      <c r="AI70" s="50"/>
      <c r="AJ70" s="61"/>
      <c r="AK70" s="50"/>
      <c r="AL70" s="50"/>
      <c r="AM70" s="50"/>
      <c r="AN70" s="61"/>
      <c r="AO70" s="50"/>
      <c r="AP70" s="50"/>
      <c r="AQ70" s="61"/>
      <c r="AR70" s="61"/>
      <c r="AS70" s="61"/>
      <c r="AT70" s="61"/>
      <c r="AU70" s="61"/>
      <c r="AV70" s="61"/>
    </row>
    <row r="71">
      <c r="Z71" s="23"/>
      <c r="AA71" s="17" t="s">
        <v>74</v>
      </c>
      <c r="AB71" s="18" t="s">
        <v>95</v>
      </c>
      <c r="AC71" s="62">
        <f t="shared" si="12"/>
        <v>0</v>
      </c>
      <c r="AG71" s="50"/>
      <c r="AH71" s="50"/>
      <c r="AI71" s="50"/>
      <c r="AJ71" s="61"/>
      <c r="AK71" s="50"/>
      <c r="AL71" s="50"/>
      <c r="AM71" s="50"/>
      <c r="AN71" s="61"/>
      <c r="AO71" s="50"/>
      <c r="AP71" s="56"/>
      <c r="AQ71" s="61"/>
      <c r="AR71" s="61"/>
      <c r="AS71" s="61"/>
      <c r="AT71" s="61"/>
      <c r="AU71" s="61"/>
      <c r="AV71" s="61"/>
    </row>
    <row r="72">
      <c r="Z72" s="28"/>
      <c r="AA72" s="17" t="s">
        <v>30</v>
      </c>
      <c r="AB72" s="18" t="s">
        <v>62</v>
      </c>
      <c r="AC72" s="62">
        <f t="shared" si="12"/>
        <v>3.668978473</v>
      </c>
      <c r="AG72" s="50"/>
      <c r="AH72" s="50"/>
      <c r="AI72" s="50"/>
      <c r="AJ72" s="61"/>
      <c r="AK72" s="50"/>
      <c r="AL72" s="50"/>
      <c r="AM72" s="50"/>
      <c r="AN72" s="61"/>
      <c r="AO72" s="50"/>
      <c r="AP72" s="56"/>
      <c r="AQ72" s="61"/>
      <c r="AR72" s="61"/>
      <c r="AS72" s="61"/>
      <c r="AT72" s="61"/>
      <c r="AU72" s="61"/>
      <c r="AV72" s="61"/>
    </row>
    <row r="73">
      <c r="Z73" s="16" t="s">
        <v>63</v>
      </c>
      <c r="AA73" s="17" t="s">
        <v>25</v>
      </c>
      <c r="AB73" s="18" t="s">
        <v>64</v>
      </c>
      <c r="AC73" s="62">
        <f t="shared" ref="AC73:AC76" si="13">AC69+10</f>
        <v>17.9245283</v>
      </c>
      <c r="AG73" s="50"/>
      <c r="AH73" s="50"/>
      <c r="AI73" s="50"/>
      <c r="AJ73" s="61"/>
      <c r="AK73" s="50"/>
      <c r="AL73" s="50"/>
      <c r="AM73" s="50"/>
      <c r="AN73" s="61"/>
      <c r="AO73" s="50"/>
      <c r="AP73" s="56"/>
      <c r="AQ73" s="61"/>
      <c r="AR73" s="61"/>
      <c r="AS73" s="61"/>
      <c r="AT73" s="61"/>
      <c r="AU73" s="61"/>
      <c r="AV73" s="61"/>
    </row>
    <row r="74">
      <c r="Z74" s="23"/>
      <c r="AA74" s="17" t="s">
        <v>28</v>
      </c>
      <c r="AB74" s="18" t="s">
        <v>65</v>
      </c>
      <c r="AC74" s="62">
        <f t="shared" si="13"/>
        <v>10</v>
      </c>
      <c r="AG74" s="50"/>
      <c r="AH74" s="50"/>
      <c r="AI74" s="50"/>
      <c r="AJ74" s="61"/>
      <c r="AK74" s="50"/>
      <c r="AL74" s="50"/>
      <c r="AM74" s="50"/>
      <c r="AN74" s="61"/>
      <c r="AO74" s="50"/>
      <c r="AP74" s="56"/>
      <c r="AQ74" s="61"/>
      <c r="AR74" s="61"/>
      <c r="AS74" s="61"/>
      <c r="AT74" s="61"/>
      <c r="AU74" s="61"/>
      <c r="AV74" s="61"/>
    </row>
    <row r="75">
      <c r="Z75" s="23"/>
      <c r="AA75" s="17" t="s">
        <v>74</v>
      </c>
      <c r="AB75" s="63" t="s">
        <v>96</v>
      </c>
      <c r="AC75" s="62">
        <f t="shared" si="13"/>
        <v>10</v>
      </c>
      <c r="AG75" s="50"/>
      <c r="AH75" s="50"/>
      <c r="AI75" s="50"/>
      <c r="AJ75" s="61"/>
      <c r="AK75" s="50"/>
      <c r="AL75" s="50"/>
      <c r="AM75" s="50"/>
      <c r="AN75" s="61"/>
      <c r="AO75" s="50"/>
      <c r="AP75" s="56"/>
      <c r="AQ75" s="61"/>
      <c r="AR75" s="61"/>
      <c r="AS75" s="61"/>
      <c r="AT75" s="61"/>
      <c r="AU75" s="61"/>
      <c r="AV75" s="61"/>
    </row>
    <row r="76">
      <c r="Z76" s="28"/>
      <c r="AA76" s="17" t="s">
        <v>30</v>
      </c>
      <c r="AB76" s="18" t="s">
        <v>66</v>
      </c>
      <c r="AC76" s="62">
        <f t="shared" si="13"/>
        <v>13.66897847</v>
      </c>
      <c r="AK76" s="11"/>
    </row>
    <row r="77">
      <c r="AK77" s="11"/>
    </row>
    <row r="78">
      <c r="AK78" s="11"/>
    </row>
    <row r="79">
      <c r="AK79" s="11"/>
    </row>
    <row r="80">
      <c r="AK80" s="11"/>
    </row>
    <row r="81">
      <c r="Z81" s="7" t="s">
        <v>19</v>
      </c>
      <c r="AA81" s="7" t="s">
        <v>22</v>
      </c>
      <c r="AB81" s="7" t="s">
        <v>67</v>
      </c>
      <c r="AC81" s="7" t="s">
        <v>97</v>
      </c>
      <c r="AK81" s="11"/>
    </row>
    <row r="82">
      <c r="Z82" s="64" t="s">
        <v>24</v>
      </c>
      <c r="AA82" s="29">
        <v>6.0</v>
      </c>
      <c r="AB82" s="29">
        <v>6.0</v>
      </c>
      <c r="AC82" s="65">
        <f t="shared" ref="AC82:AC90" si="14">(AB82/AA82)*100 -100</f>
        <v>0</v>
      </c>
      <c r="AK82" s="11"/>
    </row>
    <row r="83">
      <c r="Z83" s="64" t="s">
        <v>35</v>
      </c>
      <c r="AA83" s="29">
        <v>0.9974</v>
      </c>
      <c r="AB83" s="29">
        <v>0.9952</v>
      </c>
      <c r="AC83" s="65">
        <f t="shared" si="14"/>
        <v>-0.2205734911</v>
      </c>
      <c r="AK83" s="11"/>
    </row>
    <row r="84">
      <c r="Z84" s="64" t="s">
        <v>39</v>
      </c>
      <c r="AA84" s="29">
        <v>0.71005</v>
      </c>
      <c r="AB84" s="29">
        <v>0.65614</v>
      </c>
      <c r="AC84" s="65">
        <f t="shared" si="14"/>
        <v>-7.592423069</v>
      </c>
      <c r="AK84" s="11"/>
    </row>
    <row r="85">
      <c r="Z85" s="64" t="s">
        <v>43</v>
      </c>
      <c r="AA85" s="29">
        <v>0.8024</v>
      </c>
      <c r="AB85" s="29">
        <v>1.575</v>
      </c>
      <c r="AC85" s="65">
        <f t="shared" si="14"/>
        <v>96.28614158</v>
      </c>
      <c r="AK85" s="11"/>
    </row>
    <row r="86">
      <c r="Z86" s="64" t="s">
        <v>47</v>
      </c>
      <c r="AA86" s="29">
        <v>3.3444</v>
      </c>
      <c r="AB86" s="29">
        <v>3.6382</v>
      </c>
      <c r="AC86" s="65">
        <f t="shared" si="14"/>
        <v>8.78483435</v>
      </c>
      <c r="AK86" s="11"/>
    </row>
    <row r="87">
      <c r="Z87" s="64" t="s">
        <v>51</v>
      </c>
      <c r="AA87" s="29">
        <v>0.386985</v>
      </c>
      <c r="AB87" s="29">
        <v>0.4292748</v>
      </c>
      <c r="AC87" s="65">
        <f t="shared" si="14"/>
        <v>10.92802047</v>
      </c>
      <c r="AK87" s="11"/>
    </row>
    <row r="88">
      <c r="Z88" s="64" t="s">
        <v>55</v>
      </c>
      <c r="AA88" s="29">
        <v>0.0026</v>
      </c>
      <c r="AB88" s="29">
        <v>0.0048</v>
      </c>
      <c r="AC88" s="65">
        <f t="shared" si="14"/>
        <v>84.61538462</v>
      </c>
      <c r="AK88" s="11"/>
    </row>
    <row r="89">
      <c r="Z89" s="64" t="s">
        <v>59</v>
      </c>
      <c r="AA89" s="29">
        <v>2.07346538</v>
      </c>
      <c r="AB89" s="29">
        <v>3.668978473</v>
      </c>
      <c r="AC89" s="65">
        <f t="shared" si="14"/>
        <v>76.94910696</v>
      </c>
      <c r="AK89" s="11"/>
    </row>
    <row r="90">
      <c r="Z90" s="64" t="s">
        <v>63</v>
      </c>
      <c r="AA90" s="29">
        <v>12.0735</v>
      </c>
      <c r="AB90" s="29">
        <v>13.66897847</v>
      </c>
      <c r="AC90" s="65">
        <f t="shared" si="14"/>
        <v>13.21471379</v>
      </c>
      <c r="AK90" s="11"/>
    </row>
    <row r="91">
      <c r="AK91" s="11"/>
    </row>
    <row r="92">
      <c r="A92" s="6" t="s">
        <v>98</v>
      </c>
      <c r="AK92" s="11"/>
    </row>
    <row r="93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8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9"/>
    </row>
    <row r="94">
      <c r="A94" s="70"/>
      <c r="E94" s="6" t="s">
        <v>99</v>
      </c>
      <c r="F94" s="6" t="s">
        <v>100</v>
      </c>
      <c r="G94" s="6" t="s">
        <v>99</v>
      </c>
      <c r="I94" s="6" t="s">
        <v>101</v>
      </c>
      <c r="AK94" s="11"/>
      <c r="AV94" s="71"/>
    </row>
    <row r="95">
      <c r="A95" s="70"/>
      <c r="B95" s="6" t="s">
        <v>102</v>
      </c>
      <c r="E95" s="6" t="s">
        <v>103</v>
      </c>
      <c r="F95" s="6" t="s">
        <v>104</v>
      </c>
      <c r="G95" s="6" t="s">
        <v>105</v>
      </c>
      <c r="I95" s="6" t="s">
        <v>106</v>
      </c>
      <c r="AV95" s="71"/>
    </row>
    <row r="96">
      <c r="A96" s="72" t="s">
        <v>107</v>
      </c>
      <c r="B96" s="73"/>
      <c r="C96" s="74" t="s">
        <v>108</v>
      </c>
      <c r="D96" s="74" t="s">
        <v>109</v>
      </c>
      <c r="E96" s="74" t="s">
        <v>110</v>
      </c>
      <c r="F96" s="74" t="s">
        <v>111</v>
      </c>
      <c r="G96" s="74" t="s">
        <v>112</v>
      </c>
      <c r="H96" s="74" t="s">
        <v>113</v>
      </c>
      <c r="I96" s="75"/>
      <c r="J96" s="75"/>
      <c r="K96" s="75"/>
      <c r="N96" s="72" t="s">
        <v>114</v>
      </c>
      <c r="O96" s="73"/>
      <c r="P96" s="74" t="s">
        <v>108</v>
      </c>
      <c r="Q96" s="74" t="s">
        <v>109</v>
      </c>
      <c r="R96" s="74" t="s">
        <v>110</v>
      </c>
      <c r="S96" s="74" t="s">
        <v>111</v>
      </c>
      <c r="T96" s="74" t="s">
        <v>112</v>
      </c>
      <c r="U96" s="74" t="s">
        <v>113</v>
      </c>
      <c r="V96" s="75"/>
      <c r="W96" s="75"/>
      <c r="X96" s="75"/>
      <c r="AB96" s="76" t="s">
        <v>115</v>
      </c>
      <c r="AC96" s="76" t="s">
        <v>116</v>
      </c>
      <c r="AD96" s="76" t="s">
        <v>117</v>
      </c>
      <c r="AE96" s="76" t="s">
        <v>35</v>
      </c>
      <c r="AV96" s="71"/>
    </row>
    <row r="97">
      <c r="A97" s="77"/>
      <c r="B97" s="78"/>
      <c r="C97" s="79">
        <v>2.0</v>
      </c>
      <c r="D97" s="79" t="s">
        <v>118</v>
      </c>
      <c r="E97" s="79" t="s">
        <v>119</v>
      </c>
      <c r="F97" s="80">
        <v>169.57</v>
      </c>
      <c r="G97" s="79">
        <v>100.0</v>
      </c>
      <c r="H97" s="79" t="s">
        <v>120</v>
      </c>
      <c r="I97" s="81"/>
      <c r="J97" s="81"/>
      <c r="K97" s="81"/>
      <c r="N97" s="77"/>
      <c r="O97" s="78"/>
      <c r="P97" s="79">
        <v>2.0</v>
      </c>
      <c r="Q97" s="79" t="s">
        <v>118</v>
      </c>
      <c r="R97" s="79" t="s">
        <v>119</v>
      </c>
      <c r="S97" s="80">
        <v>169.57</v>
      </c>
      <c r="T97" s="79">
        <v>250.0</v>
      </c>
      <c r="U97" s="79" t="s">
        <v>120</v>
      </c>
      <c r="V97" s="81"/>
      <c r="W97" s="81"/>
      <c r="X97" s="81"/>
      <c r="AB97" s="82">
        <v>169.57</v>
      </c>
      <c r="AC97" s="79">
        <v>100.0</v>
      </c>
      <c r="AD97" s="5">
        <v>10000.0</v>
      </c>
      <c r="AE97" s="59">
        <f>100-77.14</f>
        <v>22.86</v>
      </c>
      <c r="AV97" s="71"/>
    </row>
    <row r="98">
      <c r="A98" s="83" t="s">
        <v>121</v>
      </c>
      <c r="B98" s="83" t="s">
        <v>122</v>
      </c>
      <c r="C98" s="83" t="s">
        <v>123</v>
      </c>
      <c r="D98" s="83" t="s">
        <v>124</v>
      </c>
      <c r="E98" s="83" t="s">
        <v>125</v>
      </c>
      <c r="F98" s="83" t="s">
        <v>35</v>
      </c>
      <c r="G98" s="83" t="s">
        <v>126</v>
      </c>
      <c r="H98" s="83" t="s">
        <v>127</v>
      </c>
      <c r="I98" s="83" t="s">
        <v>128</v>
      </c>
      <c r="J98" s="83" t="s">
        <v>129</v>
      </c>
      <c r="K98" s="83" t="s">
        <v>130</v>
      </c>
      <c r="N98" s="83" t="s">
        <v>121</v>
      </c>
      <c r="O98" s="83" t="s">
        <v>122</v>
      </c>
      <c r="P98" s="83" t="s">
        <v>123</v>
      </c>
      <c r="Q98" s="83" t="s">
        <v>124</v>
      </c>
      <c r="R98" s="83" t="s">
        <v>125</v>
      </c>
      <c r="S98" s="83" t="s">
        <v>35</v>
      </c>
      <c r="T98" s="83" t="s">
        <v>126</v>
      </c>
      <c r="U98" s="83" t="s">
        <v>127</v>
      </c>
      <c r="V98" s="83" t="s">
        <v>128</v>
      </c>
      <c r="W98" s="83" t="s">
        <v>129</v>
      </c>
      <c r="X98" s="83" t="s">
        <v>130</v>
      </c>
      <c r="AB98" s="82">
        <v>169.57</v>
      </c>
      <c r="AC98" s="79">
        <v>250.0</v>
      </c>
      <c r="AD98" s="84">
        <v>50000.0</v>
      </c>
      <c r="AE98" s="59">
        <f>100-24.1576</f>
        <v>75.8424</v>
      </c>
      <c r="AV98" s="71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AV99" s="71"/>
    </row>
    <row r="100">
      <c r="A100" s="85">
        <v>10.0</v>
      </c>
      <c r="B100" s="6">
        <v>0.0</v>
      </c>
      <c r="C100" s="86">
        <f t="shared" ref="C100:C114" si="15">B100/A100</f>
        <v>0</v>
      </c>
      <c r="D100" s="87">
        <v>0.0</v>
      </c>
      <c r="E100" s="6">
        <v>0.0</v>
      </c>
      <c r="F100" s="6">
        <f>0.719/2</f>
        <v>0.3595</v>
      </c>
      <c r="G100" s="6">
        <v>0.0</v>
      </c>
      <c r="H100" s="87">
        <v>0.0</v>
      </c>
      <c r="I100" s="6">
        <v>0.0</v>
      </c>
      <c r="J100" s="37">
        <f t="shared" ref="J100:J114" si="16">SQRT(I100*I100/A100)</f>
        <v>0</v>
      </c>
      <c r="K100" s="88">
        <v>0.0</v>
      </c>
      <c r="N100" s="89">
        <v>10.0</v>
      </c>
      <c r="O100" s="6">
        <v>2.0</v>
      </c>
      <c r="P100" s="86">
        <f t="shared" ref="P100:P114" si="17">O100/N100</f>
        <v>0.2</v>
      </c>
      <c r="Q100" s="6">
        <v>0.0</v>
      </c>
      <c r="R100" s="6">
        <v>0.289</v>
      </c>
      <c r="S100" s="37">
        <f>1.74/4</f>
        <v>0.435</v>
      </c>
      <c r="T100" s="6">
        <v>108.05</v>
      </c>
      <c r="U100" s="6">
        <v>0.0</v>
      </c>
      <c r="V100" s="6">
        <v>135.883</v>
      </c>
      <c r="W100" s="6">
        <v>0.0</v>
      </c>
      <c r="X100" s="88">
        <v>0.0</v>
      </c>
      <c r="AB100" s="80"/>
      <c r="AV100" s="71"/>
    </row>
    <row r="101">
      <c r="A101" s="85">
        <v>21.0</v>
      </c>
      <c r="B101" s="6">
        <v>1.0</v>
      </c>
      <c r="C101" s="86">
        <f t="shared" si="15"/>
        <v>0.04761904762</v>
      </c>
      <c r="D101" s="87">
        <v>0.0</v>
      </c>
      <c r="E101" s="6">
        <v>0.116</v>
      </c>
      <c r="F101" s="37">
        <f>100-71.57</f>
        <v>28.43</v>
      </c>
      <c r="G101" s="6">
        <v>22.646</v>
      </c>
      <c r="H101" s="87">
        <v>0.0</v>
      </c>
      <c r="I101" s="6">
        <v>36.939</v>
      </c>
      <c r="J101" s="90">
        <f t="shared" si="16"/>
        <v>8.060750647</v>
      </c>
      <c r="K101" s="91">
        <f t="shared" ref="K101:K114" si="18">J101/G101</f>
        <v>0.355945891</v>
      </c>
      <c r="N101" s="92">
        <v>21.0</v>
      </c>
      <c r="O101" s="6">
        <v>6.0</v>
      </c>
      <c r="P101" s="86">
        <f t="shared" si="17"/>
        <v>0.2857142857</v>
      </c>
      <c r="Q101" s="6">
        <v>0.0</v>
      </c>
      <c r="R101" s="6">
        <v>1.224</v>
      </c>
      <c r="S101" s="37">
        <f>100-21.45</f>
        <v>78.55</v>
      </c>
      <c r="T101" s="6">
        <v>298.245</v>
      </c>
      <c r="U101" s="6">
        <v>0.0</v>
      </c>
      <c r="V101" s="6">
        <v>264.971</v>
      </c>
      <c r="W101" s="90">
        <f t="shared" ref="W101:W114" si="19">SQRT(V101*V101/N101)</f>
        <v>57.82141259</v>
      </c>
      <c r="X101" s="91">
        <f t="shared" ref="X101:X114" si="20">W101/T101</f>
        <v>0.1938721943</v>
      </c>
      <c r="AV101" s="71"/>
    </row>
    <row r="102">
      <c r="A102" s="85">
        <v>50.0</v>
      </c>
      <c r="B102" s="6">
        <v>2.0</v>
      </c>
      <c r="C102" s="86">
        <f t="shared" si="15"/>
        <v>0.04</v>
      </c>
      <c r="D102" s="93">
        <f t="shared" ref="D102:D114" si="21">C102/C101-1</f>
        <v>-0.16</v>
      </c>
      <c r="E102" s="6">
        <v>0.067</v>
      </c>
      <c r="F102" s="37">
        <f>100-71.75</f>
        <v>28.25</v>
      </c>
      <c r="G102" s="6">
        <v>30.589</v>
      </c>
      <c r="H102" s="93">
        <f t="shared" ref="H102:H114" si="22">G102/G101-1</f>
        <v>0.3507462687</v>
      </c>
      <c r="I102" s="6">
        <v>24.735</v>
      </c>
      <c r="J102" s="90">
        <f t="shared" si="16"/>
        <v>3.498057247</v>
      </c>
      <c r="K102" s="91">
        <f t="shared" si="18"/>
        <v>0.1143567049</v>
      </c>
      <c r="N102" s="92">
        <v>50.0</v>
      </c>
      <c r="O102" s="6">
        <v>13.0</v>
      </c>
      <c r="P102" s="86">
        <f t="shared" si="17"/>
        <v>0.26</v>
      </c>
      <c r="Q102" s="93">
        <f t="shared" ref="Q102:Q114" si="23">P102/P101-1</f>
        <v>-0.09</v>
      </c>
      <c r="R102" s="6">
        <v>1.003</v>
      </c>
      <c r="S102" s="37">
        <f>100-22.7</f>
        <v>77.3</v>
      </c>
      <c r="T102" s="6">
        <v>283.35</v>
      </c>
      <c r="U102" s="93">
        <f t="shared" ref="U102:U114" si="24">T102/T101-1</f>
        <v>-0.04994216165</v>
      </c>
      <c r="V102" s="6">
        <v>244.849</v>
      </c>
      <c r="W102" s="90">
        <f t="shared" si="19"/>
        <v>34.62687765</v>
      </c>
      <c r="X102" s="91">
        <f t="shared" si="20"/>
        <v>0.1222053208</v>
      </c>
      <c r="AV102" s="71"/>
    </row>
    <row r="103">
      <c r="A103" s="85">
        <v>100.0</v>
      </c>
      <c r="B103" s="6">
        <v>6.0</v>
      </c>
      <c r="C103" s="86">
        <f t="shared" si="15"/>
        <v>0.06</v>
      </c>
      <c r="D103" s="93">
        <f t="shared" si="21"/>
        <v>0.5</v>
      </c>
      <c r="E103" s="6">
        <v>0.021</v>
      </c>
      <c r="F103" s="37">
        <f>100-74.89</f>
        <v>25.11</v>
      </c>
      <c r="G103" s="6">
        <v>22.627</v>
      </c>
      <c r="H103" s="93">
        <f t="shared" si="22"/>
        <v>-0.2602896466</v>
      </c>
      <c r="I103" s="6">
        <v>25.624</v>
      </c>
      <c r="J103" s="90">
        <f t="shared" si="16"/>
        <v>2.5624</v>
      </c>
      <c r="K103" s="91">
        <f t="shared" si="18"/>
        <v>0.113245238</v>
      </c>
      <c r="N103" s="92">
        <v>100.0</v>
      </c>
      <c r="O103" s="6">
        <v>19.0</v>
      </c>
      <c r="P103" s="86">
        <f t="shared" si="17"/>
        <v>0.19</v>
      </c>
      <c r="Q103" s="93">
        <f t="shared" si="23"/>
        <v>-0.2692307692</v>
      </c>
      <c r="R103" s="6">
        <v>0.535</v>
      </c>
      <c r="S103" s="37">
        <f>100-21.86</f>
        <v>78.14</v>
      </c>
      <c r="T103" s="6">
        <v>179.706</v>
      </c>
      <c r="U103" s="93">
        <f t="shared" si="24"/>
        <v>-0.3657808364</v>
      </c>
      <c r="V103" s="6">
        <v>185.604</v>
      </c>
      <c r="W103" s="90">
        <f t="shared" si="19"/>
        <v>18.5604</v>
      </c>
      <c r="X103" s="91">
        <f t="shared" si="20"/>
        <v>0.1032820273</v>
      </c>
      <c r="AV103" s="71"/>
    </row>
    <row r="104">
      <c r="A104" s="85">
        <v>200.0</v>
      </c>
      <c r="B104" s="6">
        <v>23.0</v>
      </c>
      <c r="C104" s="86">
        <f t="shared" si="15"/>
        <v>0.115</v>
      </c>
      <c r="D104" s="93">
        <f t="shared" si="21"/>
        <v>0.9166666667</v>
      </c>
      <c r="E104" s="6">
        <v>0.074</v>
      </c>
      <c r="F104" s="37">
        <f>100-72.34</f>
        <v>27.66</v>
      </c>
      <c r="G104" s="6">
        <v>24.035</v>
      </c>
      <c r="H104" s="93">
        <f t="shared" si="22"/>
        <v>0.06222654351</v>
      </c>
      <c r="I104" s="6">
        <v>51.33</v>
      </c>
      <c r="J104" s="90">
        <f t="shared" si="16"/>
        <v>3.629579108</v>
      </c>
      <c r="K104" s="91">
        <f t="shared" si="18"/>
        <v>0.1510122366</v>
      </c>
      <c r="N104" s="92">
        <v>200.0</v>
      </c>
      <c r="O104" s="6">
        <v>48.0</v>
      </c>
      <c r="P104" s="86">
        <f t="shared" si="17"/>
        <v>0.24</v>
      </c>
      <c r="Q104" s="93">
        <f t="shared" si="23"/>
        <v>0.2631578947</v>
      </c>
      <c r="R104" s="6">
        <v>0.405</v>
      </c>
      <c r="S104" s="37">
        <f>100-28.51</f>
        <v>71.49</v>
      </c>
      <c r="T104" s="6">
        <v>138.372</v>
      </c>
      <c r="U104" s="93">
        <f t="shared" si="24"/>
        <v>-0.2300090147</v>
      </c>
      <c r="V104" s="6">
        <v>183.1</v>
      </c>
      <c r="W104" s="90">
        <f t="shared" si="19"/>
        <v>12.94712516</v>
      </c>
      <c r="X104" s="91">
        <f t="shared" si="20"/>
        <v>0.09356752207</v>
      </c>
      <c r="AV104" s="71"/>
    </row>
    <row r="105">
      <c r="A105" s="85">
        <v>300.0</v>
      </c>
      <c r="B105" s="6">
        <v>14.0</v>
      </c>
      <c r="C105" s="86">
        <f t="shared" si="15"/>
        <v>0.04666666667</v>
      </c>
      <c r="D105" s="93">
        <f t="shared" si="21"/>
        <v>-0.5942028986</v>
      </c>
      <c r="E105" s="6">
        <v>0.058</v>
      </c>
      <c r="F105" s="37">
        <f>100-71.76</f>
        <v>28.24</v>
      </c>
      <c r="G105" s="6">
        <v>18.152</v>
      </c>
      <c r="H105" s="93">
        <f t="shared" si="22"/>
        <v>-0.2447680466</v>
      </c>
      <c r="I105" s="6">
        <v>48.33</v>
      </c>
      <c r="J105" s="90">
        <f t="shared" si="16"/>
        <v>2.790333851</v>
      </c>
      <c r="K105" s="91">
        <f t="shared" si="18"/>
        <v>0.1537204634</v>
      </c>
      <c r="N105" s="92">
        <v>300.0</v>
      </c>
      <c r="O105" s="6">
        <v>60.0</v>
      </c>
      <c r="P105" s="86">
        <f t="shared" si="17"/>
        <v>0.2</v>
      </c>
      <c r="Q105" s="93">
        <f t="shared" si="23"/>
        <v>-0.1666666667</v>
      </c>
      <c r="R105" s="6">
        <v>0.438</v>
      </c>
      <c r="S105" s="37">
        <f>100-24.72</f>
        <v>75.28</v>
      </c>
      <c r="T105" s="6">
        <v>152.596</v>
      </c>
      <c r="U105" s="93">
        <f t="shared" si="24"/>
        <v>0.1027953632</v>
      </c>
      <c r="V105" s="6">
        <v>197.393</v>
      </c>
      <c r="W105" s="90">
        <f t="shared" si="19"/>
        <v>11.39649017</v>
      </c>
      <c r="X105" s="91">
        <f t="shared" si="20"/>
        <v>0.07468406884</v>
      </c>
      <c r="AV105" s="71"/>
    </row>
    <row r="106">
      <c r="A106" s="85">
        <v>600.0</v>
      </c>
      <c r="B106" s="6">
        <v>55.0</v>
      </c>
      <c r="C106" s="86">
        <f t="shared" si="15"/>
        <v>0.09166666667</v>
      </c>
      <c r="D106" s="93">
        <f t="shared" si="21"/>
        <v>0.9642857143</v>
      </c>
      <c r="E106" s="6">
        <v>0.043</v>
      </c>
      <c r="F106" s="37">
        <f>100-71.24</f>
        <v>28.76</v>
      </c>
      <c r="G106" s="6">
        <v>14.586</v>
      </c>
      <c r="H106" s="93">
        <f t="shared" si="22"/>
        <v>-0.1964521816</v>
      </c>
      <c r="I106" s="6">
        <v>42.24</v>
      </c>
      <c r="J106" s="90">
        <f t="shared" si="16"/>
        <v>1.724440779</v>
      </c>
      <c r="K106" s="91">
        <f t="shared" si="18"/>
        <v>0.1182257493</v>
      </c>
      <c r="N106" s="92">
        <v>600.0</v>
      </c>
      <c r="O106" s="6">
        <v>146.0</v>
      </c>
      <c r="P106" s="86">
        <f t="shared" si="17"/>
        <v>0.2433333333</v>
      </c>
      <c r="Q106" s="93">
        <f t="shared" si="23"/>
        <v>0.2166666667</v>
      </c>
      <c r="R106" s="6">
        <v>0.517</v>
      </c>
      <c r="S106" s="37">
        <f>100-27.09</f>
        <v>72.91</v>
      </c>
      <c r="T106" s="6">
        <v>191.82</v>
      </c>
      <c r="U106" s="93">
        <f t="shared" si="24"/>
        <v>0.2570447456</v>
      </c>
      <c r="V106" s="6">
        <v>223.578</v>
      </c>
      <c r="W106" s="90">
        <f t="shared" si="19"/>
        <v>9.127533629</v>
      </c>
      <c r="X106" s="91">
        <f t="shared" si="20"/>
        <v>0.04758384751</v>
      </c>
      <c r="AV106" s="71"/>
    </row>
    <row r="107">
      <c r="A107" s="85">
        <v>1000.0</v>
      </c>
      <c r="B107" s="6">
        <v>82.0</v>
      </c>
      <c r="C107" s="86">
        <f t="shared" si="15"/>
        <v>0.082</v>
      </c>
      <c r="D107" s="93">
        <f t="shared" si="21"/>
        <v>-0.1054545455</v>
      </c>
      <c r="E107" s="6">
        <v>0.036</v>
      </c>
      <c r="F107" s="37">
        <f>100-73.34</f>
        <v>26.66</v>
      </c>
      <c r="G107" s="6">
        <v>13.136</v>
      </c>
      <c r="H107" s="93">
        <f t="shared" si="22"/>
        <v>-0.09941039353</v>
      </c>
      <c r="I107" s="6">
        <v>38.24</v>
      </c>
      <c r="J107" s="90">
        <f t="shared" si="16"/>
        <v>1.209254977</v>
      </c>
      <c r="K107" s="91">
        <f t="shared" si="18"/>
        <v>0.09205656039</v>
      </c>
      <c r="N107" s="92">
        <v>1000.0</v>
      </c>
      <c r="O107" s="6">
        <v>225.0</v>
      </c>
      <c r="P107" s="86">
        <f t="shared" si="17"/>
        <v>0.225</v>
      </c>
      <c r="Q107" s="93">
        <f t="shared" si="23"/>
        <v>-0.07534246575</v>
      </c>
      <c r="R107" s="6">
        <v>0.432</v>
      </c>
      <c r="S107" s="37">
        <f>100-23.96</f>
        <v>76.04</v>
      </c>
      <c r="T107" s="6">
        <v>168.327</v>
      </c>
      <c r="U107" s="93">
        <f t="shared" si="24"/>
        <v>-0.1224741946</v>
      </c>
      <c r="V107" s="6">
        <v>245.926</v>
      </c>
      <c r="W107" s="90">
        <f t="shared" si="19"/>
        <v>7.776862959</v>
      </c>
      <c r="X107" s="91">
        <f t="shared" si="20"/>
        <v>0.04620092414</v>
      </c>
      <c r="AV107" s="71"/>
    </row>
    <row r="108">
      <c r="A108" s="85">
        <v>1500.0</v>
      </c>
      <c r="B108" s="6">
        <v>128.0</v>
      </c>
      <c r="C108" s="86">
        <f t="shared" si="15"/>
        <v>0.08533333333</v>
      </c>
      <c r="D108" s="93">
        <f t="shared" si="21"/>
        <v>0.0406504065</v>
      </c>
      <c r="E108" s="6">
        <v>0.048</v>
      </c>
      <c r="F108" s="37">
        <f>100-72.16</f>
        <v>27.84</v>
      </c>
      <c r="G108" s="6">
        <v>15.9</v>
      </c>
      <c r="H108" s="93">
        <f t="shared" si="22"/>
        <v>0.2104141291</v>
      </c>
      <c r="I108" s="6">
        <v>44.185</v>
      </c>
      <c r="J108" s="90">
        <f t="shared" si="16"/>
        <v>1.140851794</v>
      </c>
      <c r="K108" s="91">
        <f t="shared" si="18"/>
        <v>0.07175168518</v>
      </c>
      <c r="N108" s="92">
        <v>1500.0</v>
      </c>
      <c r="O108" s="6">
        <v>319.0</v>
      </c>
      <c r="P108" s="86">
        <f t="shared" si="17"/>
        <v>0.2126666667</v>
      </c>
      <c r="Q108" s="93">
        <f t="shared" si="23"/>
        <v>-0.05481481481</v>
      </c>
      <c r="R108" s="6">
        <v>0.382</v>
      </c>
      <c r="S108" s="37">
        <f>100-26.86</f>
        <v>73.14</v>
      </c>
      <c r="T108" s="6">
        <v>144.78</v>
      </c>
      <c r="U108" s="93">
        <f t="shared" si="24"/>
        <v>-0.1398884314</v>
      </c>
      <c r="V108" s="6">
        <v>223.307</v>
      </c>
      <c r="W108" s="90">
        <f t="shared" si="19"/>
        <v>5.765761947</v>
      </c>
      <c r="X108" s="91">
        <f t="shared" si="20"/>
        <v>0.03982429857</v>
      </c>
      <c r="AV108" s="71"/>
    </row>
    <row r="109">
      <c r="A109" s="85">
        <v>2000.0</v>
      </c>
      <c r="B109" s="6">
        <v>152.0</v>
      </c>
      <c r="C109" s="86">
        <f t="shared" si="15"/>
        <v>0.076</v>
      </c>
      <c r="D109" s="93">
        <f t="shared" si="21"/>
        <v>-0.109375</v>
      </c>
      <c r="E109" s="6">
        <v>0.044</v>
      </c>
      <c r="F109" s="37">
        <f>100-70.34</f>
        <v>29.66</v>
      </c>
      <c r="G109" s="6">
        <v>15.216</v>
      </c>
      <c r="H109" s="93">
        <f t="shared" si="22"/>
        <v>-0.04301886792</v>
      </c>
      <c r="I109" s="6">
        <v>42.44</v>
      </c>
      <c r="J109" s="90">
        <f t="shared" si="16"/>
        <v>0.9489872497</v>
      </c>
      <c r="K109" s="91">
        <f t="shared" si="18"/>
        <v>0.06236772145</v>
      </c>
      <c r="N109" s="92">
        <v>2000.0</v>
      </c>
      <c r="O109" s="6">
        <v>486.0</v>
      </c>
      <c r="P109" s="86">
        <f t="shared" si="17"/>
        <v>0.243</v>
      </c>
      <c r="Q109" s="93">
        <f t="shared" si="23"/>
        <v>0.1426332288</v>
      </c>
      <c r="R109" s="6">
        <v>0.442</v>
      </c>
      <c r="S109" s="37">
        <f>100-23.85</f>
        <v>76.15</v>
      </c>
      <c r="T109" s="6">
        <v>167.728</v>
      </c>
      <c r="U109" s="93">
        <f t="shared" si="24"/>
        <v>0.1585025556</v>
      </c>
      <c r="V109" s="6">
        <v>227.178</v>
      </c>
      <c r="W109" s="90">
        <f t="shared" si="19"/>
        <v>5.07985451</v>
      </c>
      <c r="X109" s="91">
        <f t="shared" si="20"/>
        <v>0.03028626413</v>
      </c>
      <c r="AV109" s="71"/>
    </row>
    <row r="110">
      <c r="A110" s="85">
        <v>5000.0</v>
      </c>
      <c r="B110" s="6">
        <v>426.0</v>
      </c>
      <c r="C110" s="86">
        <f t="shared" si="15"/>
        <v>0.0852</v>
      </c>
      <c r="D110" s="93">
        <f t="shared" si="21"/>
        <v>0.1210526316</v>
      </c>
      <c r="E110" s="6">
        <v>0.056</v>
      </c>
      <c r="F110" s="37">
        <f>100-72.76</f>
        <v>27.24</v>
      </c>
      <c r="G110" s="6">
        <v>18.94</v>
      </c>
      <c r="H110" s="93">
        <f t="shared" si="22"/>
        <v>0.2447423764</v>
      </c>
      <c r="I110" s="6">
        <v>50.762</v>
      </c>
      <c r="J110" s="90">
        <f t="shared" si="16"/>
        <v>0.7178830885</v>
      </c>
      <c r="K110" s="91">
        <f t="shared" si="18"/>
        <v>0.03790301418</v>
      </c>
      <c r="N110" s="92">
        <v>5000.0</v>
      </c>
      <c r="O110" s="6">
        <v>1135.0</v>
      </c>
      <c r="P110" s="86">
        <f t="shared" si="17"/>
        <v>0.227</v>
      </c>
      <c r="Q110" s="93">
        <f t="shared" si="23"/>
        <v>-0.0658436214</v>
      </c>
      <c r="R110" s="6">
        <v>0.457</v>
      </c>
      <c r="S110" s="37">
        <f>100-23.15</f>
        <v>76.85</v>
      </c>
      <c r="T110" s="6">
        <v>172.814</v>
      </c>
      <c r="U110" s="93">
        <f t="shared" si="24"/>
        <v>0.03032290375</v>
      </c>
      <c r="V110" s="6">
        <v>239.12</v>
      </c>
      <c r="W110" s="90">
        <f t="shared" si="19"/>
        <v>3.38166747</v>
      </c>
      <c r="X110" s="91">
        <f t="shared" si="20"/>
        <v>0.01956824951</v>
      </c>
      <c r="AV110" s="71"/>
    </row>
    <row r="111">
      <c r="A111" s="85">
        <v>10000.0</v>
      </c>
      <c r="B111" s="6">
        <v>858.0</v>
      </c>
      <c r="C111" s="86">
        <f t="shared" si="15"/>
        <v>0.0858</v>
      </c>
      <c r="D111" s="93">
        <f t="shared" si="21"/>
        <v>0.007042253521</v>
      </c>
      <c r="E111" s="6">
        <v>0.047</v>
      </c>
      <c r="F111" s="37">
        <f>100-77.14</f>
        <v>22.86</v>
      </c>
      <c r="G111" s="6">
        <v>15.35</v>
      </c>
      <c r="H111" s="93">
        <f t="shared" si="22"/>
        <v>-0.1895459345</v>
      </c>
      <c r="I111" s="6">
        <v>48.48</v>
      </c>
      <c r="J111" s="90">
        <f t="shared" si="16"/>
        <v>0.4848</v>
      </c>
      <c r="K111" s="91">
        <f t="shared" si="18"/>
        <v>0.03158306189</v>
      </c>
      <c r="N111" s="92">
        <v>10000.0</v>
      </c>
      <c r="O111" s="6">
        <v>2412.0</v>
      </c>
      <c r="P111" s="86">
        <f t="shared" si="17"/>
        <v>0.2412</v>
      </c>
      <c r="Q111" s="93">
        <f t="shared" si="23"/>
        <v>0.06255506608</v>
      </c>
      <c r="R111" s="6">
        <v>0.442</v>
      </c>
      <c r="S111" s="37">
        <f>100-23.62</f>
        <v>76.38</v>
      </c>
      <c r="T111" s="6">
        <v>168.607</v>
      </c>
      <c r="U111" s="93">
        <f t="shared" si="24"/>
        <v>-0.02434409249</v>
      </c>
      <c r="V111" s="6">
        <v>232.086</v>
      </c>
      <c r="W111" s="90">
        <f t="shared" si="19"/>
        <v>2.32086</v>
      </c>
      <c r="X111" s="91">
        <f t="shared" si="20"/>
        <v>0.01376490893</v>
      </c>
      <c r="AV111" s="71"/>
    </row>
    <row r="112">
      <c r="A112" s="85">
        <v>20000.0</v>
      </c>
      <c r="B112" s="6">
        <v>1814.0</v>
      </c>
      <c r="C112" s="86">
        <f t="shared" si="15"/>
        <v>0.0907</v>
      </c>
      <c r="D112" s="93">
        <f t="shared" si="21"/>
        <v>0.05710955711</v>
      </c>
      <c r="E112" s="6">
        <v>0.046</v>
      </c>
      <c r="F112" s="37">
        <f>100-75.15</f>
        <v>24.85</v>
      </c>
      <c r="G112" s="6">
        <v>15.91</v>
      </c>
      <c r="H112" s="93">
        <f t="shared" si="22"/>
        <v>0.03648208469</v>
      </c>
      <c r="I112" s="6">
        <v>45.43</v>
      </c>
      <c r="J112" s="90">
        <f t="shared" si="16"/>
        <v>0.3212386107</v>
      </c>
      <c r="K112" s="91">
        <f t="shared" si="18"/>
        <v>0.02019098747</v>
      </c>
      <c r="N112" s="92">
        <v>20000.0</v>
      </c>
      <c r="O112" s="6">
        <v>4735.0</v>
      </c>
      <c r="P112" s="86">
        <f t="shared" si="17"/>
        <v>0.23675</v>
      </c>
      <c r="Q112" s="93">
        <f t="shared" si="23"/>
        <v>-0.01844941957</v>
      </c>
      <c r="R112" s="6">
        <v>0.425</v>
      </c>
      <c r="S112" s="37">
        <f>100-24.32</f>
        <v>75.68</v>
      </c>
      <c r="T112" s="6">
        <v>159.511</v>
      </c>
      <c r="U112" s="93">
        <f t="shared" si="24"/>
        <v>-0.0539479381</v>
      </c>
      <c r="V112" s="6">
        <v>219.724</v>
      </c>
      <c r="W112" s="90">
        <f t="shared" si="19"/>
        <v>1.553683304</v>
      </c>
      <c r="X112" s="91">
        <f t="shared" si="20"/>
        <v>0.009740289409</v>
      </c>
      <c r="AV112" s="71"/>
    </row>
    <row r="113">
      <c r="A113" s="85">
        <v>35000.0</v>
      </c>
      <c r="B113" s="6">
        <v>3136.0</v>
      </c>
      <c r="C113" s="86">
        <f t="shared" si="15"/>
        <v>0.0896</v>
      </c>
      <c r="D113" s="93">
        <f t="shared" si="21"/>
        <v>-0.01212789416</v>
      </c>
      <c r="E113" s="6">
        <v>0.053</v>
      </c>
      <c r="F113" s="37">
        <f>100-76.67</f>
        <v>23.33</v>
      </c>
      <c r="G113" s="6">
        <v>17.934</v>
      </c>
      <c r="H113" s="93">
        <f t="shared" si="22"/>
        <v>0.1272155877</v>
      </c>
      <c r="I113" s="6">
        <v>49.906</v>
      </c>
      <c r="J113" s="90">
        <f t="shared" si="16"/>
        <v>0.2667587908</v>
      </c>
      <c r="K113" s="91">
        <f t="shared" si="18"/>
        <v>0.01487447255</v>
      </c>
      <c r="N113" s="92">
        <v>35000.0</v>
      </c>
      <c r="O113" s="6">
        <v>8343.0</v>
      </c>
      <c r="P113" s="86">
        <f t="shared" si="17"/>
        <v>0.2383714286</v>
      </c>
      <c r="Q113" s="93">
        <f t="shared" si="23"/>
        <v>0.006848695127</v>
      </c>
      <c r="R113" s="6">
        <v>0.439</v>
      </c>
      <c r="S113" s="37">
        <f>100-24.24</f>
        <v>75.76</v>
      </c>
      <c r="T113" s="6">
        <v>162.99</v>
      </c>
      <c r="U113" s="93">
        <f t="shared" si="24"/>
        <v>0.02181040806</v>
      </c>
      <c r="V113" s="6">
        <v>219.674</v>
      </c>
      <c r="W113" s="90">
        <f t="shared" si="19"/>
        <v>1.174206921</v>
      </c>
      <c r="X113" s="91">
        <f t="shared" si="20"/>
        <v>0.007204165416</v>
      </c>
      <c r="AV113" s="71"/>
    </row>
    <row r="114">
      <c r="A114" s="94">
        <v>50000.0</v>
      </c>
      <c r="B114" s="95">
        <v>4370.0</v>
      </c>
      <c r="C114" s="96">
        <f t="shared" si="15"/>
        <v>0.0874</v>
      </c>
      <c r="D114" s="97">
        <f t="shared" si="21"/>
        <v>-0.02455357143</v>
      </c>
      <c r="E114" s="95">
        <v>0.052</v>
      </c>
      <c r="F114" s="98">
        <f>100-71.37</f>
        <v>28.63</v>
      </c>
      <c r="G114" s="95">
        <v>17.732</v>
      </c>
      <c r="H114" s="97">
        <f t="shared" si="22"/>
        <v>-0.0112635218</v>
      </c>
      <c r="I114" s="95">
        <v>48.909</v>
      </c>
      <c r="J114" s="99">
        <f t="shared" si="16"/>
        <v>0.2187276974</v>
      </c>
      <c r="K114" s="100">
        <f t="shared" si="18"/>
        <v>0.01233519611</v>
      </c>
      <c r="N114" s="101">
        <v>50000.0</v>
      </c>
      <c r="O114" s="95">
        <v>11932.0</v>
      </c>
      <c r="P114" s="96">
        <f t="shared" si="17"/>
        <v>0.23864</v>
      </c>
      <c r="Q114" s="97">
        <f t="shared" si="23"/>
        <v>0.001126693036</v>
      </c>
      <c r="R114" s="95">
        <v>0.445</v>
      </c>
      <c r="S114" s="98">
        <f>100-24.1576</f>
        <v>75.8424</v>
      </c>
      <c r="T114" s="95">
        <v>167.318</v>
      </c>
      <c r="U114" s="97">
        <f t="shared" si="24"/>
        <v>0.02655377631</v>
      </c>
      <c r="V114" s="95">
        <v>227.541</v>
      </c>
      <c r="W114" s="99">
        <f t="shared" si="19"/>
        <v>1.017594287</v>
      </c>
      <c r="X114" s="100">
        <f t="shared" si="20"/>
        <v>0.006081798057</v>
      </c>
      <c r="AV114" s="71"/>
    </row>
    <row r="115">
      <c r="A115" s="70"/>
      <c r="AV115" s="71"/>
    </row>
    <row r="116">
      <c r="A116" s="70"/>
      <c r="AV116" s="71"/>
    </row>
    <row r="117">
      <c r="A117" s="70"/>
      <c r="AV117" s="71"/>
    </row>
    <row r="118">
      <c r="A118" s="70"/>
      <c r="AV118" s="71"/>
    </row>
    <row r="119">
      <c r="A119" s="70"/>
      <c r="AV119" s="71"/>
    </row>
    <row r="120">
      <c r="A120" s="70"/>
      <c r="AV120" s="71"/>
    </row>
    <row r="121">
      <c r="A121" s="70"/>
      <c r="AV121" s="71"/>
    </row>
    <row r="122">
      <c r="A122" s="70"/>
      <c r="AV122" s="71"/>
    </row>
    <row r="123">
      <c r="A123" s="70"/>
      <c r="AV123" s="71"/>
    </row>
    <row r="124">
      <c r="A124" s="70"/>
      <c r="AV124" s="71"/>
    </row>
    <row r="125">
      <c r="A125" s="70"/>
      <c r="AV125" s="71"/>
    </row>
    <row r="126">
      <c r="A126" s="70"/>
      <c r="AV126" s="71"/>
    </row>
    <row r="127">
      <c r="A127" s="70"/>
      <c r="AV127" s="71"/>
    </row>
    <row r="128">
      <c r="A128" s="70"/>
      <c r="AV128" s="71"/>
    </row>
    <row r="129">
      <c r="A129" s="70"/>
      <c r="AV129" s="71"/>
    </row>
    <row r="130">
      <c r="A130" s="70"/>
      <c r="AV130" s="71"/>
    </row>
    <row r="131">
      <c r="A131" s="70"/>
      <c r="AV131" s="71"/>
    </row>
    <row r="132">
      <c r="A132" s="70"/>
      <c r="AV132" s="71"/>
    </row>
    <row r="133">
      <c r="A133" s="70"/>
      <c r="AB133" s="76" t="s">
        <v>115</v>
      </c>
      <c r="AC133" s="76" t="s">
        <v>116</v>
      </c>
      <c r="AD133" s="76" t="s">
        <v>117</v>
      </c>
      <c r="AE133" s="76" t="s">
        <v>35</v>
      </c>
      <c r="AV133" s="71"/>
    </row>
    <row r="134">
      <c r="A134" s="72" t="s">
        <v>131</v>
      </c>
      <c r="B134" s="73"/>
      <c r="C134" s="74" t="s">
        <v>108</v>
      </c>
      <c r="D134" s="74" t="s">
        <v>109</v>
      </c>
      <c r="E134" s="74" t="s">
        <v>110</v>
      </c>
      <c r="F134" s="74" t="s">
        <v>111</v>
      </c>
      <c r="G134" s="74" t="s">
        <v>112</v>
      </c>
      <c r="H134" s="74" t="s">
        <v>113</v>
      </c>
      <c r="I134" s="75"/>
      <c r="J134" s="75"/>
      <c r="K134" s="75"/>
      <c r="N134" s="72" t="s">
        <v>132</v>
      </c>
      <c r="O134" s="73"/>
      <c r="P134" s="74" t="s">
        <v>108</v>
      </c>
      <c r="Q134" s="74" t="s">
        <v>109</v>
      </c>
      <c r="R134" s="74" t="s">
        <v>110</v>
      </c>
      <c r="S134" s="74" t="s">
        <v>111</v>
      </c>
      <c r="T134" s="74" t="s">
        <v>112</v>
      </c>
      <c r="U134" s="74" t="s">
        <v>113</v>
      </c>
      <c r="V134" s="75"/>
      <c r="W134" s="75"/>
      <c r="X134" s="75"/>
      <c r="AB134" s="82">
        <v>50.0</v>
      </c>
      <c r="AC134" s="79">
        <v>100.0</v>
      </c>
      <c r="AD134" s="85">
        <v>5000.0</v>
      </c>
      <c r="AE134" s="37">
        <f>100-19.61</f>
        <v>80.39</v>
      </c>
      <c r="AV134" s="71"/>
    </row>
    <row r="135">
      <c r="A135" s="77"/>
      <c r="B135" s="78"/>
      <c r="C135" s="79">
        <v>2.0</v>
      </c>
      <c r="D135" s="79" t="s">
        <v>118</v>
      </c>
      <c r="E135" s="79" t="s">
        <v>119</v>
      </c>
      <c r="F135" s="80">
        <v>50.0</v>
      </c>
      <c r="G135" s="79">
        <v>100.0</v>
      </c>
      <c r="H135" s="79" t="s">
        <v>120</v>
      </c>
      <c r="I135" s="81"/>
      <c r="J135" s="81"/>
      <c r="K135" s="81"/>
      <c r="N135" s="77"/>
      <c r="O135" s="78"/>
      <c r="P135" s="79">
        <v>2.0</v>
      </c>
      <c r="Q135" s="79" t="s">
        <v>118</v>
      </c>
      <c r="R135" s="79" t="s">
        <v>119</v>
      </c>
      <c r="S135" s="80">
        <v>150.0</v>
      </c>
      <c r="T135" s="79">
        <v>100.0</v>
      </c>
      <c r="U135" s="79" t="s">
        <v>120</v>
      </c>
      <c r="V135" s="81"/>
      <c r="W135" s="81"/>
      <c r="X135" s="81"/>
      <c r="AB135" s="82">
        <v>150.0</v>
      </c>
      <c r="AC135" s="79">
        <v>100.0</v>
      </c>
      <c r="AD135" s="84">
        <v>50000.0</v>
      </c>
      <c r="AE135" s="5">
        <f>100-66.09</f>
        <v>33.91</v>
      </c>
      <c r="AV135" s="71"/>
    </row>
    <row r="136">
      <c r="A136" s="83" t="s">
        <v>121</v>
      </c>
      <c r="B136" s="83" t="s">
        <v>122</v>
      </c>
      <c r="C136" s="83" t="s">
        <v>123</v>
      </c>
      <c r="D136" s="83" t="s">
        <v>124</v>
      </c>
      <c r="E136" s="83" t="s">
        <v>125</v>
      </c>
      <c r="F136" s="83" t="s">
        <v>35</v>
      </c>
      <c r="G136" s="83" t="s">
        <v>126</v>
      </c>
      <c r="H136" s="83" t="s">
        <v>127</v>
      </c>
      <c r="I136" s="83" t="s">
        <v>128</v>
      </c>
      <c r="J136" s="83" t="s">
        <v>129</v>
      </c>
      <c r="K136" s="83" t="s">
        <v>130</v>
      </c>
      <c r="N136" s="83" t="s">
        <v>121</v>
      </c>
      <c r="O136" s="83" t="s">
        <v>122</v>
      </c>
      <c r="P136" s="83" t="s">
        <v>123</v>
      </c>
      <c r="Q136" s="83" t="s">
        <v>124</v>
      </c>
      <c r="R136" s="83" t="s">
        <v>125</v>
      </c>
      <c r="S136" s="83" t="s">
        <v>35</v>
      </c>
      <c r="T136" s="83" t="s">
        <v>126</v>
      </c>
      <c r="U136" s="83" t="s">
        <v>127</v>
      </c>
      <c r="V136" s="83" t="s">
        <v>128</v>
      </c>
      <c r="W136" s="83" t="s">
        <v>129</v>
      </c>
      <c r="X136" s="83" t="s">
        <v>130</v>
      </c>
      <c r="AV136" s="71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AV137" s="71"/>
    </row>
    <row r="138">
      <c r="A138" s="102">
        <v>10.0</v>
      </c>
      <c r="B138" s="103">
        <v>3.0</v>
      </c>
      <c r="C138" s="104">
        <f t="shared" ref="C138:C152" si="25">B138/A138</f>
        <v>0.3</v>
      </c>
      <c r="D138" s="103">
        <v>0.0</v>
      </c>
      <c r="E138" s="103">
        <v>0.749</v>
      </c>
      <c r="F138" s="67">
        <f>2.3/4</f>
        <v>0.575</v>
      </c>
      <c r="G138" s="103">
        <v>92.256</v>
      </c>
      <c r="H138" s="103">
        <v>0.0</v>
      </c>
      <c r="I138" s="103">
        <v>76.479</v>
      </c>
      <c r="J138" s="103">
        <v>0.0</v>
      </c>
      <c r="K138" s="105">
        <v>0.0</v>
      </c>
      <c r="N138" s="102">
        <v>10.0</v>
      </c>
      <c r="O138" s="103">
        <v>0.0</v>
      </c>
      <c r="P138" s="104">
        <f t="shared" ref="P138:P152" si="26">O138/N138</f>
        <v>0</v>
      </c>
      <c r="Q138" s="103">
        <v>0.0</v>
      </c>
      <c r="R138" s="103">
        <v>0.0</v>
      </c>
      <c r="S138" s="67">
        <f>0.812/2</f>
        <v>0.406</v>
      </c>
      <c r="T138" s="103">
        <v>0.0</v>
      </c>
      <c r="U138" s="103">
        <v>0.0</v>
      </c>
      <c r="V138" s="103">
        <v>0.0</v>
      </c>
      <c r="W138" s="103">
        <v>0.0</v>
      </c>
      <c r="X138" s="105">
        <v>0.0</v>
      </c>
      <c r="AV138" s="71"/>
    </row>
    <row r="139">
      <c r="A139" s="85">
        <v>21.0</v>
      </c>
      <c r="B139" s="6">
        <v>9.0</v>
      </c>
      <c r="C139" s="86">
        <f t="shared" si="25"/>
        <v>0.4285714286</v>
      </c>
      <c r="D139" s="93">
        <f t="shared" ref="D139:D152" si="27">C139/C138-1</f>
        <v>0.4285714286</v>
      </c>
      <c r="E139" s="6">
        <v>1.275</v>
      </c>
      <c r="F139" s="37">
        <f>100-16.935</f>
        <v>83.065</v>
      </c>
      <c r="G139" s="6">
        <v>104.007</v>
      </c>
      <c r="H139" s="93">
        <f t="shared" ref="H139:H152" si="28">G139/G138-1</f>
        <v>0.1273738293</v>
      </c>
      <c r="I139" s="6">
        <v>106.909</v>
      </c>
      <c r="J139" s="90">
        <f t="shared" ref="J139:J152" si="29">SQRT(I139*I139/A139)</f>
        <v>23.32945643</v>
      </c>
      <c r="K139" s="91">
        <f t="shared" ref="K139:K152" si="30">J139/G139</f>
        <v>0.2243065989</v>
      </c>
      <c r="N139" s="85">
        <v>21.0</v>
      </c>
      <c r="O139" s="6">
        <v>1.0</v>
      </c>
      <c r="P139" s="86">
        <f t="shared" si="26"/>
        <v>0.04761904762</v>
      </c>
      <c r="Q139" s="6">
        <v>0.0</v>
      </c>
      <c r="R139" s="6">
        <v>0.155</v>
      </c>
      <c r="S139" s="6">
        <f>100-70</f>
        <v>30</v>
      </c>
      <c r="T139" s="6">
        <v>29.469</v>
      </c>
      <c r="U139" s="6">
        <v>0.0</v>
      </c>
      <c r="V139" s="6">
        <v>59.98</v>
      </c>
      <c r="W139" s="90">
        <f t="shared" ref="W139:W152" si="31">SQRT(V139*V139/N139)</f>
        <v>13.08870906</v>
      </c>
      <c r="X139" s="91">
        <f t="shared" ref="X139:X152" si="32">W139/T139</f>
        <v>0.4441517885</v>
      </c>
      <c r="AV139" s="71"/>
    </row>
    <row r="140">
      <c r="A140" s="85">
        <v>50.0</v>
      </c>
      <c r="B140" s="6">
        <v>15.0</v>
      </c>
      <c r="C140" s="86">
        <f t="shared" si="25"/>
        <v>0.3</v>
      </c>
      <c r="D140" s="93">
        <f t="shared" si="27"/>
        <v>-0.3</v>
      </c>
      <c r="E140" s="6">
        <v>0.804</v>
      </c>
      <c r="F140" s="37">
        <f>100-13.51</f>
        <v>86.49</v>
      </c>
      <c r="G140" s="6">
        <v>82.315</v>
      </c>
      <c r="H140" s="93">
        <f t="shared" si="28"/>
        <v>-0.2085628852</v>
      </c>
      <c r="I140" s="6">
        <v>100.771</v>
      </c>
      <c r="J140" s="90">
        <f t="shared" si="29"/>
        <v>14.25117149</v>
      </c>
      <c r="K140" s="91">
        <f t="shared" si="30"/>
        <v>0.1731297028</v>
      </c>
      <c r="N140" s="85">
        <v>50.0</v>
      </c>
      <c r="O140" s="6">
        <v>1.0</v>
      </c>
      <c r="P140" s="86">
        <f t="shared" si="26"/>
        <v>0.02</v>
      </c>
      <c r="Q140" s="93">
        <f t="shared" ref="Q140:Q152" si="33">P140/P139-1</f>
        <v>-0.58</v>
      </c>
      <c r="R140" s="6">
        <v>0.014</v>
      </c>
      <c r="S140" s="37">
        <f>100-78.26</f>
        <v>21.74</v>
      </c>
      <c r="T140" s="6">
        <v>3.931</v>
      </c>
      <c r="U140" s="93">
        <f t="shared" ref="U140:U152" si="34">T140/T139-1</f>
        <v>-0.8666055855</v>
      </c>
      <c r="V140" s="6">
        <v>61.129</v>
      </c>
      <c r="W140" s="90">
        <f t="shared" si="31"/>
        <v>8.644946085</v>
      </c>
      <c r="X140" s="91">
        <f t="shared" si="32"/>
        <v>2.199172243</v>
      </c>
      <c r="AV140" s="71"/>
    </row>
    <row r="141">
      <c r="A141" s="85">
        <v>100.0</v>
      </c>
      <c r="B141" s="6">
        <v>34.0</v>
      </c>
      <c r="C141" s="86">
        <f t="shared" si="25"/>
        <v>0.34</v>
      </c>
      <c r="D141" s="93">
        <f t="shared" si="27"/>
        <v>0.1333333333</v>
      </c>
      <c r="E141" s="6">
        <v>0.895</v>
      </c>
      <c r="F141" s="37">
        <f>100-13.61</f>
        <v>86.39</v>
      </c>
      <c r="G141" s="6">
        <v>104.751</v>
      </c>
      <c r="H141" s="93">
        <f t="shared" si="28"/>
        <v>0.2725627164</v>
      </c>
      <c r="I141" s="6">
        <v>108.289</v>
      </c>
      <c r="J141" s="90">
        <f t="shared" si="29"/>
        <v>10.8289</v>
      </c>
      <c r="K141" s="91">
        <f t="shared" si="30"/>
        <v>0.1033775334</v>
      </c>
      <c r="N141" s="85">
        <v>100.0</v>
      </c>
      <c r="O141" s="6">
        <v>11.0</v>
      </c>
      <c r="P141" s="86">
        <f t="shared" si="26"/>
        <v>0.11</v>
      </c>
      <c r="Q141" s="93">
        <f t="shared" si="33"/>
        <v>4.5</v>
      </c>
      <c r="R141" s="6">
        <v>0.104</v>
      </c>
      <c r="S141" s="37">
        <f>100-62.22</f>
        <v>37.78</v>
      </c>
      <c r="T141" s="6">
        <v>28.98</v>
      </c>
      <c r="U141" s="93">
        <f t="shared" si="34"/>
        <v>6.372169931</v>
      </c>
      <c r="V141" s="6">
        <v>61.755</v>
      </c>
      <c r="W141" s="90">
        <f t="shared" si="31"/>
        <v>6.1755</v>
      </c>
      <c r="X141" s="91">
        <f t="shared" si="32"/>
        <v>0.2130952381</v>
      </c>
      <c r="AV141" s="71"/>
    </row>
    <row r="142">
      <c r="A142" s="85">
        <v>200.0</v>
      </c>
      <c r="B142" s="6">
        <v>76.0</v>
      </c>
      <c r="C142" s="86">
        <f t="shared" si="25"/>
        <v>0.38</v>
      </c>
      <c r="D142" s="93">
        <f t="shared" si="27"/>
        <v>0.1176470588</v>
      </c>
      <c r="E142" s="6">
        <v>0.661</v>
      </c>
      <c r="F142" s="37">
        <f>100-11.76</f>
        <v>88.24</v>
      </c>
      <c r="G142" s="6">
        <v>80.964</v>
      </c>
      <c r="H142" s="93">
        <f t="shared" si="28"/>
        <v>-0.2270813644</v>
      </c>
      <c r="I142" s="6">
        <v>92.763</v>
      </c>
      <c r="J142" s="90">
        <f t="shared" si="29"/>
        <v>6.559334634</v>
      </c>
      <c r="K142" s="91">
        <f t="shared" si="30"/>
        <v>0.0810154468</v>
      </c>
      <c r="N142" s="85">
        <v>200.0</v>
      </c>
      <c r="O142" s="6">
        <v>23.0</v>
      </c>
      <c r="P142" s="86">
        <f t="shared" si="26"/>
        <v>0.115</v>
      </c>
      <c r="Q142" s="93">
        <f t="shared" si="33"/>
        <v>0.04545454545</v>
      </c>
      <c r="R142" s="6">
        <v>0.09</v>
      </c>
      <c r="S142" s="37">
        <f>100-66.48</f>
        <v>33.52</v>
      </c>
      <c r="T142" s="6">
        <v>26.77</v>
      </c>
      <c r="U142" s="93">
        <f t="shared" si="34"/>
        <v>-0.0762594893</v>
      </c>
      <c r="V142" s="6">
        <v>58.757</v>
      </c>
      <c r="W142" s="90">
        <f t="shared" si="31"/>
        <v>4.154747314</v>
      </c>
      <c r="X142" s="91">
        <f t="shared" si="32"/>
        <v>0.155201618</v>
      </c>
      <c r="AV142" s="71"/>
    </row>
    <row r="143">
      <c r="A143" s="85">
        <v>300.0</v>
      </c>
      <c r="B143" s="6">
        <v>109.0</v>
      </c>
      <c r="C143" s="86">
        <f t="shared" si="25"/>
        <v>0.3633333333</v>
      </c>
      <c r="D143" s="93">
        <f t="shared" si="27"/>
        <v>-0.04385964912</v>
      </c>
      <c r="E143" s="6">
        <v>0.853</v>
      </c>
      <c r="F143" s="37">
        <f>100-19.561</f>
        <v>80.439</v>
      </c>
      <c r="G143" s="6">
        <v>104.846</v>
      </c>
      <c r="H143" s="93">
        <f t="shared" si="28"/>
        <v>0.2949706042</v>
      </c>
      <c r="I143" s="6">
        <v>89.181</v>
      </c>
      <c r="J143" s="90">
        <f t="shared" si="29"/>
        <v>5.148867436</v>
      </c>
      <c r="K143" s="91">
        <f t="shared" si="30"/>
        <v>0.04910885905</v>
      </c>
      <c r="N143" s="85">
        <v>300.0</v>
      </c>
      <c r="O143" s="6">
        <v>16.0</v>
      </c>
      <c r="P143" s="86">
        <f t="shared" si="26"/>
        <v>0.05333333333</v>
      </c>
      <c r="Q143" s="93">
        <f t="shared" si="33"/>
        <v>-0.5362318841</v>
      </c>
      <c r="R143" s="6">
        <v>0.069</v>
      </c>
      <c r="S143" s="37">
        <f>100-64.79</f>
        <v>35.21</v>
      </c>
      <c r="T143" s="6">
        <v>19.35</v>
      </c>
      <c r="U143" s="93">
        <f t="shared" si="34"/>
        <v>-0.2771759432</v>
      </c>
      <c r="V143" s="6">
        <v>51.782</v>
      </c>
      <c r="W143" s="90">
        <f t="shared" si="31"/>
        <v>2.989635164</v>
      </c>
      <c r="X143" s="91">
        <f t="shared" si="32"/>
        <v>0.1545031092</v>
      </c>
      <c r="AV143" s="71"/>
    </row>
    <row r="144">
      <c r="A144" s="85">
        <v>600.0</v>
      </c>
      <c r="B144" s="6">
        <v>191.0</v>
      </c>
      <c r="C144" s="86">
        <f t="shared" si="25"/>
        <v>0.3183333333</v>
      </c>
      <c r="D144" s="93">
        <f t="shared" si="27"/>
        <v>-0.123853211</v>
      </c>
      <c r="E144" s="6">
        <v>0.82</v>
      </c>
      <c r="F144" s="37">
        <f>100-15.06</f>
        <v>84.94</v>
      </c>
      <c r="G144" s="6">
        <v>97.367</v>
      </c>
      <c r="H144" s="93">
        <f t="shared" si="28"/>
        <v>-0.07133319345</v>
      </c>
      <c r="I144" s="6">
        <v>105.675</v>
      </c>
      <c r="J144" s="90">
        <f t="shared" si="29"/>
        <v>4.314163809</v>
      </c>
      <c r="K144" s="91">
        <f t="shared" si="30"/>
        <v>0.04430827497</v>
      </c>
      <c r="N144" s="85">
        <v>600.0</v>
      </c>
      <c r="O144" s="6">
        <v>54.0</v>
      </c>
      <c r="P144" s="86">
        <f t="shared" si="26"/>
        <v>0.09</v>
      </c>
      <c r="Q144" s="93">
        <f t="shared" si="33"/>
        <v>0.6875</v>
      </c>
      <c r="R144" s="6">
        <v>0.06</v>
      </c>
      <c r="S144" s="37">
        <f>100-63.25</f>
        <v>36.75</v>
      </c>
      <c r="T144" s="6">
        <v>17.575</v>
      </c>
      <c r="U144" s="93">
        <f t="shared" si="34"/>
        <v>-0.09173126615</v>
      </c>
      <c r="V144" s="6">
        <v>40.233</v>
      </c>
      <c r="W144" s="90">
        <f t="shared" si="31"/>
        <v>1.642505347</v>
      </c>
      <c r="X144" s="91">
        <f t="shared" si="32"/>
        <v>0.09345691875</v>
      </c>
      <c r="AV144" s="71"/>
    </row>
    <row r="145">
      <c r="A145" s="85">
        <v>1000.0</v>
      </c>
      <c r="B145" s="6">
        <v>332.0</v>
      </c>
      <c r="C145" s="86">
        <f t="shared" si="25"/>
        <v>0.332</v>
      </c>
      <c r="D145" s="93">
        <f t="shared" si="27"/>
        <v>0.04293193717</v>
      </c>
      <c r="E145" s="6">
        <v>0.762</v>
      </c>
      <c r="F145" s="37">
        <f>100-12.6571</f>
        <v>87.3429</v>
      </c>
      <c r="G145" s="6">
        <v>94.445</v>
      </c>
      <c r="H145" s="93">
        <f t="shared" si="28"/>
        <v>-0.03001016772</v>
      </c>
      <c r="I145" s="6">
        <v>99.186</v>
      </c>
      <c r="J145" s="90">
        <f t="shared" si="29"/>
        <v>3.13653672</v>
      </c>
      <c r="K145" s="91">
        <f t="shared" si="30"/>
        <v>0.03321019345</v>
      </c>
      <c r="N145" s="85">
        <v>1000.0</v>
      </c>
      <c r="O145" s="6">
        <v>91.0</v>
      </c>
      <c r="P145" s="86">
        <f t="shared" si="26"/>
        <v>0.091</v>
      </c>
      <c r="Q145" s="93">
        <f t="shared" si="33"/>
        <v>0.01111111111</v>
      </c>
      <c r="R145" s="6">
        <v>0.06</v>
      </c>
      <c r="S145" s="37">
        <f>100-68.39</f>
        <v>31.61</v>
      </c>
      <c r="T145" s="6">
        <v>19.471</v>
      </c>
      <c r="U145" s="93">
        <f t="shared" si="34"/>
        <v>0.1078805121</v>
      </c>
      <c r="V145" s="6">
        <v>62.543</v>
      </c>
      <c r="W145" s="90">
        <f t="shared" si="31"/>
        <v>1.977783317</v>
      </c>
      <c r="X145" s="91">
        <f t="shared" si="32"/>
        <v>0.101575847</v>
      </c>
      <c r="AV145" s="71"/>
    </row>
    <row r="146">
      <c r="A146" s="85">
        <v>1500.0</v>
      </c>
      <c r="B146" s="6">
        <v>479.0</v>
      </c>
      <c r="C146" s="86">
        <f t="shared" si="25"/>
        <v>0.3193333333</v>
      </c>
      <c r="D146" s="93">
        <f t="shared" si="27"/>
        <v>-0.03815261044</v>
      </c>
      <c r="E146" s="6">
        <v>0.746</v>
      </c>
      <c r="F146" s="37">
        <f>100-12.561</f>
        <v>87.439</v>
      </c>
      <c r="G146" s="6">
        <v>92.77</v>
      </c>
      <c r="H146" s="93">
        <f t="shared" si="28"/>
        <v>-0.01773518979</v>
      </c>
      <c r="I146" s="6">
        <v>102.164</v>
      </c>
      <c r="J146" s="90">
        <f t="shared" si="29"/>
        <v>2.637863137</v>
      </c>
      <c r="K146" s="91">
        <f t="shared" si="30"/>
        <v>0.02843444149</v>
      </c>
      <c r="N146" s="85">
        <v>1500.0</v>
      </c>
      <c r="O146" s="6">
        <v>142.0</v>
      </c>
      <c r="P146" s="86">
        <f t="shared" si="26"/>
        <v>0.09466666667</v>
      </c>
      <c r="Q146" s="93">
        <f t="shared" si="33"/>
        <v>0.04029304029</v>
      </c>
      <c r="R146" s="6">
        <v>0.069</v>
      </c>
      <c r="S146" s="37">
        <f>100-65.98</f>
        <v>34.02</v>
      </c>
      <c r="T146" s="6">
        <v>20.884</v>
      </c>
      <c r="U146" s="93">
        <f t="shared" si="34"/>
        <v>0.07256946228</v>
      </c>
      <c r="V146" s="6">
        <v>50.53</v>
      </c>
      <c r="W146" s="90">
        <f t="shared" si="31"/>
        <v>1.30467899</v>
      </c>
      <c r="X146" s="91">
        <f t="shared" si="32"/>
        <v>0.06247265801</v>
      </c>
      <c r="AV146" s="71"/>
    </row>
    <row r="147">
      <c r="A147" s="85">
        <v>2000.0</v>
      </c>
      <c r="B147" s="6">
        <v>631.0</v>
      </c>
      <c r="C147" s="86">
        <f t="shared" si="25"/>
        <v>0.3155</v>
      </c>
      <c r="D147" s="93">
        <f t="shared" si="27"/>
        <v>-0.01200417537</v>
      </c>
      <c r="E147" s="6">
        <v>0.674</v>
      </c>
      <c r="F147" s="37">
        <f>100-16.18</f>
        <v>83.82</v>
      </c>
      <c r="G147" s="6">
        <v>83.406</v>
      </c>
      <c r="H147" s="93">
        <f t="shared" si="28"/>
        <v>-0.1009378032</v>
      </c>
      <c r="I147" s="6">
        <v>92.814</v>
      </c>
      <c r="J147" s="90">
        <f t="shared" si="29"/>
        <v>2.075384133</v>
      </c>
      <c r="K147" s="91">
        <f t="shared" si="30"/>
        <v>0.02488291169</v>
      </c>
      <c r="N147" s="85">
        <v>2000.0</v>
      </c>
      <c r="O147" s="6">
        <v>210.0</v>
      </c>
      <c r="P147" s="86">
        <f t="shared" si="26"/>
        <v>0.105</v>
      </c>
      <c r="Q147" s="93">
        <f t="shared" si="33"/>
        <v>0.1091549296</v>
      </c>
      <c r="R147" s="6">
        <v>0.063</v>
      </c>
      <c r="S147" s="37">
        <f>100-67.23</f>
        <v>32.77</v>
      </c>
      <c r="T147" s="6">
        <v>19.389</v>
      </c>
      <c r="U147" s="93">
        <f t="shared" si="34"/>
        <v>-0.07158590308</v>
      </c>
      <c r="V147" s="6">
        <v>47.884</v>
      </c>
      <c r="W147" s="90">
        <f t="shared" si="31"/>
        <v>1.07071879</v>
      </c>
      <c r="X147" s="91">
        <f t="shared" si="32"/>
        <v>0.05522300224</v>
      </c>
      <c r="AV147" s="71"/>
    </row>
    <row r="148">
      <c r="A148" s="85">
        <v>5000.0</v>
      </c>
      <c r="B148" s="6">
        <v>1570.0</v>
      </c>
      <c r="C148" s="86">
        <f t="shared" si="25"/>
        <v>0.314</v>
      </c>
      <c r="D148" s="93">
        <f t="shared" si="27"/>
        <v>-0.004754358162</v>
      </c>
      <c r="E148" s="6">
        <v>0.705</v>
      </c>
      <c r="F148" s="37">
        <f>100-19.61</f>
        <v>80.39</v>
      </c>
      <c r="G148" s="6">
        <v>87.503</v>
      </c>
      <c r="H148" s="93">
        <f t="shared" si="28"/>
        <v>0.04912116634</v>
      </c>
      <c r="I148" s="6">
        <v>97.245</v>
      </c>
      <c r="J148" s="90">
        <f t="shared" si="29"/>
        <v>1.375251979</v>
      </c>
      <c r="K148" s="91">
        <f t="shared" si="30"/>
        <v>0.01571662662</v>
      </c>
      <c r="N148" s="85">
        <v>5000.0</v>
      </c>
      <c r="O148" s="6">
        <v>453.0</v>
      </c>
      <c r="P148" s="86">
        <f t="shared" si="26"/>
        <v>0.0906</v>
      </c>
      <c r="Q148" s="93">
        <f t="shared" si="33"/>
        <v>-0.1371428571</v>
      </c>
      <c r="R148" s="6">
        <v>0.073</v>
      </c>
      <c r="S148" s="37">
        <f>100-65.33</f>
        <v>34.67</v>
      </c>
      <c r="T148" s="6">
        <v>22.337</v>
      </c>
      <c r="U148" s="93">
        <f t="shared" si="34"/>
        <v>0.152044974</v>
      </c>
      <c r="V148" s="6">
        <v>56.819</v>
      </c>
      <c r="W148" s="90">
        <f t="shared" si="31"/>
        <v>0.803542004</v>
      </c>
      <c r="X148" s="91">
        <f t="shared" si="32"/>
        <v>0.03597358661</v>
      </c>
      <c r="AV148" s="71"/>
    </row>
    <row r="149">
      <c r="A149" s="85">
        <v>10000.0</v>
      </c>
      <c r="B149" s="6">
        <v>3354.0</v>
      </c>
      <c r="C149" s="86">
        <f t="shared" si="25"/>
        <v>0.3354</v>
      </c>
      <c r="D149" s="93">
        <f t="shared" si="27"/>
        <v>0.06815286624</v>
      </c>
      <c r="E149" s="6">
        <v>0.724</v>
      </c>
      <c r="F149" s="37">
        <f>100-17.55</f>
        <v>82.45</v>
      </c>
      <c r="G149" s="6">
        <v>91.552</v>
      </c>
      <c r="H149" s="93">
        <f t="shared" si="28"/>
        <v>0.04627269922</v>
      </c>
      <c r="I149" s="6">
        <v>100.909</v>
      </c>
      <c r="J149" s="90">
        <f t="shared" si="29"/>
        <v>1.00909</v>
      </c>
      <c r="K149" s="91">
        <f t="shared" si="30"/>
        <v>0.01102204212</v>
      </c>
      <c r="N149" s="85">
        <v>10000.0</v>
      </c>
      <c r="O149" s="6">
        <v>994.0</v>
      </c>
      <c r="P149" s="86">
        <f t="shared" si="26"/>
        <v>0.0994</v>
      </c>
      <c r="Q149" s="93">
        <f t="shared" si="33"/>
        <v>0.09713024283</v>
      </c>
      <c r="R149" s="6">
        <v>0.065</v>
      </c>
      <c r="S149" s="37">
        <f>100-67.93</f>
        <v>32.07</v>
      </c>
      <c r="T149" s="6">
        <v>20.01</v>
      </c>
      <c r="U149" s="93">
        <f t="shared" si="34"/>
        <v>-0.1041769262</v>
      </c>
      <c r="V149" s="6">
        <v>52.843</v>
      </c>
      <c r="W149" s="90">
        <f t="shared" si="31"/>
        <v>0.52843</v>
      </c>
      <c r="X149" s="91">
        <f t="shared" si="32"/>
        <v>0.02640829585</v>
      </c>
      <c r="AV149" s="71"/>
    </row>
    <row r="150">
      <c r="A150" s="85">
        <v>20000.0</v>
      </c>
      <c r="B150" s="6">
        <v>6517.0</v>
      </c>
      <c r="C150" s="86">
        <f t="shared" si="25"/>
        <v>0.32585</v>
      </c>
      <c r="D150" s="93">
        <f t="shared" si="27"/>
        <v>-0.02847346452</v>
      </c>
      <c r="E150" s="6">
        <v>0.728</v>
      </c>
      <c r="F150" s="37">
        <f>100-15.14</f>
        <v>84.86</v>
      </c>
      <c r="G150" s="6">
        <v>90.049</v>
      </c>
      <c r="H150" s="93">
        <f t="shared" si="28"/>
        <v>-0.01641689969</v>
      </c>
      <c r="I150" s="6">
        <v>97.412</v>
      </c>
      <c r="J150" s="90">
        <f t="shared" si="29"/>
        <v>0.6888068577</v>
      </c>
      <c r="K150" s="91">
        <f t="shared" si="30"/>
        <v>0.007649244941</v>
      </c>
      <c r="N150" s="85">
        <v>20000.0</v>
      </c>
      <c r="O150" s="6">
        <v>2000.0</v>
      </c>
      <c r="P150" s="86">
        <f t="shared" si="26"/>
        <v>0.1</v>
      </c>
      <c r="Q150" s="93">
        <f t="shared" si="33"/>
        <v>0.006036217304</v>
      </c>
      <c r="R150" s="6">
        <v>0.066</v>
      </c>
      <c r="S150" s="37">
        <f>100-66.93</f>
        <v>33.07</v>
      </c>
      <c r="T150" s="6">
        <v>20.249</v>
      </c>
      <c r="U150" s="93">
        <f t="shared" si="34"/>
        <v>0.01194402799</v>
      </c>
      <c r="V150" s="6">
        <v>51.945</v>
      </c>
      <c r="W150" s="90">
        <f t="shared" si="31"/>
        <v>0.3673066175</v>
      </c>
      <c r="X150" s="91">
        <f t="shared" si="32"/>
        <v>0.01813949417</v>
      </c>
      <c r="AV150" s="71"/>
    </row>
    <row r="151">
      <c r="A151" s="85">
        <v>35000.0</v>
      </c>
      <c r="B151" s="6">
        <v>11697.0</v>
      </c>
      <c r="C151" s="86">
        <f t="shared" si="25"/>
        <v>0.3342</v>
      </c>
      <c r="D151" s="93">
        <f t="shared" si="27"/>
        <v>0.02562528771</v>
      </c>
      <c r="E151" s="6">
        <v>0.751</v>
      </c>
      <c r="F151" s="37">
        <f>100-15.67</f>
        <v>84.33</v>
      </c>
      <c r="G151" s="6">
        <v>93.327</v>
      </c>
      <c r="H151" s="93">
        <f t="shared" si="28"/>
        <v>0.03640240314</v>
      </c>
      <c r="I151" s="6">
        <v>100.246</v>
      </c>
      <c r="J151" s="90">
        <f t="shared" si="29"/>
        <v>0.5358374091</v>
      </c>
      <c r="K151" s="91">
        <f t="shared" si="30"/>
        <v>0.0057415047</v>
      </c>
      <c r="N151" s="85">
        <v>35000.0</v>
      </c>
      <c r="O151" s="6">
        <v>3491.0</v>
      </c>
      <c r="P151" s="86">
        <f t="shared" si="26"/>
        <v>0.09974285714</v>
      </c>
      <c r="Q151" s="93">
        <f t="shared" si="33"/>
        <v>-0.002571428571</v>
      </c>
      <c r="R151" s="6">
        <v>0.075</v>
      </c>
      <c r="S151" s="37">
        <f>100-66.05</f>
        <v>33.95</v>
      </c>
      <c r="T151" s="6">
        <v>22.422</v>
      </c>
      <c r="U151" s="93">
        <f t="shared" si="34"/>
        <v>0.1073139414</v>
      </c>
      <c r="V151" s="6">
        <v>55.787</v>
      </c>
      <c r="W151" s="90">
        <f t="shared" si="31"/>
        <v>0.2981940581</v>
      </c>
      <c r="X151" s="91">
        <f t="shared" si="32"/>
        <v>0.01329917305</v>
      </c>
      <c r="AV151" s="71"/>
    </row>
    <row r="152">
      <c r="A152" s="94">
        <v>50000.0</v>
      </c>
      <c r="B152" s="95">
        <v>16541.0</v>
      </c>
      <c r="C152" s="96">
        <f t="shared" si="25"/>
        <v>0.33082</v>
      </c>
      <c r="D152" s="97">
        <f t="shared" si="27"/>
        <v>-0.01011370437</v>
      </c>
      <c r="E152" s="95">
        <v>0.745</v>
      </c>
      <c r="F152" s="98">
        <f>100-16.51</f>
        <v>83.49</v>
      </c>
      <c r="G152" s="95">
        <v>92.907</v>
      </c>
      <c r="H152" s="97">
        <f t="shared" si="28"/>
        <v>-0.004500305378</v>
      </c>
      <c r="I152" s="95">
        <v>100.464</v>
      </c>
      <c r="J152" s="99">
        <f t="shared" si="29"/>
        <v>0.4492886666</v>
      </c>
      <c r="K152" s="100">
        <f t="shared" si="30"/>
        <v>0.004835896828</v>
      </c>
      <c r="N152" s="94">
        <v>50000.0</v>
      </c>
      <c r="O152" s="95">
        <v>4987.0</v>
      </c>
      <c r="P152" s="96">
        <f t="shared" si="26"/>
        <v>0.09974</v>
      </c>
      <c r="Q152" s="97">
        <f t="shared" si="33"/>
        <v>-0.00002864508737</v>
      </c>
      <c r="R152" s="95">
        <v>0.072</v>
      </c>
      <c r="S152" s="95">
        <f>100-66.09</f>
        <v>33.91</v>
      </c>
      <c r="T152" s="95">
        <v>21.93</v>
      </c>
      <c r="U152" s="97">
        <f t="shared" si="34"/>
        <v>-0.02194273481</v>
      </c>
      <c r="V152" s="95">
        <v>54.272</v>
      </c>
      <c r="W152" s="99">
        <f t="shared" si="31"/>
        <v>0.2427117625</v>
      </c>
      <c r="X152" s="100">
        <f t="shared" si="32"/>
        <v>0.01106756783</v>
      </c>
      <c r="AB152" s="106">
        <v>0.3</v>
      </c>
      <c r="AC152" s="107">
        <f>U162</f>
        <v>100.057</v>
      </c>
      <c r="AD152" s="107">
        <f>U163</f>
        <v>158.709</v>
      </c>
      <c r="AE152" s="107">
        <f>U164</f>
        <v>91.332</v>
      </c>
      <c r="AG152" s="106">
        <v>0.3</v>
      </c>
      <c r="AH152" s="107">
        <f>V162</f>
        <v>0.1066666667</v>
      </c>
      <c r="AI152" s="107">
        <f>V163</f>
        <v>0.07</v>
      </c>
      <c r="AJ152" s="107">
        <f>V164</f>
        <v>0.09</v>
      </c>
      <c r="AK152" s="11"/>
      <c r="AV152" s="71"/>
    </row>
    <row r="153">
      <c r="A153" s="70"/>
      <c r="AB153" s="106">
        <v>0.6</v>
      </c>
      <c r="AC153" s="107">
        <f>U165</f>
        <v>281.2</v>
      </c>
      <c r="AD153" s="107">
        <f>U166</f>
        <v>300.11</v>
      </c>
      <c r="AE153" s="107">
        <f>U167</f>
        <v>175.909</v>
      </c>
      <c r="AG153" s="106">
        <v>0.6</v>
      </c>
      <c r="AH153" s="108">
        <f>V165</f>
        <v>0.21</v>
      </c>
      <c r="AI153" s="107">
        <f>V166</f>
        <v>0.1466666667</v>
      </c>
      <c r="AJ153" s="107">
        <f>V167</f>
        <v>0.21</v>
      </c>
      <c r="AK153" s="11"/>
      <c r="AV153" s="71"/>
    </row>
    <row r="154">
      <c r="A154" s="70"/>
      <c r="AB154" s="106">
        <v>0.9</v>
      </c>
      <c r="AC154" s="107">
        <f>U168</f>
        <v>907.005</v>
      </c>
      <c r="AD154" s="107">
        <f>U169</f>
        <v>776.106</v>
      </c>
      <c r="AE154" s="107">
        <f>U170</f>
        <v>579.815</v>
      </c>
      <c r="AG154" s="106">
        <v>0.9</v>
      </c>
      <c r="AH154" s="107">
        <f>V168</f>
        <v>0.4233333333</v>
      </c>
      <c r="AI154" s="107">
        <f>V169</f>
        <v>0.33</v>
      </c>
      <c r="AJ154" s="108">
        <f>V170</f>
        <v>0.3533333333</v>
      </c>
      <c r="AK154" s="11"/>
      <c r="AV154" s="71"/>
    </row>
    <row r="155">
      <c r="A155" s="70"/>
      <c r="S155" s="106">
        <v>0.3</v>
      </c>
      <c r="T155" s="107">
        <v>20.057</v>
      </c>
      <c r="U155" s="107">
        <v>18.709</v>
      </c>
      <c r="V155" s="107">
        <v>11.332</v>
      </c>
      <c r="AK155" s="11"/>
      <c r="AV155" s="71"/>
    </row>
    <row r="156">
      <c r="A156" s="70"/>
      <c r="S156" s="106">
        <v>0.6</v>
      </c>
      <c r="T156" s="109">
        <v>101.2</v>
      </c>
      <c r="U156" s="109">
        <v>90.11</v>
      </c>
      <c r="V156" s="109">
        <v>75.909</v>
      </c>
      <c r="AK156" s="11"/>
      <c r="AV156" s="71"/>
    </row>
    <row r="157">
      <c r="A157" s="70"/>
      <c r="S157" s="106">
        <v>0.9</v>
      </c>
      <c r="T157" s="109">
        <v>457.005</v>
      </c>
      <c r="U157" s="109">
        <v>396.106</v>
      </c>
      <c r="V157" s="109">
        <v>269.815</v>
      </c>
      <c r="AK157" s="11"/>
      <c r="AV157" s="71"/>
    </row>
    <row r="158">
      <c r="A158" s="70"/>
      <c r="AK158" s="11"/>
      <c r="AV158" s="71"/>
    </row>
    <row r="159">
      <c r="A159" s="70"/>
      <c r="AK159" s="11"/>
      <c r="AV159" s="71"/>
    </row>
    <row r="160">
      <c r="A160" s="6" t="s">
        <v>133</v>
      </c>
      <c r="R160" s="6" t="s">
        <v>133</v>
      </c>
      <c r="AK160" s="11"/>
      <c r="AV160" s="71"/>
    </row>
    <row r="161">
      <c r="A161" s="110" t="s">
        <v>134</v>
      </c>
      <c r="B161" s="111"/>
      <c r="C161" s="106">
        <v>1.0</v>
      </c>
      <c r="D161" s="106">
        <v>2.0</v>
      </c>
      <c r="E161" s="106">
        <v>3.0</v>
      </c>
      <c r="F161" s="106">
        <v>4.0</v>
      </c>
      <c r="G161" s="106">
        <v>5.0</v>
      </c>
      <c r="H161" s="106">
        <v>6.0</v>
      </c>
      <c r="I161" s="106">
        <v>7.0</v>
      </c>
      <c r="J161" s="106">
        <v>8.0</v>
      </c>
      <c r="K161" s="106">
        <v>9.0</v>
      </c>
      <c r="R161" s="112" t="s">
        <v>35</v>
      </c>
      <c r="S161" s="112" t="s">
        <v>135</v>
      </c>
      <c r="T161" s="112" t="s">
        <v>59</v>
      </c>
      <c r="U161" s="112" t="s">
        <v>63</v>
      </c>
      <c r="V161" s="112" t="s">
        <v>39</v>
      </c>
      <c r="AK161" s="11"/>
      <c r="AV161" s="71"/>
    </row>
    <row r="162">
      <c r="A162" s="110" t="s">
        <v>136</v>
      </c>
      <c r="B162" s="111"/>
      <c r="C162" s="109">
        <v>2.0</v>
      </c>
      <c r="D162" s="109">
        <v>2.0</v>
      </c>
      <c r="E162" s="109">
        <v>2.0</v>
      </c>
      <c r="F162" s="109">
        <v>2.0</v>
      </c>
      <c r="G162" s="109">
        <v>2.0</v>
      </c>
      <c r="H162" s="109">
        <v>2.0</v>
      </c>
      <c r="I162" s="109">
        <v>2.0</v>
      </c>
      <c r="J162" s="109">
        <v>2.0</v>
      </c>
      <c r="K162" s="109">
        <v>2.0</v>
      </c>
      <c r="R162" s="113">
        <v>0.3</v>
      </c>
      <c r="S162" s="114" t="s">
        <v>137</v>
      </c>
      <c r="T162" s="115">
        <v>20.057</v>
      </c>
      <c r="U162" s="116">
        <f>T162+G181</f>
        <v>100.057</v>
      </c>
      <c r="V162" s="117">
        <v>0.10666666666666667</v>
      </c>
      <c r="AK162" s="11"/>
      <c r="AV162" s="71"/>
    </row>
    <row r="163">
      <c r="A163" s="110" t="s">
        <v>138</v>
      </c>
      <c r="B163" s="111"/>
      <c r="C163" s="109" t="s">
        <v>139</v>
      </c>
      <c r="D163" s="109" t="s">
        <v>139</v>
      </c>
      <c r="E163" s="109" t="s">
        <v>139</v>
      </c>
      <c r="F163" s="109" t="s">
        <v>139</v>
      </c>
      <c r="G163" s="109" t="s">
        <v>139</v>
      </c>
      <c r="H163" s="109" t="s">
        <v>139</v>
      </c>
      <c r="I163" s="109" t="s">
        <v>139</v>
      </c>
      <c r="J163" s="109" t="s">
        <v>139</v>
      </c>
      <c r="K163" s="109" t="s">
        <v>139</v>
      </c>
      <c r="R163" s="118">
        <v>0.3</v>
      </c>
      <c r="S163" s="29" t="s">
        <v>140</v>
      </c>
      <c r="T163" s="107">
        <v>18.709</v>
      </c>
      <c r="U163" s="119">
        <f>T163+X181</f>
        <v>158.709</v>
      </c>
      <c r="V163" s="120">
        <v>0.07</v>
      </c>
      <c r="AK163" s="11"/>
      <c r="AV163" s="71"/>
    </row>
    <row r="164">
      <c r="A164" s="112" t="s">
        <v>141</v>
      </c>
      <c r="B164" s="106" t="s">
        <v>142</v>
      </c>
      <c r="C164" s="121">
        <v>169.57</v>
      </c>
      <c r="D164" s="121">
        <v>169.57</v>
      </c>
      <c r="E164" s="121">
        <v>169.57</v>
      </c>
      <c r="F164" s="121">
        <v>169.57</v>
      </c>
      <c r="G164" s="121">
        <v>169.57</v>
      </c>
      <c r="H164" s="121">
        <v>169.57</v>
      </c>
      <c r="I164" s="121">
        <v>169.57</v>
      </c>
      <c r="J164" s="121">
        <v>169.57</v>
      </c>
      <c r="K164" s="121">
        <v>169.57</v>
      </c>
      <c r="R164" s="122">
        <v>0.3</v>
      </c>
      <c r="S164" s="123" t="s">
        <v>143</v>
      </c>
      <c r="T164" s="124">
        <v>11.332</v>
      </c>
      <c r="U164" s="125">
        <f>T164+AK181</f>
        <v>91.332</v>
      </c>
      <c r="V164" s="126">
        <v>0.09</v>
      </c>
      <c r="AK164" s="11"/>
      <c r="AV164" s="71"/>
    </row>
    <row r="165">
      <c r="A165" s="28"/>
      <c r="B165" s="106" t="s">
        <v>144</v>
      </c>
      <c r="C165" s="29" t="s">
        <v>145</v>
      </c>
      <c r="D165" s="127" t="s">
        <v>145</v>
      </c>
      <c r="E165" s="127" t="s">
        <v>145</v>
      </c>
      <c r="F165" s="127" t="s">
        <v>146</v>
      </c>
      <c r="G165" s="127" t="s">
        <v>146</v>
      </c>
      <c r="H165" s="127" t="s">
        <v>146</v>
      </c>
      <c r="I165" s="127" t="s">
        <v>147</v>
      </c>
      <c r="J165" s="127" t="s">
        <v>147</v>
      </c>
      <c r="K165" s="127" t="s">
        <v>147</v>
      </c>
      <c r="R165" s="113">
        <v>0.6</v>
      </c>
      <c r="S165" s="114" t="s">
        <v>137</v>
      </c>
      <c r="T165" s="128">
        <v>101.2</v>
      </c>
      <c r="U165" s="116">
        <f>G196+T165</f>
        <v>281.2</v>
      </c>
      <c r="V165" s="129">
        <v>0.21</v>
      </c>
      <c r="AK165" s="11"/>
      <c r="AV165" s="71"/>
    </row>
    <row r="166">
      <c r="A166" s="112" t="s">
        <v>148</v>
      </c>
      <c r="B166" s="106" t="s">
        <v>142</v>
      </c>
      <c r="C166" s="109">
        <v>80.0</v>
      </c>
      <c r="D166" s="109">
        <v>180.0</v>
      </c>
      <c r="E166" s="109">
        <v>450.0</v>
      </c>
      <c r="F166" s="109">
        <v>140.0</v>
      </c>
      <c r="G166" s="109">
        <v>210.0</v>
      </c>
      <c r="H166" s="109">
        <v>380.0</v>
      </c>
      <c r="I166" s="109">
        <v>80.0</v>
      </c>
      <c r="J166" s="109">
        <v>100.0</v>
      </c>
      <c r="K166" s="109">
        <v>310.0</v>
      </c>
      <c r="R166" s="118">
        <v>0.6</v>
      </c>
      <c r="S166" s="29" t="s">
        <v>140</v>
      </c>
      <c r="T166" s="109">
        <v>90.11</v>
      </c>
      <c r="U166" s="119">
        <f>T166+X196</f>
        <v>300.11</v>
      </c>
      <c r="V166" s="130">
        <v>0.14666666666666667</v>
      </c>
      <c r="AK166" s="11"/>
      <c r="AV166" s="71"/>
    </row>
    <row r="167">
      <c r="A167" s="28"/>
      <c r="B167" s="106" t="s">
        <v>149</v>
      </c>
      <c r="C167" s="29" t="s">
        <v>120</v>
      </c>
      <c r="D167" s="29" t="s">
        <v>120</v>
      </c>
      <c r="E167" s="29" t="s">
        <v>120</v>
      </c>
      <c r="F167" s="29" t="s">
        <v>150</v>
      </c>
      <c r="G167" s="29" t="s">
        <v>150</v>
      </c>
      <c r="H167" s="29" t="s">
        <v>150</v>
      </c>
      <c r="I167" s="29" t="s">
        <v>150</v>
      </c>
      <c r="J167" s="29" t="s">
        <v>150</v>
      </c>
      <c r="K167" s="29" t="s">
        <v>150</v>
      </c>
      <c r="R167" s="122">
        <v>0.6</v>
      </c>
      <c r="S167" s="123" t="s">
        <v>143</v>
      </c>
      <c r="T167" s="131">
        <v>75.909</v>
      </c>
      <c r="U167" s="125">
        <f>T167+AK196</f>
        <v>175.909</v>
      </c>
      <c r="V167" s="126">
        <v>0.21</v>
      </c>
      <c r="AK167" s="11"/>
      <c r="AV167" s="71"/>
    </row>
    <row r="168">
      <c r="A168" s="70"/>
      <c r="R168" s="113">
        <v>0.9</v>
      </c>
      <c r="S168" s="114" t="s">
        <v>137</v>
      </c>
      <c r="T168" s="128">
        <v>457.005</v>
      </c>
      <c r="U168" s="116">
        <f>G212+T168</f>
        <v>907.005</v>
      </c>
      <c r="V168" s="132">
        <v>0.42333333333333334</v>
      </c>
      <c r="AK168" s="11"/>
      <c r="AV168" s="71"/>
    </row>
    <row r="169">
      <c r="A169" s="70"/>
      <c r="R169" s="118">
        <v>0.9</v>
      </c>
      <c r="S169" s="29" t="s">
        <v>140</v>
      </c>
      <c r="T169" s="109">
        <v>396.106</v>
      </c>
      <c r="U169" s="119">
        <f>T169+X212</f>
        <v>776.106</v>
      </c>
      <c r="V169" s="130">
        <v>0.33</v>
      </c>
      <c r="AK169" s="11"/>
      <c r="AV169" s="71"/>
    </row>
    <row r="170">
      <c r="A170" s="70"/>
      <c r="R170" s="122">
        <v>0.9</v>
      </c>
      <c r="S170" s="123" t="s">
        <v>143</v>
      </c>
      <c r="T170" s="131">
        <v>269.815</v>
      </c>
      <c r="U170" s="125">
        <f>T170+AK212</f>
        <v>579.815</v>
      </c>
      <c r="V170" s="133">
        <v>0.35333333333333333</v>
      </c>
      <c r="AK170" s="11"/>
      <c r="AV170" s="71"/>
    </row>
    <row r="171">
      <c r="A171" s="70"/>
      <c r="AK171" s="11"/>
      <c r="AV171" s="71"/>
    </row>
    <row r="172">
      <c r="A172" s="70"/>
      <c r="AK172" s="11"/>
      <c r="AV172" s="71"/>
    </row>
    <row r="173">
      <c r="A173" s="70"/>
      <c r="AK173" s="11"/>
      <c r="AV173" s="71"/>
    </row>
    <row r="174">
      <c r="A174" s="70"/>
      <c r="AK174" s="11"/>
      <c r="AV174" s="71"/>
    </row>
    <row r="175">
      <c r="A175" s="134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135"/>
      <c r="AL175" s="98"/>
      <c r="AM175" s="98"/>
      <c r="AN175" s="98"/>
      <c r="AO175" s="98"/>
      <c r="AP175" s="98"/>
      <c r="AQ175" s="98"/>
      <c r="AR175" s="98"/>
      <c r="AS175" s="98"/>
      <c r="AT175" s="98"/>
      <c r="AU175" s="98"/>
      <c r="AV175" s="136"/>
    </row>
    <row r="176">
      <c r="AK176" s="11"/>
    </row>
    <row r="177">
      <c r="A177" s="6" t="s">
        <v>133</v>
      </c>
      <c r="AK177" s="11"/>
    </row>
    <row r="178">
      <c r="A178" s="66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8"/>
      <c r="AL178" s="67"/>
      <c r="AM178" s="67"/>
      <c r="AN178" s="67"/>
      <c r="AO178" s="67"/>
      <c r="AP178" s="67"/>
      <c r="AQ178" s="67"/>
      <c r="AR178" s="67"/>
      <c r="AS178" s="69"/>
    </row>
    <row r="179">
      <c r="A179" s="85" t="s">
        <v>151</v>
      </c>
      <c r="R179" s="85" t="s">
        <v>151</v>
      </c>
      <c r="AE179" s="85" t="s">
        <v>151</v>
      </c>
      <c r="AK179" s="11"/>
      <c r="AS179" s="71"/>
    </row>
    <row r="180">
      <c r="A180" s="137" t="s">
        <v>107</v>
      </c>
      <c r="B180" s="73"/>
      <c r="C180" s="138" t="s">
        <v>108</v>
      </c>
      <c r="D180" s="138" t="s">
        <v>109</v>
      </c>
      <c r="E180" s="138" t="s">
        <v>110</v>
      </c>
      <c r="F180" s="138" t="s">
        <v>111</v>
      </c>
      <c r="G180" s="138" t="s">
        <v>112</v>
      </c>
      <c r="H180" s="138" t="s">
        <v>113</v>
      </c>
      <c r="I180" s="139"/>
      <c r="J180" s="139"/>
      <c r="K180" s="139"/>
      <c r="L180" s="140"/>
      <c r="M180" s="140"/>
      <c r="N180" s="140"/>
      <c r="O180" s="140"/>
      <c r="P180" s="140"/>
      <c r="Q180" s="140"/>
      <c r="R180" s="137" t="s">
        <v>152</v>
      </c>
      <c r="S180" s="73"/>
      <c r="T180" s="138" t="s">
        <v>108</v>
      </c>
      <c r="U180" s="138" t="s">
        <v>109</v>
      </c>
      <c r="V180" s="138" t="s">
        <v>110</v>
      </c>
      <c r="W180" s="138" t="s">
        <v>111</v>
      </c>
      <c r="X180" s="138" t="s">
        <v>112</v>
      </c>
      <c r="Y180" s="138" t="s">
        <v>113</v>
      </c>
      <c r="Z180" s="139"/>
      <c r="AA180" s="139"/>
      <c r="AB180" s="139"/>
      <c r="AC180" s="140"/>
      <c r="AD180" s="140"/>
      <c r="AE180" s="137" t="s">
        <v>153</v>
      </c>
      <c r="AF180" s="73"/>
      <c r="AG180" s="138" t="s">
        <v>108</v>
      </c>
      <c r="AH180" s="138" t="s">
        <v>109</v>
      </c>
      <c r="AI180" s="138" t="s">
        <v>110</v>
      </c>
      <c r="AJ180" s="138" t="s">
        <v>111</v>
      </c>
      <c r="AK180" s="138" t="s">
        <v>112</v>
      </c>
      <c r="AL180" s="138" t="s">
        <v>113</v>
      </c>
      <c r="AM180" s="139"/>
      <c r="AN180" s="139"/>
      <c r="AO180" s="139"/>
      <c r="AS180" s="71"/>
    </row>
    <row r="181">
      <c r="A181" s="77"/>
      <c r="B181" s="78"/>
      <c r="C181" s="109">
        <v>2.0</v>
      </c>
      <c r="D181" s="109" t="s">
        <v>139</v>
      </c>
      <c r="E181" s="109" t="s">
        <v>154</v>
      </c>
      <c r="F181" s="141">
        <v>169.57</v>
      </c>
      <c r="G181" s="142">
        <v>80.0</v>
      </c>
      <c r="H181" s="143" t="s">
        <v>120</v>
      </c>
      <c r="I181" s="144"/>
      <c r="J181" s="144"/>
      <c r="K181" s="144"/>
      <c r="L181" s="140"/>
      <c r="M181" s="140"/>
      <c r="N181" s="140"/>
      <c r="O181" s="140"/>
      <c r="P181" s="140"/>
      <c r="Q181" s="140"/>
      <c r="R181" s="77"/>
      <c r="S181" s="78"/>
      <c r="T181" s="109">
        <v>2.0</v>
      </c>
      <c r="U181" s="109" t="s">
        <v>139</v>
      </c>
      <c r="V181" s="109" t="s">
        <v>155</v>
      </c>
      <c r="W181" s="141">
        <v>169.57</v>
      </c>
      <c r="X181" s="142">
        <v>140.0</v>
      </c>
      <c r="Y181" s="143" t="s">
        <v>150</v>
      </c>
      <c r="Z181" s="144"/>
      <c r="AA181" s="144"/>
      <c r="AB181" s="144"/>
      <c r="AC181" s="140"/>
      <c r="AD181" s="140"/>
      <c r="AE181" s="77"/>
      <c r="AF181" s="78"/>
      <c r="AG181" s="145">
        <v>2.0</v>
      </c>
      <c r="AH181" s="146" t="s">
        <v>139</v>
      </c>
      <c r="AI181" s="147" t="s">
        <v>156</v>
      </c>
      <c r="AJ181" s="141">
        <v>169.57</v>
      </c>
      <c r="AK181" s="142">
        <v>80.0</v>
      </c>
      <c r="AL181" s="143" t="s">
        <v>150</v>
      </c>
      <c r="AM181" s="144"/>
      <c r="AN181" s="144"/>
      <c r="AO181" s="144"/>
      <c r="AS181" s="71"/>
    </row>
    <row r="182">
      <c r="A182" s="148" t="s">
        <v>121</v>
      </c>
      <c r="B182" s="148" t="s">
        <v>122</v>
      </c>
      <c r="C182" s="148" t="s">
        <v>123</v>
      </c>
      <c r="D182" s="148" t="s">
        <v>124</v>
      </c>
      <c r="E182" s="148" t="s">
        <v>125</v>
      </c>
      <c r="F182" s="148" t="s">
        <v>35</v>
      </c>
      <c r="G182" s="148" t="s">
        <v>126</v>
      </c>
      <c r="H182" s="148" t="s">
        <v>127</v>
      </c>
      <c r="I182" s="148" t="s">
        <v>128</v>
      </c>
      <c r="J182" s="148" t="s">
        <v>129</v>
      </c>
      <c r="K182" s="148" t="s">
        <v>130</v>
      </c>
      <c r="L182" s="140"/>
      <c r="M182" s="140"/>
      <c r="N182" s="140"/>
      <c r="O182" s="140"/>
      <c r="P182" s="140"/>
      <c r="Q182" s="140"/>
      <c r="R182" s="148" t="s">
        <v>121</v>
      </c>
      <c r="S182" s="148" t="s">
        <v>122</v>
      </c>
      <c r="T182" s="148" t="s">
        <v>123</v>
      </c>
      <c r="U182" s="148" t="s">
        <v>124</v>
      </c>
      <c r="V182" s="148" t="s">
        <v>125</v>
      </c>
      <c r="W182" s="148" t="s">
        <v>35</v>
      </c>
      <c r="X182" s="148" t="s">
        <v>126</v>
      </c>
      <c r="Y182" s="148" t="s">
        <v>127</v>
      </c>
      <c r="Z182" s="148" t="s">
        <v>128</v>
      </c>
      <c r="AA182" s="148" t="s">
        <v>129</v>
      </c>
      <c r="AB182" s="148" t="s">
        <v>130</v>
      </c>
      <c r="AC182" s="140"/>
      <c r="AD182" s="140"/>
      <c r="AE182" s="148" t="s">
        <v>121</v>
      </c>
      <c r="AF182" s="148" t="s">
        <v>122</v>
      </c>
      <c r="AG182" s="148" t="s">
        <v>123</v>
      </c>
      <c r="AH182" s="148" t="s">
        <v>124</v>
      </c>
      <c r="AI182" s="148" t="s">
        <v>125</v>
      </c>
      <c r="AJ182" s="148" t="s">
        <v>35</v>
      </c>
      <c r="AK182" s="148" t="s">
        <v>126</v>
      </c>
      <c r="AL182" s="148" t="s">
        <v>127</v>
      </c>
      <c r="AM182" s="148" t="s">
        <v>128</v>
      </c>
      <c r="AN182" s="148" t="s">
        <v>129</v>
      </c>
      <c r="AO182" s="148" t="s">
        <v>130</v>
      </c>
      <c r="AS182" s="71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140"/>
      <c r="M183" s="140"/>
      <c r="N183" s="140"/>
      <c r="O183" s="140"/>
      <c r="P183" s="140"/>
      <c r="Q183" s="140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140"/>
      <c r="AD183" s="140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S183" s="71"/>
    </row>
    <row r="184">
      <c r="A184" s="149">
        <v>10.0</v>
      </c>
      <c r="B184" s="109">
        <v>0.0</v>
      </c>
      <c r="C184" s="150">
        <f t="shared" ref="C184:C189" si="35">B184/A184</f>
        <v>0</v>
      </c>
      <c r="D184" s="151">
        <v>0.0</v>
      </c>
      <c r="E184" s="109">
        <v>0.0</v>
      </c>
      <c r="F184" s="109">
        <f>1-0.875</f>
        <v>0.125</v>
      </c>
      <c r="G184" s="109">
        <v>0.0</v>
      </c>
      <c r="H184" s="151">
        <v>0.0</v>
      </c>
      <c r="I184" s="109">
        <v>0.0</v>
      </c>
      <c r="J184" s="152">
        <f t="shared" ref="J184:J189" si="36">SQRT((I184*I184)/A184)</f>
        <v>0</v>
      </c>
      <c r="K184" s="153">
        <v>0.0</v>
      </c>
      <c r="L184" s="140"/>
      <c r="M184" s="140"/>
      <c r="N184" s="140"/>
      <c r="O184" s="140"/>
      <c r="P184" s="140"/>
      <c r="Q184" s="140"/>
      <c r="R184" s="149">
        <v>10.0</v>
      </c>
      <c r="S184" s="109">
        <v>1.0</v>
      </c>
      <c r="T184" s="150">
        <f t="shared" ref="T184:T189" si="37">S184/R184</f>
        <v>0.1</v>
      </c>
      <c r="U184" s="151">
        <v>0.0</v>
      </c>
      <c r="V184" s="109">
        <v>0.063</v>
      </c>
      <c r="W184" s="109">
        <f>1-0.5556</f>
        <v>0.4444</v>
      </c>
      <c r="X184" s="109">
        <v>22.935</v>
      </c>
      <c r="Y184" s="151">
        <v>0.0</v>
      </c>
      <c r="Z184" s="109">
        <v>51.285</v>
      </c>
      <c r="AA184" s="152">
        <f t="shared" ref="AA184:AA189" si="38">SQRT((Z184*Z184)/R184)</f>
        <v>16.21774098</v>
      </c>
      <c r="AB184" s="153">
        <f t="shared" ref="AB184:AB189" si="39">AA184/X184</f>
        <v>0.7071175487</v>
      </c>
      <c r="AC184" s="140"/>
      <c r="AD184" s="140"/>
      <c r="AE184" s="149">
        <v>10.0</v>
      </c>
      <c r="AF184" s="109">
        <v>0.0</v>
      </c>
      <c r="AG184" s="150">
        <f t="shared" ref="AG184:AG189" si="40">AF184/AE184</f>
        <v>0</v>
      </c>
      <c r="AH184" s="151">
        <v>0.0</v>
      </c>
      <c r="AI184" s="109">
        <v>0.211</v>
      </c>
      <c r="AJ184" s="109">
        <f>1- 0.7</f>
        <v>0.3</v>
      </c>
      <c r="AK184" s="109">
        <v>40.076</v>
      </c>
      <c r="AL184" s="151">
        <v>0.0</v>
      </c>
      <c r="AM184" s="109">
        <v>49.931</v>
      </c>
      <c r="AN184" s="152">
        <f t="shared" ref="AN184:AN189" si="41">SQRT((AM184*AM184)/AE184)</f>
        <v>15.78956858</v>
      </c>
      <c r="AO184" s="153">
        <f t="shared" ref="AO184:AO189" si="42">AN184/AK184</f>
        <v>0.3939906324</v>
      </c>
      <c r="AS184" s="71"/>
    </row>
    <row r="185">
      <c r="A185" s="149">
        <v>20.0</v>
      </c>
      <c r="B185" s="109">
        <v>1.0</v>
      </c>
      <c r="C185" s="150">
        <f t="shared" si="35"/>
        <v>0.05</v>
      </c>
      <c r="D185" s="151">
        <v>0.0</v>
      </c>
      <c r="E185" s="109">
        <v>0.033</v>
      </c>
      <c r="F185" s="109">
        <f>1-0.8</f>
        <v>0.2</v>
      </c>
      <c r="G185" s="109">
        <v>15.764</v>
      </c>
      <c r="H185" s="151">
        <v>0.0</v>
      </c>
      <c r="I185" s="109">
        <v>47.292</v>
      </c>
      <c r="J185" s="152">
        <f t="shared" si="36"/>
        <v>10.57481268</v>
      </c>
      <c r="K185" s="153">
        <f t="shared" ref="K185:K189" si="43">J185/G185</f>
        <v>0.6708203932</v>
      </c>
      <c r="L185" s="140"/>
      <c r="M185" s="140"/>
      <c r="N185" s="140"/>
      <c r="O185" s="140"/>
      <c r="P185" s="140"/>
      <c r="Q185" s="140"/>
      <c r="R185" s="149">
        <v>20.0</v>
      </c>
      <c r="S185" s="109">
        <v>1.0</v>
      </c>
      <c r="T185" s="150">
        <f t="shared" si="37"/>
        <v>0.05</v>
      </c>
      <c r="U185" s="154">
        <f t="shared" ref="U185:U189" si="44">T185/T184-1</f>
        <v>-0.5</v>
      </c>
      <c r="V185" s="109">
        <v>0.264</v>
      </c>
      <c r="W185" s="109">
        <f>1-0.35</f>
        <v>0.65</v>
      </c>
      <c r="X185" s="109">
        <v>78.48</v>
      </c>
      <c r="Y185" s="154">
        <f t="shared" ref="Y185:Y189" si="45">X185/X184-1</f>
        <v>2.421844343</v>
      </c>
      <c r="Z185" s="109">
        <v>103.221</v>
      </c>
      <c r="AA185" s="152">
        <f t="shared" si="38"/>
        <v>23.08091727</v>
      </c>
      <c r="AB185" s="153">
        <f t="shared" si="39"/>
        <v>0.2940993536</v>
      </c>
      <c r="AC185" s="140"/>
      <c r="AD185" s="140"/>
      <c r="AE185" s="149">
        <v>20.0</v>
      </c>
      <c r="AF185" s="109">
        <v>0.0</v>
      </c>
      <c r="AG185" s="150">
        <f t="shared" si="40"/>
        <v>0</v>
      </c>
      <c r="AH185" s="153">
        <v>0.0</v>
      </c>
      <c r="AI185" s="109">
        <v>0.109</v>
      </c>
      <c r="AJ185" s="109">
        <f>1-0.75</f>
        <v>0.25</v>
      </c>
      <c r="AK185" s="109">
        <v>21.859</v>
      </c>
      <c r="AL185" s="154">
        <f t="shared" ref="AL185:AL189" si="46">AK185/AK184-1</f>
        <v>-0.4545613335</v>
      </c>
      <c r="AM185" s="109">
        <v>41.044</v>
      </c>
      <c r="AN185" s="152">
        <f t="shared" si="41"/>
        <v>9.177717407</v>
      </c>
      <c r="AO185" s="153">
        <f t="shared" si="42"/>
        <v>0.4198598933</v>
      </c>
      <c r="AS185" s="71"/>
    </row>
    <row r="186">
      <c r="A186" s="149">
        <v>50.0</v>
      </c>
      <c r="B186" s="109">
        <v>7.0</v>
      </c>
      <c r="C186" s="150">
        <f t="shared" si="35"/>
        <v>0.14</v>
      </c>
      <c r="D186" s="154">
        <f t="shared" ref="D186:D189" si="47">C186/C185-1</f>
        <v>1.8</v>
      </c>
      <c r="E186" s="109">
        <v>0.023</v>
      </c>
      <c r="F186" s="109">
        <f>1-0.68</f>
        <v>0.32</v>
      </c>
      <c r="G186" s="109">
        <v>11.042</v>
      </c>
      <c r="H186" s="154">
        <f t="shared" ref="H186:H189" si="48">G186/G185-1</f>
        <v>-0.2995432631</v>
      </c>
      <c r="I186" s="109">
        <v>26.434</v>
      </c>
      <c r="J186" s="152">
        <f t="shared" si="36"/>
        <v>3.738332131</v>
      </c>
      <c r="K186" s="153">
        <f t="shared" si="43"/>
        <v>0.3385557083</v>
      </c>
      <c r="L186" s="140"/>
      <c r="M186" s="140"/>
      <c r="N186" s="140"/>
      <c r="O186" s="140"/>
      <c r="P186" s="140"/>
      <c r="Q186" s="140"/>
      <c r="R186" s="149">
        <v>50.0</v>
      </c>
      <c r="S186" s="109">
        <v>4.0</v>
      </c>
      <c r="T186" s="150">
        <f t="shared" si="37"/>
        <v>0.08</v>
      </c>
      <c r="U186" s="154">
        <f t="shared" si="44"/>
        <v>0.6</v>
      </c>
      <c r="V186" s="109">
        <v>0.112</v>
      </c>
      <c r="W186" s="109">
        <f>1-0.6809</f>
        <v>0.3191</v>
      </c>
      <c r="X186" s="109">
        <v>37.176</v>
      </c>
      <c r="Y186" s="154">
        <f t="shared" si="45"/>
        <v>-0.5262996942</v>
      </c>
      <c r="Z186" s="109">
        <v>78.941</v>
      </c>
      <c r="AA186" s="152">
        <f t="shared" si="38"/>
        <v>11.16394328</v>
      </c>
      <c r="AB186" s="153">
        <f t="shared" si="39"/>
        <v>0.300299744</v>
      </c>
      <c r="AC186" s="140"/>
      <c r="AD186" s="140"/>
      <c r="AE186" s="149">
        <v>50.0</v>
      </c>
      <c r="AF186" s="109">
        <v>3.0</v>
      </c>
      <c r="AG186" s="150">
        <f t="shared" si="40"/>
        <v>0.06</v>
      </c>
      <c r="AH186" s="153">
        <v>0.0</v>
      </c>
      <c r="AI186" s="109">
        <v>0.052</v>
      </c>
      <c r="AJ186" s="109">
        <f>1-0.7447</f>
        <v>0.2553</v>
      </c>
      <c r="AK186" s="109">
        <v>12.479</v>
      </c>
      <c r="AL186" s="154">
        <f t="shared" si="46"/>
        <v>-0.4291138661</v>
      </c>
      <c r="AM186" s="109">
        <v>28.549</v>
      </c>
      <c r="AN186" s="152">
        <f t="shared" si="41"/>
        <v>4.037438299</v>
      </c>
      <c r="AO186" s="153">
        <f t="shared" si="42"/>
        <v>0.3235386088</v>
      </c>
      <c r="AS186" s="71"/>
    </row>
    <row r="187">
      <c r="A187" s="149">
        <v>100.0</v>
      </c>
      <c r="B187" s="109">
        <v>8.0</v>
      </c>
      <c r="C187" s="150">
        <f t="shared" si="35"/>
        <v>0.08</v>
      </c>
      <c r="D187" s="154">
        <f t="shared" si="47"/>
        <v>-0.4285714286</v>
      </c>
      <c r="E187" s="109">
        <v>0.045</v>
      </c>
      <c r="F187" s="109">
        <f>1- 0.6989</f>
        <v>0.3011</v>
      </c>
      <c r="G187" s="109">
        <v>14.268</v>
      </c>
      <c r="H187" s="154">
        <f t="shared" si="48"/>
        <v>0.2921572179</v>
      </c>
      <c r="I187" s="109">
        <v>39.107</v>
      </c>
      <c r="J187" s="152">
        <f t="shared" si="36"/>
        <v>3.9107</v>
      </c>
      <c r="K187" s="153">
        <f t="shared" si="43"/>
        <v>0.2740888702</v>
      </c>
      <c r="L187" s="140"/>
      <c r="M187" s="140"/>
      <c r="N187" s="140"/>
      <c r="O187" s="140"/>
      <c r="P187" s="140"/>
      <c r="Q187" s="140"/>
      <c r="R187" s="149">
        <v>100.0</v>
      </c>
      <c r="S187" s="109">
        <v>6.0</v>
      </c>
      <c r="T187" s="150">
        <f t="shared" si="37"/>
        <v>0.06</v>
      </c>
      <c r="U187" s="154">
        <f t="shared" si="44"/>
        <v>-0.25</v>
      </c>
      <c r="V187" s="109">
        <v>0.028</v>
      </c>
      <c r="W187" s="109">
        <f>1-0.734</f>
        <v>0.266</v>
      </c>
      <c r="X187" s="109">
        <v>8.918</v>
      </c>
      <c r="Y187" s="154">
        <f t="shared" si="45"/>
        <v>-0.7601140521</v>
      </c>
      <c r="Z187" s="109">
        <v>28.955</v>
      </c>
      <c r="AA187" s="152">
        <f t="shared" si="38"/>
        <v>2.8955</v>
      </c>
      <c r="AB187" s="153">
        <f t="shared" si="39"/>
        <v>0.3246804216</v>
      </c>
      <c r="AC187" s="140"/>
      <c r="AD187" s="140"/>
      <c r="AE187" s="149">
        <v>100.0</v>
      </c>
      <c r="AF187" s="109">
        <v>7.0</v>
      </c>
      <c r="AG187" s="150">
        <f t="shared" si="40"/>
        <v>0.07</v>
      </c>
      <c r="AH187" s="154">
        <f t="shared" ref="AH187:AH189" si="49">AG187/AG186-1</f>
        <v>0.1666666667</v>
      </c>
      <c r="AI187" s="109">
        <v>0.054</v>
      </c>
      <c r="AJ187" s="109">
        <f>1-0.7021</f>
        <v>0.2979</v>
      </c>
      <c r="AK187" s="109">
        <v>13.687</v>
      </c>
      <c r="AL187" s="154">
        <f t="shared" si="46"/>
        <v>0.09680262842</v>
      </c>
      <c r="AM187" s="109">
        <v>35.718</v>
      </c>
      <c r="AN187" s="152">
        <f t="shared" si="41"/>
        <v>3.5718</v>
      </c>
      <c r="AO187" s="153">
        <f t="shared" si="42"/>
        <v>0.2609629576</v>
      </c>
      <c r="AS187" s="71"/>
    </row>
    <row r="188">
      <c r="A188" s="149">
        <v>200.0</v>
      </c>
      <c r="B188" s="109">
        <v>19.0</v>
      </c>
      <c r="C188" s="150">
        <f t="shared" si="35"/>
        <v>0.095</v>
      </c>
      <c r="D188" s="154">
        <f t="shared" si="47"/>
        <v>0.1875</v>
      </c>
      <c r="E188" s="109">
        <v>0.042</v>
      </c>
      <c r="F188" s="109">
        <f>1-0.6409</f>
        <v>0.3591</v>
      </c>
      <c r="G188" s="109">
        <v>14.252</v>
      </c>
      <c r="H188" s="154">
        <f t="shared" si="48"/>
        <v>-0.001121390524</v>
      </c>
      <c r="I188" s="109">
        <v>31.917</v>
      </c>
      <c r="J188" s="152">
        <f t="shared" si="36"/>
        <v>2.256872714</v>
      </c>
      <c r="K188" s="153">
        <f t="shared" si="43"/>
        <v>0.1583548073</v>
      </c>
      <c r="L188" s="140"/>
      <c r="M188" s="140"/>
      <c r="N188" s="140"/>
      <c r="O188" s="140"/>
      <c r="P188" s="140"/>
      <c r="Q188" s="140"/>
      <c r="R188" s="149">
        <v>200.0</v>
      </c>
      <c r="S188" s="109">
        <v>18.0</v>
      </c>
      <c r="T188" s="150">
        <f t="shared" si="37"/>
        <v>0.09</v>
      </c>
      <c r="U188" s="154">
        <f t="shared" si="44"/>
        <v>0.5</v>
      </c>
      <c r="V188" s="109">
        <v>0.02</v>
      </c>
      <c r="W188" s="109">
        <f>1-0.7074</f>
        <v>0.2926</v>
      </c>
      <c r="X188" s="109">
        <v>6.307</v>
      </c>
      <c r="Y188" s="154">
        <f t="shared" si="45"/>
        <v>-0.2927786499</v>
      </c>
      <c r="Z188" s="109">
        <v>22.915</v>
      </c>
      <c r="AA188" s="152">
        <f t="shared" si="38"/>
        <v>1.620335189</v>
      </c>
      <c r="AB188" s="153">
        <f t="shared" si="39"/>
        <v>0.2569106055</v>
      </c>
      <c r="AC188" s="140"/>
      <c r="AD188" s="140"/>
      <c r="AE188" s="149">
        <v>200.0</v>
      </c>
      <c r="AF188" s="109">
        <v>14.0</v>
      </c>
      <c r="AG188" s="150">
        <f t="shared" si="40"/>
        <v>0.07</v>
      </c>
      <c r="AH188" s="154">
        <f t="shared" si="49"/>
        <v>0</v>
      </c>
      <c r="AI188" s="109">
        <v>0.046</v>
      </c>
      <c r="AJ188" s="109">
        <f>1-0.7204</f>
        <v>0.2796</v>
      </c>
      <c r="AK188" s="109">
        <v>11.479</v>
      </c>
      <c r="AL188" s="154">
        <f t="shared" si="46"/>
        <v>-0.1613209615</v>
      </c>
      <c r="AM188" s="109">
        <v>31.119</v>
      </c>
      <c r="AN188" s="152">
        <f t="shared" si="41"/>
        <v>2.200445592</v>
      </c>
      <c r="AO188" s="153">
        <f t="shared" si="42"/>
        <v>0.1916931433</v>
      </c>
      <c r="AS188" s="71"/>
    </row>
    <row r="189">
      <c r="A189" s="149">
        <v>300.0</v>
      </c>
      <c r="B189" s="109">
        <v>32.0</v>
      </c>
      <c r="C189" s="150">
        <f t="shared" si="35"/>
        <v>0.1066666667</v>
      </c>
      <c r="D189" s="154">
        <f t="shared" si="47"/>
        <v>0.1228070175</v>
      </c>
      <c r="E189" s="109">
        <v>0.055</v>
      </c>
      <c r="F189" s="109">
        <f>1-0.653</f>
        <v>0.347</v>
      </c>
      <c r="G189" s="109">
        <v>20.057</v>
      </c>
      <c r="H189" s="154">
        <f t="shared" si="48"/>
        <v>0.4073112546</v>
      </c>
      <c r="I189" s="109">
        <v>45.432</v>
      </c>
      <c r="J189" s="152">
        <f t="shared" si="36"/>
        <v>2.623017743</v>
      </c>
      <c r="K189" s="153">
        <f t="shared" si="43"/>
        <v>0.1307781694</v>
      </c>
      <c r="L189" s="140"/>
      <c r="M189" s="140"/>
      <c r="N189" s="140"/>
      <c r="O189" s="140"/>
      <c r="P189" s="140"/>
      <c r="Q189" s="140"/>
      <c r="R189" s="149">
        <v>300.0</v>
      </c>
      <c r="S189" s="109">
        <v>21.0</v>
      </c>
      <c r="T189" s="150">
        <f t="shared" si="37"/>
        <v>0.07</v>
      </c>
      <c r="U189" s="154">
        <f t="shared" si="44"/>
        <v>-0.2222222222</v>
      </c>
      <c r="V189" s="109">
        <v>0.058</v>
      </c>
      <c r="W189" s="109">
        <f>1-0.7011</f>
        <v>0.2989</v>
      </c>
      <c r="X189" s="109">
        <v>18.709</v>
      </c>
      <c r="Y189" s="154">
        <f t="shared" si="45"/>
        <v>1.966386555</v>
      </c>
      <c r="Z189" s="109">
        <v>73.482</v>
      </c>
      <c r="AA189" s="152">
        <f t="shared" si="38"/>
        <v>4.242485248</v>
      </c>
      <c r="AB189" s="153">
        <f t="shared" si="39"/>
        <v>0.2267617322</v>
      </c>
      <c r="AC189" s="140"/>
      <c r="AD189" s="140"/>
      <c r="AE189" s="149">
        <v>300.0</v>
      </c>
      <c r="AF189" s="109">
        <v>27.0</v>
      </c>
      <c r="AG189" s="150">
        <f t="shared" si="40"/>
        <v>0.09</v>
      </c>
      <c r="AH189" s="154">
        <f t="shared" si="49"/>
        <v>0.2857142857</v>
      </c>
      <c r="AI189" s="109">
        <v>0.045</v>
      </c>
      <c r="AJ189" s="109">
        <f>1-0.707</f>
        <v>0.293</v>
      </c>
      <c r="AK189" s="109">
        <v>11.332</v>
      </c>
      <c r="AL189" s="154">
        <f t="shared" si="46"/>
        <v>-0.01280599355</v>
      </c>
      <c r="AM189" s="109">
        <v>30.535</v>
      </c>
      <c r="AN189" s="152">
        <f t="shared" si="41"/>
        <v>1.762939047</v>
      </c>
      <c r="AO189" s="153">
        <f t="shared" si="42"/>
        <v>0.1555717479</v>
      </c>
      <c r="AS189" s="71"/>
    </row>
    <row r="190">
      <c r="A190" s="155"/>
      <c r="B190" s="156"/>
      <c r="C190" s="156"/>
      <c r="D190" s="157"/>
      <c r="E190" s="156"/>
      <c r="F190" s="156"/>
      <c r="G190" s="156"/>
      <c r="H190" s="157"/>
      <c r="I190" s="156"/>
      <c r="J190" s="158"/>
      <c r="K190" s="157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59"/>
      <c r="AL190" s="140"/>
      <c r="AM190" s="140"/>
      <c r="AN190" s="140"/>
      <c r="AO190" s="140"/>
      <c r="AS190" s="71"/>
    </row>
    <row r="191">
      <c r="A191" s="16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61"/>
      <c r="S191" s="162"/>
      <c r="T191" s="162"/>
      <c r="U191" s="162"/>
      <c r="V191" s="162"/>
      <c r="W191" s="162"/>
      <c r="X191" s="162"/>
      <c r="Y191" s="162"/>
      <c r="Z191" s="163"/>
      <c r="AA191" s="162"/>
      <c r="AB191" s="162"/>
      <c r="AC191" s="140"/>
      <c r="AD191" s="140"/>
      <c r="AE191" s="140"/>
      <c r="AF191" s="162"/>
      <c r="AG191" s="162"/>
      <c r="AH191" s="162"/>
      <c r="AI191" s="162"/>
      <c r="AJ191" s="162"/>
      <c r="AK191" s="164"/>
      <c r="AL191" s="162"/>
      <c r="AM191" s="162"/>
      <c r="AN191" s="162"/>
      <c r="AO191" s="162"/>
      <c r="AS191" s="71"/>
    </row>
    <row r="192">
      <c r="A192" s="16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61"/>
      <c r="S192" s="163"/>
      <c r="T192" s="162"/>
      <c r="U192" s="162"/>
      <c r="V192" s="162"/>
      <c r="W192" s="162"/>
      <c r="X192" s="162"/>
      <c r="Y192" s="162"/>
      <c r="Z192" s="162"/>
      <c r="AA192" s="162"/>
      <c r="AB192" s="162"/>
      <c r="AC192" s="140"/>
      <c r="AD192" s="140"/>
      <c r="AE192" s="140"/>
      <c r="AF192" s="163"/>
      <c r="AG192" s="162"/>
      <c r="AH192" s="162"/>
      <c r="AI192" s="162"/>
      <c r="AJ192" s="162"/>
      <c r="AK192" s="164"/>
      <c r="AL192" s="162"/>
      <c r="AM192" s="162"/>
      <c r="AN192" s="162"/>
      <c r="AO192" s="162"/>
      <c r="AS192" s="71"/>
    </row>
    <row r="193">
      <c r="A193" s="16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59"/>
      <c r="AL193" s="140"/>
      <c r="AM193" s="140"/>
      <c r="AN193" s="140"/>
      <c r="AO193" s="140"/>
      <c r="AS193" s="71"/>
    </row>
    <row r="194">
      <c r="A194" s="165" t="s">
        <v>157</v>
      </c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3" t="s">
        <v>157</v>
      </c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3" t="s">
        <v>157</v>
      </c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S194" s="71"/>
    </row>
    <row r="195">
      <c r="A195" s="137" t="s">
        <v>114</v>
      </c>
      <c r="B195" s="73"/>
      <c r="C195" s="138" t="s">
        <v>108</v>
      </c>
      <c r="D195" s="138" t="s">
        <v>109</v>
      </c>
      <c r="E195" s="138" t="s">
        <v>110</v>
      </c>
      <c r="F195" s="138" t="s">
        <v>111</v>
      </c>
      <c r="G195" s="138" t="s">
        <v>112</v>
      </c>
      <c r="H195" s="138" t="s">
        <v>113</v>
      </c>
      <c r="I195" s="139"/>
      <c r="J195" s="139"/>
      <c r="K195" s="139"/>
      <c r="L195" s="140"/>
      <c r="M195" s="140"/>
      <c r="N195" s="140"/>
      <c r="O195" s="140"/>
      <c r="P195" s="140"/>
      <c r="Q195" s="140"/>
      <c r="R195" s="137" t="s">
        <v>131</v>
      </c>
      <c r="S195" s="73"/>
      <c r="T195" s="138" t="s">
        <v>108</v>
      </c>
      <c r="U195" s="138" t="s">
        <v>109</v>
      </c>
      <c r="V195" s="138" t="s">
        <v>110</v>
      </c>
      <c r="W195" s="138" t="s">
        <v>111</v>
      </c>
      <c r="X195" s="138" t="s">
        <v>112</v>
      </c>
      <c r="Y195" s="138" t="s">
        <v>113</v>
      </c>
      <c r="Z195" s="139"/>
      <c r="AA195" s="139"/>
      <c r="AB195" s="139"/>
      <c r="AC195" s="140"/>
      <c r="AD195" s="140"/>
      <c r="AE195" s="137" t="s">
        <v>158</v>
      </c>
      <c r="AF195" s="73"/>
      <c r="AG195" s="138" t="s">
        <v>108</v>
      </c>
      <c r="AH195" s="138" t="s">
        <v>109</v>
      </c>
      <c r="AI195" s="138" t="s">
        <v>110</v>
      </c>
      <c r="AJ195" s="138" t="s">
        <v>111</v>
      </c>
      <c r="AK195" s="138" t="s">
        <v>112</v>
      </c>
      <c r="AL195" s="138" t="s">
        <v>113</v>
      </c>
      <c r="AM195" s="139"/>
      <c r="AN195" s="139"/>
      <c r="AO195" s="139"/>
      <c r="AS195" s="71"/>
    </row>
    <row r="196">
      <c r="A196" s="77"/>
      <c r="B196" s="78"/>
      <c r="C196" s="109">
        <v>2.0</v>
      </c>
      <c r="D196" s="109" t="s">
        <v>139</v>
      </c>
      <c r="E196" s="109" t="s">
        <v>154</v>
      </c>
      <c r="F196" s="166">
        <v>169.57</v>
      </c>
      <c r="G196" s="109">
        <v>180.0</v>
      </c>
      <c r="H196" s="167" t="s">
        <v>120</v>
      </c>
      <c r="I196" s="144"/>
      <c r="J196" s="144"/>
      <c r="K196" s="144"/>
      <c r="L196" s="140"/>
      <c r="M196" s="140"/>
      <c r="N196" s="140"/>
      <c r="O196" s="140"/>
      <c r="P196" s="140"/>
      <c r="Q196" s="140"/>
      <c r="R196" s="77"/>
      <c r="S196" s="78"/>
      <c r="T196" s="109">
        <v>2.0</v>
      </c>
      <c r="U196" s="109" t="s">
        <v>139</v>
      </c>
      <c r="V196" s="109" t="s">
        <v>155</v>
      </c>
      <c r="W196" s="141">
        <v>169.57</v>
      </c>
      <c r="X196" s="109">
        <v>210.0</v>
      </c>
      <c r="Y196" s="143" t="s">
        <v>150</v>
      </c>
      <c r="Z196" s="144"/>
      <c r="AA196" s="144"/>
      <c r="AB196" s="144"/>
      <c r="AC196" s="140"/>
      <c r="AD196" s="140"/>
      <c r="AE196" s="77"/>
      <c r="AF196" s="78"/>
      <c r="AG196" s="109">
        <v>2.0</v>
      </c>
      <c r="AH196" s="109" t="s">
        <v>139</v>
      </c>
      <c r="AI196" s="147" t="s">
        <v>156</v>
      </c>
      <c r="AJ196" s="141">
        <v>169.57</v>
      </c>
      <c r="AK196" s="142">
        <v>100.0</v>
      </c>
      <c r="AL196" s="143" t="s">
        <v>150</v>
      </c>
      <c r="AM196" s="144"/>
      <c r="AN196" s="144"/>
      <c r="AO196" s="144"/>
      <c r="AS196" s="71"/>
    </row>
    <row r="197">
      <c r="A197" s="148" t="s">
        <v>121</v>
      </c>
      <c r="B197" s="148" t="s">
        <v>122</v>
      </c>
      <c r="C197" s="148" t="s">
        <v>123</v>
      </c>
      <c r="D197" s="148" t="s">
        <v>124</v>
      </c>
      <c r="E197" s="148" t="s">
        <v>125</v>
      </c>
      <c r="F197" s="148" t="s">
        <v>35</v>
      </c>
      <c r="G197" s="148" t="s">
        <v>126</v>
      </c>
      <c r="H197" s="148" t="s">
        <v>127</v>
      </c>
      <c r="I197" s="148" t="s">
        <v>128</v>
      </c>
      <c r="J197" s="148" t="s">
        <v>129</v>
      </c>
      <c r="K197" s="148" t="s">
        <v>130</v>
      </c>
      <c r="L197" s="140"/>
      <c r="M197" s="140"/>
      <c r="N197" s="140"/>
      <c r="O197" s="140"/>
      <c r="P197" s="140"/>
      <c r="Q197" s="140"/>
      <c r="R197" s="148" t="s">
        <v>121</v>
      </c>
      <c r="S197" s="148" t="s">
        <v>122</v>
      </c>
      <c r="T197" s="148" t="s">
        <v>123</v>
      </c>
      <c r="U197" s="148" t="s">
        <v>124</v>
      </c>
      <c r="V197" s="148" t="s">
        <v>125</v>
      </c>
      <c r="W197" s="148" t="s">
        <v>35</v>
      </c>
      <c r="X197" s="148" t="s">
        <v>126</v>
      </c>
      <c r="Y197" s="148" t="s">
        <v>127</v>
      </c>
      <c r="Z197" s="148" t="s">
        <v>128</v>
      </c>
      <c r="AA197" s="148" t="s">
        <v>129</v>
      </c>
      <c r="AB197" s="148" t="s">
        <v>130</v>
      </c>
      <c r="AC197" s="140"/>
      <c r="AD197" s="140"/>
      <c r="AE197" s="148" t="s">
        <v>121</v>
      </c>
      <c r="AF197" s="148" t="s">
        <v>122</v>
      </c>
      <c r="AG197" s="148" t="s">
        <v>123</v>
      </c>
      <c r="AH197" s="148" t="s">
        <v>124</v>
      </c>
      <c r="AI197" s="148" t="s">
        <v>125</v>
      </c>
      <c r="AJ197" s="148" t="s">
        <v>35</v>
      </c>
      <c r="AK197" s="148" t="s">
        <v>126</v>
      </c>
      <c r="AL197" s="148" t="s">
        <v>127</v>
      </c>
      <c r="AM197" s="148" t="s">
        <v>128</v>
      </c>
      <c r="AN197" s="148" t="s">
        <v>129</v>
      </c>
      <c r="AO197" s="148" t="s">
        <v>130</v>
      </c>
      <c r="AS197" s="71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140"/>
      <c r="M198" s="140"/>
      <c r="N198" s="140"/>
      <c r="O198" s="140"/>
      <c r="P198" s="140"/>
      <c r="Q198" s="140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140"/>
      <c r="AD198" s="140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S198" s="71"/>
    </row>
    <row r="199">
      <c r="A199" s="149">
        <v>10.0</v>
      </c>
      <c r="B199" s="109">
        <v>1.0</v>
      </c>
      <c r="C199" s="150">
        <f t="shared" ref="C199:C204" si="50">B199/A199</f>
        <v>0.1</v>
      </c>
      <c r="D199" s="151">
        <v>0.0</v>
      </c>
      <c r="E199" s="109">
        <v>0.015</v>
      </c>
      <c r="F199" s="109">
        <f>1-0.4</f>
        <v>0.6</v>
      </c>
      <c r="G199" s="109">
        <v>8.765</v>
      </c>
      <c r="H199" s="151">
        <v>0.0</v>
      </c>
      <c r="I199" s="109">
        <v>17.53</v>
      </c>
      <c r="J199" s="152">
        <f t="shared" ref="J199:J204" si="51">SQRT((I199*I199)/A199)</f>
        <v>5.543472738</v>
      </c>
      <c r="K199" s="153">
        <f t="shared" ref="K199:K204" si="52">J199/G199</f>
        <v>0.632455532</v>
      </c>
      <c r="L199" s="140"/>
      <c r="M199" s="140"/>
      <c r="N199" s="140"/>
      <c r="O199" s="140"/>
      <c r="P199" s="140"/>
      <c r="Q199" s="140"/>
      <c r="R199" s="149">
        <v>10.0</v>
      </c>
      <c r="S199" s="109">
        <v>0.0</v>
      </c>
      <c r="T199" s="150">
        <f t="shared" ref="T199:T204" si="53">S199/R199</f>
        <v>0</v>
      </c>
      <c r="U199" s="151">
        <v>0.0</v>
      </c>
      <c r="V199" s="109">
        <v>0.347</v>
      </c>
      <c r="W199" s="109">
        <f>1-0.4</f>
        <v>0.6</v>
      </c>
      <c r="X199" s="109">
        <v>105.152</v>
      </c>
      <c r="Y199" s="151">
        <v>0.0</v>
      </c>
      <c r="Z199" s="109">
        <v>99.995</v>
      </c>
      <c r="AA199" s="152">
        <f t="shared" ref="AA199:AA204" si="54">SQRT((Z199*Z199)/R199)</f>
        <v>31.62119546</v>
      </c>
      <c r="AB199" s="153">
        <f t="shared" ref="AB199:AB204" si="55">AA199/X199</f>
        <v>0.3007189161</v>
      </c>
      <c r="AC199" s="140"/>
      <c r="AD199" s="140"/>
      <c r="AE199" s="149">
        <v>10.0</v>
      </c>
      <c r="AF199" s="109">
        <v>0.0</v>
      </c>
      <c r="AG199" s="150">
        <f t="shared" ref="AG199:AG204" si="56">AF199/AE199</f>
        <v>0</v>
      </c>
      <c r="AH199" s="153">
        <v>0.0</v>
      </c>
      <c r="AI199" s="109">
        <v>0.091</v>
      </c>
      <c r="AJ199" s="109">
        <f>1-0.1818</f>
        <v>0.8182</v>
      </c>
      <c r="AK199" s="109">
        <v>25.179</v>
      </c>
      <c r="AL199" s="153">
        <v>0.0</v>
      </c>
      <c r="AM199" s="109">
        <v>23.155</v>
      </c>
      <c r="AN199" s="152">
        <f t="shared" ref="AN199:AN204" si="57">SQRT((AM199*AM199)/AE199)</f>
        <v>7.322253922</v>
      </c>
      <c r="AO199" s="153">
        <f t="shared" ref="AO199:AO204" si="58">AN199/AK199</f>
        <v>0.2908079718</v>
      </c>
      <c r="AS199" s="71"/>
    </row>
    <row r="200">
      <c r="A200" s="149">
        <v>20.0</v>
      </c>
      <c r="B200" s="109">
        <v>3.0</v>
      </c>
      <c r="C200" s="150">
        <f t="shared" si="50"/>
        <v>0.15</v>
      </c>
      <c r="D200" s="154">
        <f t="shared" ref="D200:D204" si="59">C200/C199-1</f>
        <v>0.5</v>
      </c>
      <c r="E200" s="109">
        <v>0.058</v>
      </c>
      <c r="F200" s="109">
        <f>1-0.4706</f>
        <v>0.5294</v>
      </c>
      <c r="G200" s="109">
        <v>25.452</v>
      </c>
      <c r="H200" s="154">
        <f t="shared" ref="H200:H204" si="60">G200/G199-1</f>
        <v>1.903822019</v>
      </c>
      <c r="I200" s="109">
        <v>56.468</v>
      </c>
      <c r="J200" s="152">
        <f t="shared" si="51"/>
        <v>12.62662866</v>
      </c>
      <c r="K200" s="153">
        <f t="shared" si="52"/>
        <v>0.4960957353</v>
      </c>
      <c r="L200" s="140"/>
      <c r="M200" s="140"/>
      <c r="N200" s="140"/>
      <c r="O200" s="140"/>
      <c r="P200" s="140"/>
      <c r="Q200" s="140"/>
      <c r="R200" s="149">
        <v>20.0</v>
      </c>
      <c r="S200" s="109">
        <v>1.0</v>
      </c>
      <c r="T200" s="150">
        <f t="shared" si="53"/>
        <v>0.05</v>
      </c>
      <c r="U200" s="151">
        <v>0.0</v>
      </c>
      <c r="V200" s="109">
        <v>0.192</v>
      </c>
      <c r="W200" s="109">
        <f>1-0.5</f>
        <v>0.5</v>
      </c>
      <c r="X200" s="109">
        <v>53.088</v>
      </c>
      <c r="Y200" s="154">
        <f t="shared" ref="Y200:Y204" si="61">X200/X199-1</f>
        <v>-0.4951308582</v>
      </c>
      <c r="Z200" s="109">
        <v>83.27</v>
      </c>
      <c r="AA200" s="152">
        <f t="shared" si="54"/>
        <v>18.61973805</v>
      </c>
      <c r="AB200" s="153">
        <f t="shared" si="55"/>
        <v>0.3507334623</v>
      </c>
      <c r="AC200" s="140"/>
      <c r="AD200" s="140"/>
      <c r="AE200" s="149">
        <v>20.0</v>
      </c>
      <c r="AF200" s="109">
        <v>2.0</v>
      </c>
      <c r="AG200" s="150">
        <f t="shared" si="56"/>
        <v>0.1</v>
      </c>
      <c r="AH200" s="151">
        <v>0.0</v>
      </c>
      <c r="AI200" s="109">
        <v>0.356</v>
      </c>
      <c r="AJ200" s="109">
        <f>1-0.1579</f>
        <v>0.8421</v>
      </c>
      <c r="AK200" s="109">
        <v>76.981</v>
      </c>
      <c r="AL200" s="154">
        <f t="shared" ref="AL200:AL204" si="62">AK200/AK199-1</f>
        <v>2.057349378</v>
      </c>
      <c r="AM200" s="109">
        <v>103.438</v>
      </c>
      <c r="AN200" s="152">
        <f t="shared" si="57"/>
        <v>23.12943995</v>
      </c>
      <c r="AO200" s="153">
        <f t="shared" si="58"/>
        <v>0.3004564756</v>
      </c>
      <c r="AS200" s="71"/>
    </row>
    <row r="201">
      <c r="A201" s="149">
        <v>50.0</v>
      </c>
      <c r="B201" s="109">
        <v>8.0</v>
      </c>
      <c r="C201" s="150">
        <f t="shared" si="50"/>
        <v>0.16</v>
      </c>
      <c r="D201" s="154">
        <f t="shared" si="59"/>
        <v>0.06666666667</v>
      </c>
      <c r="E201" s="109">
        <v>0.05</v>
      </c>
      <c r="F201" s="109">
        <f>1-0.5</f>
        <v>0.5</v>
      </c>
      <c r="G201" s="109">
        <v>18.752</v>
      </c>
      <c r="H201" s="154">
        <f t="shared" si="60"/>
        <v>-0.2632406098</v>
      </c>
      <c r="I201" s="109">
        <v>43.334</v>
      </c>
      <c r="J201" s="152">
        <f t="shared" si="51"/>
        <v>6.128353051</v>
      </c>
      <c r="K201" s="153">
        <f t="shared" si="52"/>
        <v>0.3268106363</v>
      </c>
      <c r="L201" s="140"/>
      <c r="M201" s="140"/>
      <c r="N201" s="140"/>
      <c r="O201" s="140"/>
      <c r="P201" s="140"/>
      <c r="Q201" s="140"/>
      <c r="R201" s="149">
        <v>50.0</v>
      </c>
      <c r="S201" s="109">
        <v>9.0</v>
      </c>
      <c r="T201" s="150">
        <f t="shared" si="53"/>
        <v>0.18</v>
      </c>
      <c r="U201" s="154">
        <f t="shared" ref="U201:U204" si="63">T201/T200-1</f>
        <v>2.6</v>
      </c>
      <c r="V201" s="109">
        <v>0.083</v>
      </c>
      <c r="W201" s="109">
        <f>1-0.5238</f>
        <v>0.4762</v>
      </c>
      <c r="X201" s="109">
        <v>32.788</v>
      </c>
      <c r="Y201" s="154">
        <f t="shared" si="61"/>
        <v>-0.3823839662</v>
      </c>
      <c r="Z201" s="109">
        <v>67.965</v>
      </c>
      <c r="AA201" s="152">
        <f t="shared" si="54"/>
        <v>9.611702477</v>
      </c>
      <c r="AB201" s="153">
        <f t="shared" si="55"/>
        <v>0.2931469585</v>
      </c>
      <c r="AC201" s="140"/>
      <c r="AD201" s="140"/>
      <c r="AE201" s="149">
        <v>50.0</v>
      </c>
      <c r="AF201" s="109">
        <v>7.0</v>
      </c>
      <c r="AG201" s="150">
        <f t="shared" si="56"/>
        <v>0.14</v>
      </c>
      <c r="AH201" s="154">
        <f t="shared" ref="AH201:AH204" si="64">AG201/AG200-1</f>
        <v>0.4</v>
      </c>
      <c r="AI201" s="109">
        <v>0.333</v>
      </c>
      <c r="AJ201" s="109">
        <f>1-0.2955</f>
        <v>0.7045</v>
      </c>
      <c r="AK201" s="109">
        <v>81.241</v>
      </c>
      <c r="AL201" s="154">
        <f t="shared" si="62"/>
        <v>0.05533833024</v>
      </c>
      <c r="AM201" s="109">
        <v>105.507</v>
      </c>
      <c r="AN201" s="152">
        <f t="shared" si="57"/>
        <v>14.92094303</v>
      </c>
      <c r="AO201" s="153">
        <f t="shared" si="58"/>
        <v>0.18366272</v>
      </c>
      <c r="AS201" s="71"/>
    </row>
    <row r="202">
      <c r="A202" s="149">
        <v>100.0</v>
      </c>
      <c r="B202" s="109">
        <v>21.0</v>
      </c>
      <c r="C202" s="150">
        <f t="shared" si="50"/>
        <v>0.21</v>
      </c>
      <c r="D202" s="154">
        <f t="shared" si="59"/>
        <v>0.3125</v>
      </c>
      <c r="E202" s="109">
        <v>0.357</v>
      </c>
      <c r="F202" s="109">
        <f>1-0.4074</f>
        <v>0.5926</v>
      </c>
      <c r="G202" s="109">
        <v>112.67</v>
      </c>
      <c r="H202" s="154">
        <f t="shared" si="60"/>
        <v>5.008425768</v>
      </c>
      <c r="I202" s="109">
        <v>159.845</v>
      </c>
      <c r="J202" s="152">
        <f t="shared" si="51"/>
        <v>15.9845</v>
      </c>
      <c r="K202" s="153">
        <f t="shared" si="52"/>
        <v>0.141870063</v>
      </c>
      <c r="L202" s="140"/>
      <c r="M202" s="140"/>
      <c r="N202" s="140"/>
      <c r="O202" s="140"/>
      <c r="P202" s="140"/>
      <c r="Q202" s="140"/>
      <c r="R202" s="149">
        <v>100.0</v>
      </c>
      <c r="S202" s="109">
        <v>18.0</v>
      </c>
      <c r="T202" s="150">
        <f t="shared" si="53"/>
        <v>0.18</v>
      </c>
      <c r="U202" s="154">
        <f t="shared" si="63"/>
        <v>0</v>
      </c>
      <c r="V202" s="109">
        <v>0.284</v>
      </c>
      <c r="W202" s="109">
        <f>1-0.4217</f>
        <v>0.5783</v>
      </c>
      <c r="X202" s="109">
        <v>106.567</v>
      </c>
      <c r="Y202" s="154">
        <f t="shared" si="61"/>
        <v>2.250182994</v>
      </c>
      <c r="Z202" s="109">
        <v>159.631</v>
      </c>
      <c r="AA202" s="152">
        <f t="shared" si="54"/>
        <v>15.9631</v>
      </c>
      <c r="AB202" s="153">
        <f t="shared" si="55"/>
        <v>0.1497940263</v>
      </c>
      <c r="AC202" s="140"/>
      <c r="AD202" s="140"/>
      <c r="AE202" s="149">
        <v>100.0</v>
      </c>
      <c r="AF202" s="109">
        <v>14.0</v>
      </c>
      <c r="AG202" s="150">
        <f t="shared" si="56"/>
        <v>0.14</v>
      </c>
      <c r="AH202" s="154">
        <f t="shared" si="64"/>
        <v>0</v>
      </c>
      <c r="AI202" s="109">
        <v>0.321</v>
      </c>
      <c r="AJ202" s="109">
        <f>1-0.2759</f>
        <v>0.7241</v>
      </c>
      <c r="AK202" s="109">
        <v>78.79</v>
      </c>
      <c r="AL202" s="154">
        <f t="shared" si="62"/>
        <v>-0.0301694957</v>
      </c>
      <c r="AM202" s="109">
        <v>94.18</v>
      </c>
      <c r="AN202" s="152">
        <f t="shared" si="57"/>
        <v>9.418</v>
      </c>
      <c r="AO202" s="153">
        <f t="shared" si="58"/>
        <v>0.1195329357</v>
      </c>
      <c r="AS202" s="71"/>
    </row>
    <row r="203">
      <c r="A203" s="149">
        <v>200.0</v>
      </c>
      <c r="B203" s="109">
        <v>45.0</v>
      </c>
      <c r="C203" s="150">
        <f t="shared" si="50"/>
        <v>0.225</v>
      </c>
      <c r="D203" s="154">
        <f t="shared" si="59"/>
        <v>0.07142857143</v>
      </c>
      <c r="E203" s="109">
        <v>0.297</v>
      </c>
      <c r="F203" s="109">
        <f>1-0.3822</f>
        <v>0.6178</v>
      </c>
      <c r="G203" s="109">
        <v>104.438</v>
      </c>
      <c r="H203" s="154">
        <f t="shared" si="60"/>
        <v>-0.07306292713</v>
      </c>
      <c r="I203" s="109">
        <v>150.129</v>
      </c>
      <c r="J203" s="152">
        <f t="shared" si="51"/>
        <v>10.6157234</v>
      </c>
      <c r="K203" s="153">
        <f t="shared" si="52"/>
        <v>0.1016461766</v>
      </c>
      <c r="L203" s="140"/>
      <c r="M203" s="140"/>
      <c r="N203" s="140"/>
      <c r="O203" s="140"/>
      <c r="P203" s="140"/>
      <c r="Q203" s="140"/>
      <c r="R203" s="149">
        <v>200.0</v>
      </c>
      <c r="S203" s="109">
        <v>30.0</v>
      </c>
      <c r="T203" s="150">
        <f t="shared" si="53"/>
        <v>0.15</v>
      </c>
      <c r="U203" s="154">
        <f t="shared" si="63"/>
        <v>-0.1666666667</v>
      </c>
      <c r="V203" s="109">
        <v>0.221</v>
      </c>
      <c r="W203" s="109">
        <f>1-0.4035</f>
        <v>0.5965</v>
      </c>
      <c r="X203" s="109">
        <v>73.918</v>
      </c>
      <c r="Y203" s="154">
        <f t="shared" si="61"/>
        <v>-0.3063706401</v>
      </c>
      <c r="Z203" s="109">
        <v>125.976</v>
      </c>
      <c r="AA203" s="152">
        <f t="shared" si="54"/>
        <v>8.907848387</v>
      </c>
      <c r="AB203" s="153">
        <f t="shared" si="55"/>
        <v>0.1205098675</v>
      </c>
      <c r="AC203" s="140"/>
      <c r="AD203" s="140"/>
      <c r="AE203" s="149">
        <v>200.0</v>
      </c>
      <c r="AF203" s="109">
        <v>37.0</v>
      </c>
      <c r="AG203" s="150">
        <f t="shared" si="56"/>
        <v>0.185</v>
      </c>
      <c r="AH203" s="154">
        <f t="shared" si="64"/>
        <v>0.3214285714</v>
      </c>
      <c r="AI203" s="109">
        <v>0.255</v>
      </c>
      <c r="AJ203" s="109">
        <f>1-0.362</f>
        <v>0.638</v>
      </c>
      <c r="AK203" s="109">
        <v>68.215</v>
      </c>
      <c r="AL203" s="154">
        <f t="shared" si="62"/>
        <v>-0.1342175403</v>
      </c>
      <c r="AM203" s="109">
        <v>105.292</v>
      </c>
      <c r="AN203" s="152">
        <f t="shared" si="57"/>
        <v>7.44526872</v>
      </c>
      <c r="AO203" s="153">
        <f t="shared" si="58"/>
        <v>0.1091441577</v>
      </c>
      <c r="AS203" s="71"/>
    </row>
    <row r="204">
      <c r="A204" s="149">
        <v>300.0</v>
      </c>
      <c r="B204" s="109">
        <v>63.0</v>
      </c>
      <c r="C204" s="150">
        <f t="shared" si="50"/>
        <v>0.21</v>
      </c>
      <c r="D204" s="154">
        <f t="shared" si="59"/>
        <v>-0.06666666667</v>
      </c>
      <c r="E204" s="109">
        <v>0.296</v>
      </c>
      <c r="F204" s="109">
        <f>1-0.3755</f>
        <v>0.6245</v>
      </c>
      <c r="G204" s="109">
        <v>101.2</v>
      </c>
      <c r="H204" s="154">
        <f t="shared" si="60"/>
        <v>-0.03100404067</v>
      </c>
      <c r="I204" s="109">
        <v>145.491</v>
      </c>
      <c r="J204" s="152">
        <f t="shared" si="51"/>
        <v>8.399926801</v>
      </c>
      <c r="K204" s="153">
        <f t="shared" si="52"/>
        <v>0.08300322926</v>
      </c>
      <c r="L204" s="140"/>
      <c r="M204" s="140"/>
      <c r="N204" s="140"/>
      <c r="O204" s="140"/>
      <c r="P204" s="140"/>
      <c r="Q204" s="140"/>
      <c r="R204" s="149">
        <v>300.0</v>
      </c>
      <c r="S204" s="109">
        <v>44.0</v>
      </c>
      <c r="T204" s="150">
        <f t="shared" si="53"/>
        <v>0.1466666667</v>
      </c>
      <c r="U204" s="154">
        <f t="shared" si="63"/>
        <v>-0.02222222222</v>
      </c>
      <c r="V204" s="109">
        <v>0.27</v>
      </c>
      <c r="W204" s="109">
        <f>1-0.3619</f>
        <v>0.6381</v>
      </c>
      <c r="X204" s="109">
        <v>90.11</v>
      </c>
      <c r="Y204" s="154">
        <f t="shared" si="61"/>
        <v>0.2190535458</v>
      </c>
      <c r="Z204" s="109">
        <v>133.926</v>
      </c>
      <c r="AA204" s="152">
        <f t="shared" si="54"/>
        <v>7.732221215</v>
      </c>
      <c r="AB204" s="153">
        <f t="shared" si="55"/>
        <v>0.08580869177</v>
      </c>
      <c r="AC204" s="140"/>
      <c r="AD204" s="140"/>
      <c r="AE204" s="149">
        <v>300.0</v>
      </c>
      <c r="AF204" s="109">
        <v>63.0</v>
      </c>
      <c r="AG204" s="150">
        <f t="shared" si="56"/>
        <v>0.21</v>
      </c>
      <c r="AH204" s="154">
        <f t="shared" si="64"/>
        <v>0.1351351351</v>
      </c>
      <c r="AI204" s="109">
        <v>0.291</v>
      </c>
      <c r="AJ204" s="109">
        <f>1-0.3568</f>
        <v>0.6432</v>
      </c>
      <c r="AK204" s="109">
        <v>75.909</v>
      </c>
      <c r="AL204" s="154">
        <f t="shared" si="62"/>
        <v>0.112790442</v>
      </c>
      <c r="AM204" s="109">
        <v>114.164</v>
      </c>
      <c r="AN204" s="152">
        <f t="shared" si="57"/>
        <v>6.591261613</v>
      </c>
      <c r="AO204" s="153">
        <f t="shared" si="58"/>
        <v>0.0868310953</v>
      </c>
      <c r="AS204" s="71"/>
    </row>
    <row r="205">
      <c r="A205" s="16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S205" s="71"/>
    </row>
    <row r="206">
      <c r="A206" s="16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S206" s="71"/>
    </row>
    <row r="207">
      <c r="A207" s="161"/>
      <c r="B207" s="162"/>
      <c r="C207" s="162"/>
      <c r="D207" s="162"/>
      <c r="E207" s="162"/>
      <c r="F207" s="162"/>
      <c r="G207" s="162"/>
      <c r="H207" s="162"/>
      <c r="I207" s="163"/>
      <c r="J207" s="162"/>
      <c r="K207" s="162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62"/>
      <c r="AG207" s="162"/>
      <c r="AH207" s="162"/>
      <c r="AI207" s="162"/>
      <c r="AJ207" s="162"/>
      <c r="AK207" s="164"/>
      <c r="AL207" s="162"/>
      <c r="AM207" s="163"/>
      <c r="AN207" s="162"/>
      <c r="AO207" s="162"/>
      <c r="AS207" s="71"/>
    </row>
    <row r="208">
      <c r="A208" s="161"/>
      <c r="B208" s="163"/>
      <c r="C208" s="162"/>
      <c r="D208" s="162"/>
      <c r="E208" s="162"/>
      <c r="F208" s="162"/>
      <c r="G208" s="162"/>
      <c r="H208" s="162"/>
      <c r="I208" s="162"/>
      <c r="J208" s="162"/>
      <c r="K208" s="162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63"/>
      <c r="AG208" s="162"/>
      <c r="AH208" s="162"/>
      <c r="AI208" s="162"/>
      <c r="AJ208" s="162"/>
      <c r="AK208" s="164"/>
      <c r="AL208" s="162"/>
      <c r="AM208" s="162"/>
      <c r="AN208" s="162"/>
      <c r="AO208" s="162"/>
      <c r="AS208" s="71"/>
    </row>
    <row r="209">
      <c r="A209" s="16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S209" s="71"/>
    </row>
    <row r="210">
      <c r="A210" s="165" t="s">
        <v>159</v>
      </c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3" t="s">
        <v>159</v>
      </c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3" t="s">
        <v>159</v>
      </c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S210" s="71"/>
    </row>
    <row r="211">
      <c r="A211" s="137" t="s">
        <v>160</v>
      </c>
      <c r="B211" s="73"/>
      <c r="C211" s="138" t="s">
        <v>108</v>
      </c>
      <c r="D211" s="138" t="s">
        <v>109</v>
      </c>
      <c r="E211" s="138" t="s">
        <v>110</v>
      </c>
      <c r="F211" s="138" t="s">
        <v>111</v>
      </c>
      <c r="G211" s="138" t="s">
        <v>112</v>
      </c>
      <c r="H211" s="138" t="s">
        <v>113</v>
      </c>
      <c r="I211" s="139"/>
      <c r="J211" s="139"/>
      <c r="K211" s="139"/>
      <c r="L211" s="140"/>
      <c r="M211" s="140"/>
      <c r="N211" s="140"/>
      <c r="O211" s="140"/>
      <c r="P211" s="140"/>
      <c r="Q211" s="140"/>
      <c r="R211" s="137" t="s">
        <v>132</v>
      </c>
      <c r="S211" s="73"/>
      <c r="T211" s="138" t="s">
        <v>108</v>
      </c>
      <c r="U211" s="138" t="s">
        <v>109</v>
      </c>
      <c r="V211" s="138" t="s">
        <v>110</v>
      </c>
      <c r="W211" s="138" t="s">
        <v>111</v>
      </c>
      <c r="X211" s="138" t="s">
        <v>112</v>
      </c>
      <c r="Y211" s="138" t="s">
        <v>113</v>
      </c>
      <c r="Z211" s="139"/>
      <c r="AA211" s="139"/>
      <c r="AB211" s="139"/>
      <c r="AC211" s="140"/>
      <c r="AD211" s="140"/>
      <c r="AE211" s="137" t="s">
        <v>161</v>
      </c>
      <c r="AF211" s="73"/>
      <c r="AG211" s="138" t="s">
        <v>108</v>
      </c>
      <c r="AH211" s="138" t="s">
        <v>109</v>
      </c>
      <c r="AI211" s="138" t="s">
        <v>110</v>
      </c>
      <c r="AJ211" s="138" t="s">
        <v>111</v>
      </c>
      <c r="AK211" s="138" t="s">
        <v>112</v>
      </c>
      <c r="AL211" s="138" t="s">
        <v>113</v>
      </c>
      <c r="AM211" s="139"/>
      <c r="AN211" s="139"/>
      <c r="AO211" s="139"/>
      <c r="AS211" s="71"/>
    </row>
    <row r="212">
      <c r="A212" s="77"/>
      <c r="B212" s="78"/>
      <c r="C212" s="109">
        <v>2.0</v>
      </c>
      <c r="D212" s="109" t="s">
        <v>139</v>
      </c>
      <c r="E212" s="109" t="s">
        <v>154</v>
      </c>
      <c r="F212" s="141">
        <v>169.57</v>
      </c>
      <c r="G212" s="142">
        <v>450.0</v>
      </c>
      <c r="H212" s="143" t="s">
        <v>120</v>
      </c>
      <c r="I212" s="144"/>
      <c r="J212" s="144"/>
      <c r="K212" s="144"/>
      <c r="L212" s="140"/>
      <c r="M212" s="140"/>
      <c r="N212" s="140"/>
      <c r="O212" s="140"/>
      <c r="P212" s="140"/>
      <c r="Q212" s="140"/>
      <c r="R212" s="77"/>
      <c r="S212" s="78"/>
      <c r="T212" s="109">
        <v>2.0</v>
      </c>
      <c r="U212" s="109" t="s">
        <v>139</v>
      </c>
      <c r="V212" s="109" t="s">
        <v>155</v>
      </c>
      <c r="W212" s="141">
        <v>169.57</v>
      </c>
      <c r="X212" s="142">
        <v>380.0</v>
      </c>
      <c r="Y212" s="143" t="s">
        <v>150</v>
      </c>
      <c r="Z212" s="144"/>
      <c r="AA212" s="144"/>
      <c r="AB212" s="144"/>
      <c r="AC212" s="140"/>
      <c r="AD212" s="140"/>
      <c r="AE212" s="77"/>
      <c r="AF212" s="78"/>
      <c r="AG212" s="109">
        <v>2.0</v>
      </c>
      <c r="AH212" s="109" t="s">
        <v>139</v>
      </c>
      <c r="AI212" s="147" t="s">
        <v>156</v>
      </c>
      <c r="AJ212" s="141">
        <v>169.57</v>
      </c>
      <c r="AK212" s="142">
        <v>310.0</v>
      </c>
      <c r="AL212" s="143" t="s">
        <v>150</v>
      </c>
      <c r="AM212" s="144"/>
      <c r="AN212" s="144"/>
      <c r="AO212" s="144"/>
      <c r="AS212" s="71"/>
    </row>
    <row r="213">
      <c r="A213" s="148" t="s">
        <v>121</v>
      </c>
      <c r="B213" s="148" t="s">
        <v>122</v>
      </c>
      <c r="C213" s="148" t="s">
        <v>123</v>
      </c>
      <c r="D213" s="148" t="s">
        <v>124</v>
      </c>
      <c r="E213" s="148" t="s">
        <v>125</v>
      </c>
      <c r="F213" s="148" t="s">
        <v>35</v>
      </c>
      <c r="G213" s="148" t="s">
        <v>126</v>
      </c>
      <c r="H213" s="148" t="s">
        <v>127</v>
      </c>
      <c r="I213" s="148" t="s">
        <v>128</v>
      </c>
      <c r="J213" s="148" t="s">
        <v>129</v>
      </c>
      <c r="K213" s="148" t="s">
        <v>130</v>
      </c>
      <c r="L213" s="140"/>
      <c r="M213" s="140"/>
      <c r="N213" s="140"/>
      <c r="O213" s="140"/>
      <c r="P213" s="140"/>
      <c r="Q213" s="140"/>
      <c r="R213" s="148" t="s">
        <v>121</v>
      </c>
      <c r="S213" s="148" t="s">
        <v>122</v>
      </c>
      <c r="T213" s="148" t="s">
        <v>123</v>
      </c>
      <c r="U213" s="148" t="s">
        <v>124</v>
      </c>
      <c r="V213" s="148" t="s">
        <v>125</v>
      </c>
      <c r="W213" s="148" t="s">
        <v>35</v>
      </c>
      <c r="X213" s="148" t="s">
        <v>126</v>
      </c>
      <c r="Y213" s="148" t="s">
        <v>127</v>
      </c>
      <c r="Z213" s="148" t="s">
        <v>128</v>
      </c>
      <c r="AA213" s="148" t="s">
        <v>129</v>
      </c>
      <c r="AB213" s="148" t="s">
        <v>130</v>
      </c>
      <c r="AC213" s="140"/>
      <c r="AD213" s="140"/>
      <c r="AE213" s="148" t="s">
        <v>121</v>
      </c>
      <c r="AF213" s="148" t="s">
        <v>122</v>
      </c>
      <c r="AG213" s="148" t="s">
        <v>123</v>
      </c>
      <c r="AH213" s="148" t="s">
        <v>124</v>
      </c>
      <c r="AI213" s="148" t="s">
        <v>125</v>
      </c>
      <c r="AJ213" s="148" t="s">
        <v>35</v>
      </c>
      <c r="AK213" s="148" t="s">
        <v>126</v>
      </c>
      <c r="AL213" s="148" t="s">
        <v>127</v>
      </c>
      <c r="AM213" s="148" t="s">
        <v>128</v>
      </c>
      <c r="AN213" s="148" t="s">
        <v>129</v>
      </c>
      <c r="AO213" s="148" t="s">
        <v>130</v>
      </c>
      <c r="AS213" s="71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140"/>
      <c r="M214" s="140"/>
      <c r="N214" s="140"/>
      <c r="O214" s="140"/>
      <c r="P214" s="140"/>
      <c r="Q214" s="140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140"/>
      <c r="AD214" s="140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S214" s="71"/>
    </row>
    <row r="215">
      <c r="A215" s="149">
        <v>10.0</v>
      </c>
      <c r="B215" s="109">
        <v>2.0</v>
      </c>
      <c r="C215" s="150">
        <f t="shared" ref="C215:C220" si="65">B215/A215</f>
        <v>0.2</v>
      </c>
      <c r="D215" s="151">
        <v>0.0</v>
      </c>
      <c r="E215" s="109">
        <v>0.085</v>
      </c>
      <c r="F215" s="109">
        <f>1-0.4</f>
        <v>0.6</v>
      </c>
      <c r="G215" s="109">
        <v>34.45</v>
      </c>
      <c r="H215" s="151">
        <v>0.0</v>
      </c>
      <c r="I215" s="109">
        <v>17.701</v>
      </c>
      <c r="J215" s="152">
        <f t="shared" ref="J215:J220" si="66">SQRT((I215*I215)/A215)</f>
        <v>5.597547686</v>
      </c>
      <c r="K215" s="153">
        <f t="shared" ref="K215:K220" si="67">J215/G215</f>
        <v>0.162483242</v>
      </c>
      <c r="L215" s="140"/>
      <c r="M215" s="140"/>
      <c r="N215" s="140"/>
      <c r="O215" s="140"/>
      <c r="P215" s="140"/>
      <c r="Q215" s="140"/>
      <c r="R215" s="149">
        <v>10.0</v>
      </c>
      <c r="S215" s="109">
        <v>4.0</v>
      </c>
      <c r="T215" s="150">
        <f t="shared" ref="T215:T220" si="68">S215/R215</f>
        <v>0.4</v>
      </c>
      <c r="U215" s="151">
        <v>0.0</v>
      </c>
      <c r="V215" s="109">
        <v>0.856</v>
      </c>
      <c r="W215" s="109">
        <f>1-0.2222</f>
        <v>0.7778</v>
      </c>
      <c r="X215" s="109">
        <v>338.045</v>
      </c>
      <c r="Y215" s="151">
        <v>0.0</v>
      </c>
      <c r="Z215" s="109">
        <v>347.65</v>
      </c>
      <c r="AA215" s="152">
        <f t="shared" ref="AA215:AA220" si="69">SQRT((Z215*Z215)/R215)</f>
        <v>109.9365829</v>
      </c>
      <c r="AB215" s="153">
        <f t="shared" ref="AB215:AB220" si="70">AA215/X215</f>
        <v>0.3252128647</v>
      </c>
      <c r="AC215" s="140"/>
      <c r="AD215" s="140"/>
      <c r="AE215" s="149">
        <v>10.0</v>
      </c>
      <c r="AF215" s="109">
        <v>4.0</v>
      </c>
      <c r="AG215" s="150">
        <f t="shared" ref="AG215:AG220" si="71">AF215/AE215</f>
        <v>0.4</v>
      </c>
      <c r="AH215" s="151">
        <v>0.0</v>
      </c>
      <c r="AI215" s="109">
        <v>0.295</v>
      </c>
      <c r="AJ215" s="109">
        <f>1-0.1</f>
        <v>0.9</v>
      </c>
      <c r="AK215" s="109">
        <v>89.15</v>
      </c>
      <c r="AL215" s="153">
        <v>0.0</v>
      </c>
      <c r="AM215" s="109">
        <v>59.153</v>
      </c>
      <c r="AN215" s="152">
        <f t="shared" ref="AN215:AN220" si="72">SQRT((AM215*AM215)/AE215)</f>
        <v>18.70582104</v>
      </c>
      <c r="AO215" s="153">
        <f t="shared" ref="AO215:AO220" si="73">AN215/AK215</f>
        <v>0.2098241284</v>
      </c>
      <c r="AS215" s="71"/>
    </row>
    <row r="216">
      <c r="A216" s="149">
        <v>20.0</v>
      </c>
      <c r="B216" s="109">
        <v>7.0</v>
      </c>
      <c r="C216" s="150">
        <f t="shared" si="65"/>
        <v>0.35</v>
      </c>
      <c r="D216" s="154">
        <f t="shared" ref="D216:D220" si="74">C216/C215-1</f>
        <v>0.75</v>
      </c>
      <c r="E216" s="109">
        <v>0.887</v>
      </c>
      <c r="F216" s="109">
        <f>1-0.2</f>
        <v>0.8</v>
      </c>
      <c r="G216" s="109">
        <v>509.781</v>
      </c>
      <c r="H216" s="154">
        <f t="shared" ref="H216:H220" si="75">G216/G215-1</f>
        <v>13.79770682</v>
      </c>
      <c r="I216" s="109">
        <v>381.387</v>
      </c>
      <c r="J216" s="152">
        <f t="shared" si="66"/>
        <v>85.28072577</v>
      </c>
      <c r="K216" s="153">
        <f t="shared" si="67"/>
        <v>0.1672889452</v>
      </c>
      <c r="L216" s="140"/>
      <c r="M216" s="140"/>
      <c r="N216" s="140"/>
      <c r="O216" s="140"/>
      <c r="P216" s="140"/>
      <c r="Q216" s="140"/>
      <c r="R216" s="149">
        <v>20.0</v>
      </c>
      <c r="S216" s="109">
        <v>10.0</v>
      </c>
      <c r="T216" s="150">
        <f t="shared" si="68"/>
        <v>0.5</v>
      </c>
      <c r="U216" s="154">
        <f t="shared" ref="U216:U220" si="76">T216/T215-1</f>
        <v>0.25</v>
      </c>
      <c r="V216" s="109">
        <v>1.259</v>
      </c>
      <c r="W216" s="109">
        <f>1-0.1538</f>
        <v>0.8462</v>
      </c>
      <c r="X216" s="109">
        <v>614.01</v>
      </c>
      <c r="Y216" s="154">
        <f t="shared" ref="Y216:Y220" si="77">X216/X215-1</f>
        <v>0.8163558106</v>
      </c>
      <c r="Z216" s="109">
        <v>458.863</v>
      </c>
      <c r="AA216" s="152">
        <f t="shared" si="69"/>
        <v>102.604886</v>
      </c>
      <c r="AB216" s="153">
        <f t="shared" si="70"/>
        <v>0.1671062133</v>
      </c>
      <c r="AC216" s="140"/>
      <c r="AD216" s="140"/>
      <c r="AE216" s="149">
        <v>20.0</v>
      </c>
      <c r="AF216" s="109">
        <v>7.0</v>
      </c>
      <c r="AG216" s="150">
        <f t="shared" si="71"/>
        <v>0.35</v>
      </c>
      <c r="AH216" s="154">
        <f t="shared" ref="AH216:AH220" si="78">AG216/AG215-1</f>
        <v>-0.125</v>
      </c>
      <c r="AI216" s="109">
        <v>0.653</v>
      </c>
      <c r="AJ216" s="109">
        <f>1-0.714</f>
        <v>0.286</v>
      </c>
      <c r="AK216" s="109">
        <v>217.91</v>
      </c>
      <c r="AL216" s="154">
        <f t="shared" ref="AL216:AL220" si="79">AK216/AK215-1</f>
        <v>1.444307347</v>
      </c>
      <c r="AM216" s="109">
        <v>285.084</v>
      </c>
      <c r="AN216" s="152">
        <f t="shared" si="72"/>
        <v>63.74672033</v>
      </c>
      <c r="AO216" s="153">
        <f t="shared" si="73"/>
        <v>0.2925369204</v>
      </c>
      <c r="AS216" s="71"/>
    </row>
    <row r="217">
      <c r="A217" s="149">
        <v>50.0</v>
      </c>
      <c r="B217" s="109">
        <v>20.0</v>
      </c>
      <c r="C217" s="150">
        <f t="shared" si="65"/>
        <v>0.4</v>
      </c>
      <c r="D217" s="154">
        <f t="shared" si="74"/>
        <v>0.1428571429</v>
      </c>
      <c r="E217" s="109">
        <v>0.85</v>
      </c>
      <c r="F217" s="109">
        <f>1-0.1875</f>
        <v>0.8125</v>
      </c>
      <c r="G217" s="109">
        <v>387.216</v>
      </c>
      <c r="H217" s="154">
        <f t="shared" si="75"/>
        <v>-0.2404267715</v>
      </c>
      <c r="I217" s="109">
        <v>324.985</v>
      </c>
      <c r="J217" s="152">
        <f t="shared" si="66"/>
        <v>45.95981946</v>
      </c>
      <c r="K217" s="153">
        <f t="shared" si="67"/>
        <v>0.1186929762</v>
      </c>
      <c r="L217" s="140"/>
      <c r="M217" s="140"/>
      <c r="N217" s="140"/>
      <c r="O217" s="140"/>
      <c r="P217" s="140"/>
      <c r="Q217" s="140"/>
      <c r="R217" s="149">
        <v>50.0</v>
      </c>
      <c r="S217" s="109">
        <v>22.0</v>
      </c>
      <c r="T217" s="150">
        <f t="shared" si="68"/>
        <v>0.44</v>
      </c>
      <c r="U217" s="154">
        <f t="shared" si="76"/>
        <v>-0.12</v>
      </c>
      <c r="V217" s="109">
        <v>1.215</v>
      </c>
      <c r="W217" s="109">
        <f>1-0.1034</f>
        <v>0.8966</v>
      </c>
      <c r="X217" s="109">
        <v>701.745</v>
      </c>
      <c r="Y217" s="154">
        <f t="shared" si="77"/>
        <v>0.1428885523</v>
      </c>
      <c r="Z217" s="109">
        <v>614.474</v>
      </c>
      <c r="AA217" s="152">
        <f t="shared" si="69"/>
        <v>86.89974645</v>
      </c>
      <c r="AB217" s="153">
        <f t="shared" si="70"/>
        <v>0.123833795</v>
      </c>
      <c r="AC217" s="140"/>
      <c r="AD217" s="140"/>
      <c r="AE217" s="149">
        <v>50.0</v>
      </c>
      <c r="AF217" s="109">
        <v>19.0</v>
      </c>
      <c r="AG217" s="150">
        <f t="shared" si="71"/>
        <v>0.38</v>
      </c>
      <c r="AH217" s="154">
        <f t="shared" si="78"/>
        <v>0.08571428571</v>
      </c>
      <c r="AI217" s="109">
        <v>0.921</v>
      </c>
      <c r="AJ217" s="109">
        <f>1-0.625</f>
        <v>0.375</v>
      </c>
      <c r="AK217" s="109">
        <v>301.102</v>
      </c>
      <c r="AL217" s="154">
        <f t="shared" si="79"/>
        <v>0.3817722913</v>
      </c>
      <c r="AM217" s="109">
        <v>278.233</v>
      </c>
      <c r="AN217" s="152">
        <f t="shared" si="72"/>
        <v>39.34808821</v>
      </c>
      <c r="AO217" s="153">
        <f t="shared" si="73"/>
        <v>0.1306802619</v>
      </c>
      <c r="AS217" s="71"/>
    </row>
    <row r="218">
      <c r="A218" s="149">
        <v>100.0</v>
      </c>
      <c r="B218" s="109">
        <v>35.0</v>
      </c>
      <c r="C218" s="150">
        <f t="shared" si="65"/>
        <v>0.35</v>
      </c>
      <c r="D218" s="154">
        <f t="shared" si="74"/>
        <v>-0.125</v>
      </c>
      <c r="E218" s="109">
        <v>0.78</v>
      </c>
      <c r="F218" s="109">
        <f>1-0.1618</f>
        <v>0.8382</v>
      </c>
      <c r="G218" s="109">
        <v>345.991</v>
      </c>
      <c r="H218" s="154">
        <f t="shared" si="75"/>
        <v>-0.1064651254</v>
      </c>
      <c r="I218" s="109">
        <v>367.637</v>
      </c>
      <c r="J218" s="152">
        <f t="shared" si="66"/>
        <v>36.7637</v>
      </c>
      <c r="K218" s="153">
        <f t="shared" si="67"/>
        <v>0.1062562321</v>
      </c>
      <c r="L218" s="140"/>
      <c r="M218" s="140"/>
      <c r="N218" s="140"/>
      <c r="O218" s="140"/>
      <c r="P218" s="140"/>
      <c r="Q218" s="140"/>
      <c r="R218" s="149">
        <v>100.0</v>
      </c>
      <c r="S218" s="109">
        <v>34.0</v>
      </c>
      <c r="T218" s="150">
        <f t="shared" si="68"/>
        <v>0.34</v>
      </c>
      <c r="U218" s="154">
        <f t="shared" si="76"/>
        <v>-0.2272727273</v>
      </c>
      <c r="V218" s="109">
        <v>0.927</v>
      </c>
      <c r="W218" s="109">
        <f>1- 0.1642</f>
        <v>0.8358</v>
      </c>
      <c r="X218" s="109">
        <v>408.842</v>
      </c>
      <c r="Y218" s="154">
        <f t="shared" si="77"/>
        <v>-0.4173923576</v>
      </c>
      <c r="Z218" s="109">
        <v>490.22</v>
      </c>
      <c r="AA218" s="152">
        <f t="shared" si="69"/>
        <v>49.022</v>
      </c>
      <c r="AB218" s="153">
        <f t="shared" si="70"/>
        <v>0.1199045108</v>
      </c>
      <c r="AC218" s="140"/>
      <c r="AD218" s="140"/>
      <c r="AE218" s="149">
        <v>100.0</v>
      </c>
      <c r="AF218" s="109">
        <v>39.0</v>
      </c>
      <c r="AG218" s="150">
        <f t="shared" si="71"/>
        <v>0.39</v>
      </c>
      <c r="AH218" s="154">
        <f t="shared" si="78"/>
        <v>0.02631578947</v>
      </c>
      <c r="AI218" s="109">
        <v>0.943</v>
      </c>
      <c r="AJ218" s="109">
        <f>1-0.469</f>
        <v>0.531</v>
      </c>
      <c r="AK218" s="109">
        <v>294.008</v>
      </c>
      <c r="AL218" s="154">
        <f t="shared" si="79"/>
        <v>-0.02356012248</v>
      </c>
      <c r="AM218" s="109">
        <v>251.437</v>
      </c>
      <c r="AN218" s="152">
        <f t="shared" si="72"/>
        <v>25.1437</v>
      </c>
      <c r="AO218" s="153">
        <f t="shared" si="73"/>
        <v>0.08552046203</v>
      </c>
      <c r="AS218" s="71"/>
    </row>
    <row r="219">
      <c r="A219" s="149">
        <v>200.0</v>
      </c>
      <c r="B219" s="109">
        <v>79.0</v>
      </c>
      <c r="C219" s="150">
        <f t="shared" si="65"/>
        <v>0.395</v>
      </c>
      <c r="D219" s="154">
        <f t="shared" si="74"/>
        <v>0.1285714286</v>
      </c>
      <c r="E219" s="109">
        <v>1.032</v>
      </c>
      <c r="F219" s="109">
        <f>1-0.121</f>
        <v>0.879</v>
      </c>
      <c r="G219" s="109">
        <v>463.966</v>
      </c>
      <c r="H219" s="154">
        <f t="shared" si="75"/>
        <v>0.3409770774</v>
      </c>
      <c r="I219" s="109">
        <v>425.058</v>
      </c>
      <c r="J219" s="152">
        <f t="shared" si="66"/>
        <v>30.05613942</v>
      </c>
      <c r="K219" s="153">
        <f t="shared" si="67"/>
        <v>0.06478090942</v>
      </c>
      <c r="L219" s="140"/>
      <c r="M219" s="140"/>
      <c r="N219" s="140"/>
      <c r="O219" s="140"/>
      <c r="P219" s="140"/>
      <c r="Q219" s="140"/>
      <c r="R219" s="149">
        <v>200.0</v>
      </c>
      <c r="S219" s="109">
        <v>67.0</v>
      </c>
      <c r="T219" s="150">
        <f t="shared" si="68"/>
        <v>0.335</v>
      </c>
      <c r="U219" s="154">
        <f t="shared" si="76"/>
        <v>-0.01470588235</v>
      </c>
      <c r="V219" s="109">
        <v>0.979</v>
      </c>
      <c r="W219" s="109">
        <f>1-0.1418</f>
        <v>0.8582</v>
      </c>
      <c r="X219" s="109">
        <v>417.698</v>
      </c>
      <c r="Y219" s="154">
        <f t="shared" si="77"/>
        <v>0.02166117962</v>
      </c>
      <c r="Z219" s="109">
        <v>430.436</v>
      </c>
      <c r="AA219" s="152">
        <f t="shared" si="69"/>
        <v>30.43642145</v>
      </c>
      <c r="AB219" s="153">
        <f t="shared" si="70"/>
        <v>0.07286705095</v>
      </c>
      <c r="AC219" s="140"/>
      <c r="AD219" s="140"/>
      <c r="AE219" s="149">
        <v>200.0</v>
      </c>
      <c r="AF219" s="109">
        <v>75.0</v>
      </c>
      <c r="AG219" s="150">
        <f t="shared" si="71"/>
        <v>0.375</v>
      </c>
      <c r="AH219" s="154">
        <f t="shared" si="78"/>
        <v>-0.03846153846</v>
      </c>
      <c r="AI219" s="109">
        <v>0.923</v>
      </c>
      <c r="AJ219" s="109">
        <f>1-0.794</f>
        <v>0.206</v>
      </c>
      <c r="AK219" s="109">
        <v>307.229</v>
      </c>
      <c r="AL219" s="154">
        <f t="shared" si="79"/>
        <v>0.04496816413</v>
      </c>
      <c r="AM219" s="109">
        <v>299.547</v>
      </c>
      <c r="AN219" s="152">
        <f t="shared" si="72"/>
        <v>21.1811715</v>
      </c>
      <c r="AO219" s="153">
        <f t="shared" si="73"/>
        <v>0.06894261772</v>
      </c>
      <c r="AS219" s="71"/>
    </row>
    <row r="220">
      <c r="A220" s="149">
        <v>300.0</v>
      </c>
      <c r="B220" s="109">
        <v>127.0</v>
      </c>
      <c r="C220" s="150">
        <f t="shared" si="65"/>
        <v>0.4233333333</v>
      </c>
      <c r="D220" s="154">
        <f t="shared" si="74"/>
        <v>0.07172995781</v>
      </c>
      <c r="E220" s="109">
        <v>1.034</v>
      </c>
      <c r="F220" s="109">
        <f>1-0.971</f>
        <v>0.029</v>
      </c>
      <c r="G220" s="109">
        <v>457.005</v>
      </c>
      <c r="H220" s="154">
        <f t="shared" si="75"/>
        <v>-0.01500325455</v>
      </c>
      <c r="I220" s="109">
        <v>396.973</v>
      </c>
      <c r="J220" s="152">
        <f t="shared" si="66"/>
        <v>22.91924684</v>
      </c>
      <c r="K220" s="153">
        <f t="shared" si="67"/>
        <v>0.05015097612</v>
      </c>
      <c r="L220" s="140"/>
      <c r="M220" s="140"/>
      <c r="N220" s="140"/>
      <c r="O220" s="140"/>
      <c r="P220" s="140"/>
      <c r="Q220" s="140"/>
      <c r="R220" s="149">
        <v>300.0</v>
      </c>
      <c r="S220" s="109">
        <v>99.0</v>
      </c>
      <c r="T220" s="150">
        <f t="shared" si="68"/>
        <v>0.33</v>
      </c>
      <c r="U220" s="154">
        <f t="shared" si="76"/>
        <v>-0.01492537313</v>
      </c>
      <c r="V220" s="109">
        <v>0.959</v>
      </c>
      <c r="W220" s="109">
        <f>1-0.1188</f>
        <v>0.8812</v>
      </c>
      <c r="X220" s="109">
        <v>402.269</v>
      </c>
      <c r="Y220" s="154">
        <f t="shared" si="77"/>
        <v>-0.03693817064</v>
      </c>
      <c r="Z220" s="109">
        <v>396.106</v>
      </c>
      <c r="AA220" s="152">
        <f t="shared" si="69"/>
        <v>22.86919057</v>
      </c>
      <c r="AB220" s="153">
        <f t="shared" si="70"/>
        <v>0.05685049202</v>
      </c>
      <c r="AC220" s="140"/>
      <c r="AD220" s="140"/>
      <c r="AE220" s="149">
        <v>300.0</v>
      </c>
      <c r="AF220" s="109">
        <v>106.0</v>
      </c>
      <c r="AG220" s="150">
        <f t="shared" si="71"/>
        <v>0.3533333333</v>
      </c>
      <c r="AH220" s="154">
        <f t="shared" si="78"/>
        <v>-0.05777777778</v>
      </c>
      <c r="AI220" s="109">
        <v>0.859</v>
      </c>
      <c r="AJ220" s="109">
        <f>1-0.102</f>
        <v>0.898</v>
      </c>
      <c r="AK220" s="109">
        <v>269.815</v>
      </c>
      <c r="AL220" s="154">
        <f t="shared" si="79"/>
        <v>-0.1217788685</v>
      </c>
      <c r="AM220" s="109">
        <v>287.843</v>
      </c>
      <c r="AN220" s="152">
        <f t="shared" si="72"/>
        <v>16.61862335</v>
      </c>
      <c r="AO220" s="153">
        <f t="shared" si="73"/>
        <v>0.06159265924</v>
      </c>
      <c r="AS220" s="71"/>
    </row>
    <row r="221">
      <c r="A221" s="70"/>
      <c r="AK221" s="11"/>
      <c r="AS221" s="71"/>
    </row>
    <row r="222">
      <c r="A222" s="70"/>
      <c r="AK222" s="11"/>
      <c r="AS222" s="71"/>
    </row>
    <row r="223">
      <c r="A223" s="134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135"/>
      <c r="AL223" s="98"/>
      <c r="AM223" s="98"/>
      <c r="AN223" s="98"/>
      <c r="AO223" s="98"/>
      <c r="AP223" s="98"/>
      <c r="AQ223" s="98"/>
      <c r="AR223" s="98"/>
      <c r="AS223" s="136"/>
    </row>
    <row r="224">
      <c r="AK224" s="11"/>
    </row>
    <row r="225">
      <c r="AK225" s="11"/>
    </row>
    <row r="226">
      <c r="A226" s="6" t="s">
        <v>162</v>
      </c>
      <c r="AK226" s="11"/>
    </row>
    <row r="227">
      <c r="A227" s="66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9"/>
      <c r="AK227" s="11"/>
    </row>
    <row r="228">
      <c r="A228" s="85" t="s">
        <v>163</v>
      </c>
      <c r="Q228" s="85" t="s">
        <v>159</v>
      </c>
      <c r="AH228" s="71"/>
      <c r="AK228" s="11"/>
    </row>
    <row r="229">
      <c r="A229" s="72" t="s">
        <v>107</v>
      </c>
      <c r="B229" s="73"/>
      <c r="C229" s="74" t="s">
        <v>108</v>
      </c>
      <c r="D229" s="74" t="s">
        <v>109</v>
      </c>
      <c r="E229" s="74" t="s">
        <v>110</v>
      </c>
      <c r="F229" s="74" t="s">
        <v>111</v>
      </c>
      <c r="G229" s="74" t="s">
        <v>112</v>
      </c>
      <c r="H229" s="74" t="s">
        <v>113</v>
      </c>
      <c r="I229" s="75"/>
      <c r="J229" s="75"/>
      <c r="K229" s="75"/>
      <c r="Q229" s="72" t="s">
        <v>152</v>
      </c>
      <c r="R229" s="73"/>
      <c r="S229" s="74" t="s">
        <v>108</v>
      </c>
      <c r="T229" s="74" t="s">
        <v>109</v>
      </c>
      <c r="U229" s="74" t="s">
        <v>110</v>
      </c>
      <c r="V229" s="74" t="s">
        <v>111</v>
      </c>
      <c r="W229" s="74" t="s">
        <v>112</v>
      </c>
      <c r="X229" s="74" t="s">
        <v>113</v>
      </c>
      <c r="Y229" s="75"/>
      <c r="Z229" s="75"/>
      <c r="AA229" s="75"/>
      <c r="AH229" s="71"/>
      <c r="AK229" s="11"/>
    </row>
    <row r="230">
      <c r="A230" s="77"/>
      <c r="B230" s="78"/>
      <c r="C230" s="79">
        <v>1.0</v>
      </c>
      <c r="D230" s="79">
        <v>5.0</v>
      </c>
      <c r="E230" s="79" t="s">
        <v>154</v>
      </c>
      <c r="F230" s="80">
        <v>169.57</v>
      </c>
      <c r="G230" s="168">
        <v>90.0</v>
      </c>
      <c r="H230" s="6">
        <v>1.0</v>
      </c>
      <c r="I230" s="81"/>
      <c r="J230" s="81"/>
      <c r="K230" s="81"/>
      <c r="Q230" s="77"/>
      <c r="R230" s="78"/>
      <c r="S230" s="79">
        <v>1.0</v>
      </c>
      <c r="T230" s="79">
        <v>5.0</v>
      </c>
      <c r="U230" s="79" t="s">
        <v>154</v>
      </c>
      <c r="V230" s="82">
        <v>169.57</v>
      </c>
      <c r="W230" s="168">
        <v>180.0</v>
      </c>
      <c r="X230" s="5">
        <v>1.0</v>
      </c>
      <c r="Y230" s="81"/>
      <c r="Z230" s="81"/>
      <c r="AA230" s="81"/>
      <c r="AH230" s="71"/>
      <c r="AK230" s="11"/>
    </row>
    <row r="231">
      <c r="A231" s="83" t="s">
        <v>121</v>
      </c>
      <c r="B231" s="83" t="s">
        <v>122</v>
      </c>
      <c r="C231" s="83" t="s">
        <v>123</v>
      </c>
      <c r="D231" s="83" t="s">
        <v>124</v>
      </c>
      <c r="E231" s="83" t="s">
        <v>125</v>
      </c>
      <c r="F231" s="83" t="s">
        <v>35</v>
      </c>
      <c r="G231" s="83" t="s">
        <v>126</v>
      </c>
      <c r="H231" s="83" t="s">
        <v>127</v>
      </c>
      <c r="I231" s="83" t="s">
        <v>128</v>
      </c>
      <c r="J231" s="83" t="s">
        <v>129</v>
      </c>
      <c r="K231" s="83" t="s">
        <v>130</v>
      </c>
      <c r="Q231" s="83" t="s">
        <v>121</v>
      </c>
      <c r="R231" s="83" t="s">
        <v>122</v>
      </c>
      <c r="S231" s="83" t="s">
        <v>123</v>
      </c>
      <c r="T231" s="83" t="s">
        <v>124</v>
      </c>
      <c r="U231" s="83" t="s">
        <v>125</v>
      </c>
      <c r="V231" s="83" t="s">
        <v>35</v>
      </c>
      <c r="W231" s="83" t="s">
        <v>126</v>
      </c>
      <c r="X231" s="83" t="s">
        <v>127</v>
      </c>
      <c r="Y231" s="83" t="s">
        <v>128</v>
      </c>
      <c r="Z231" s="83" t="s">
        <v>129</v>
      </c>
      <c r="AA231" s="83" t="s">
        <v>130</v>
      </c>
      <c r="AH231" s="71"/>
      <c r="AK231" s="11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H232" s="71"/>
      <c r="AK232" s="11"/>
    </row>
    <row r="233">
      <c r="A233" s="169">
        <v>20.0</v>
      </c>
      <c r="B233" s="79">
        <v>0.0</v>
      </c>
      <c r="C233" s="79">
        <f t="shared" ref="C233:C234" si="80">B233/A233</f>
        <v>0</v>
      </c>
      <c r="D233" s="170">
        <v>0.0</v>
      </c>
      <c r="E233" s="79">
        <v>0.701</v>
      </c>
      <c r="F233" s="79">
        <v>0.7</v>
      </c>
      <c r="G233" s="79">
        <v>93.1</v>
      </c>
      <c r="H233" s="170">
        <v>0.0</v>
      </c>
      <c r="I233" s="79">
        <v>94.285</v>
      </c>
      <c r="J233" s="171">
        <f t="shared" ref="J233:J238" si="81">SQRT((I233*I233)/A233)</f>
        <v>21.08276693</v>
      </c>
      <c r="K233" s="172">
        <f t="shared" ref="K233:K238" si="82">J233/G233</f>
        <v>0.2264529208</v>
      </c>
      <c r="Q233" s="169">
        <v>20.0</v>
      </c>
      <c r="R233" s="79">
        <v>6.0</v>
      </c>
      <c r="S233" s="79">
        <f t="shared" ref="S233:S238" si="83">R233/Q233</f>
        <v>0.3</v>
      </c>
      <c r="T233" s="172">
        <v>0.0</v>
      </c>
      <c r="U233" s="79">
        <v>3.183</v>
      </c>
      <c r="V233" s="79">
        <v>0.85</v>
      </c>
      <c r="W233" s="79">
        <v>734.93</v>
      </c>
      <c r="X233" s="170">
        <v>0.0</v>
      </c>
      <c r="Y233" s="79">
        <v>455.091</v>
      </c>
      <c r="Z233" s="171">
        <f t="shared" ref="Z233:Z238" si="84">SQRT((Y233*Y233)/Q233)</f>
        <v>101.7614412</v>
      </c>
      <c r="AA233" s="172">
        <f t="shared" ref="AA233:AA238" si="85">Z233/W233</f>
        <v>0.1384641275</v>
      </c>
      <c r="AH233" s="71"/>
      <c r="AK233" s="11"/>
    </row>
    <row r="234">
      <c r="A234" s="169">
        <v>50.0</v>
      </c>
      <c r="B234" s="79">
        <v>0.0</v>
      </c>
      <c r="C234" s="79">
        <f t="shared" si="80"/>
        <v>0</v>
      </c>
      <c r="D234" s="170">
        <v>0.0</v>
      </c>
      <c r="E234" s="79">
        <v>0.506</v>
      </c>
      <c r="F234" s="79">
        <v>0.4</v>
      </c>
      <c r="G234" s="5">
        <v>74.025</v>
      </c>
      <c r="H234" s="173">
        <f t="shared" ref="H234:H238" si="86">G234/G233-1</f>
        <v>-0.204887218</v>
      </c>
      <c r="I234" s="79">
        <v>97.637</v>
      </c>
      <c r="J234" s="171">
        <f t="shared" si="81"/>
        <v>13.80795696</v>
      </c>
      <c r="K234" s="172">
        <f t="shared" si="82"/>
        <v>0.1865309957</v>
      </c>
      <c r="Q234" s="169">
        <v>50.0</v>
      </c>
      <c r="R234" s="79">
        <v>9.0</v>
      </c>
      <c r="S234" s="79">
        <f t="shared" si="83"/>
        <v>0.18</v>
      </c>
      <c r="T234" s="173">
        <f t="shared" ref="T234:T238" si="87">S234/S233-1</f>
        <v>-0.4</v>
      </c>
      <c r="U234" s="79">
        <v>2.263</v>
      </c>
      <c r="V234" s="79">
        <v>0.9</v>
      </c>
      <c r="W234" s="79">
        <v>482.043</v>
      </c>
      <c r="X234" s="173">
        <f t="shared" ref="X234:X238" si="88">W234/W233-1</f>
        <v>-0.3440967167</v>
      </c>
      <c r="Y234" s="79">
        <v>371.01</v>
      </c>
      <c r="Z234" s="171">
        <f t="shared" si="84"/>
        <v>52.46873738</v>
      </c>
      <c r="AA234" s="172">
        <f t="shared" si="85"/>
        <v>0.1088465912</v>
      </c>
      <c r="AH234" s="71"/>
      <c r="AK234" s="11"/>
    </row>
    <row r="235">
      <c r="A235" s="169">
        <v>100.0</v>
      </c>
      <c r="B235" s="79">
        <v>0.0</v>
      </c>
      <c r="C235" s="79">
        <v>0.0</v>
      </c>
      <c r="D235" s="170">
        <v>0.0</v>
      </c>
      <c r="E235" s="79">
        <v>0.366</v>
      </c>
      <c r="F235" s="79">
        <v>0.55</v>
      </c>
      <c r="G235" s="79">
        <v>56.895</v>
      </c>
      <c r="H235" s="173">
        <f t="shared" si="86"/>
        <v>-0.231408308</v>
      </c>
      <c r="I235" s="79">
        <v>80.747</v>
      </c>
      <c r="J235" s="171">
        <f t="shared" si="81"/>
        <v>8.0747</v>
      </c>
      <c r="K235" s="172">
        <f t="shared" si="82"/>
        <v>0.1419228403</v>
      </c>
      <c r="Q235" s="169">
        <v>100.0</v>
      </c>
      <c r="R235" s="79">
        <v>11.0</v>
      </c>
      <c r="S235" s="79">
        <f t="shared" si="83"/>
        <v>0.11</v>
      </c>
      <c r="T235" s="173">
        <f t="shared" si="87"/>
        <v>-0.3888888889</v>
      </c>
      <c r="U235" s="79">
        <v>1.59</v>
      </c>
      <c r="V235" s="79">
        <v>0.81</v>
      </c>
      <c r="W235" s="79">
        <v>335.573</v>
      </c>
      <c r="X235" s="173">
        <f t="shared" si="88"/>
        <v>-0.3038525609</v>
      </c>
      <c r="Y235" s="79">
        <v>350.984</v>
      </c>
      <c r="Z235" s="171">
        <f t="shared" si="84"/>
        <v>35.0984</v>
      </c>
      <c r="AA235" s="172">
        <f t="shared" si="85"/>
        <v>0.1045924434</v>
      </c>
      <c r="AH235" s="71"/>
      <c r="AK235" s="11"/>
    </row>
    <row r="236">
      <c r="A236" s="169">
        <v>300.0</v>
      </c>
      <c r="B236" s="79">
        <v>0.0</v>
      </c>
      <c r="C236" s="79">
        <v>0.0</v>
      </c>
      <c r="D236" s="170">
        <v>0.0</v>
      </c>
      <c r="E236" s="79">
        <v>0.293</v>
      </c>
      <c r="F236" s="79">
        <v>0.47</v>
      </c>
      <c r="G236" s="79">
        <v>48.067</v>
      </c>
      <c r="H236" s="173">
        <f t="shared" si="86"/>
        <v>-0.1551630196</v>
      </c>
      <c r="I236" s="79">
        <v>78.85</v>
      </c>
      <c r="J236" s="171">
        <f t="shared" si="81"/>
        <v>4.552406873</v>
      </c>
      <c r="K236" s="172">
        <f t="shared" si="82"/>
        <v>0.09470961101</v>
      </c>
      <c r="Q236" s="169">
        <v>300.0</v>
      </c>
      <c r="R236" s="79">
        <v>31.0</v>
      </c>
      <c r="S236" s="79">
        <f t="shared" si="83"/>
        <v>0.1033333333</v>
      </c>
      <c r="T236" s="173">
        <f t="shared" si="87"/>
        <v>-0.06060606061</v>
      </c>
      <c r="U236" s="79">
        <v>1.703</v>
      </c>
      <c r="V236" s="79">
        <v>0.8</v>
      </c>
      <c r="W236" s="79">
        <v>336.398</v>
      </c>
      <c r="X236" s="173">
        <f t="shared" si="88"/>
        <v>0.002458481463</v>
      </c>
      <c r="Y236" s="79">
        <v>326.145</v>
      </c>
      <c r="Z236" s="171">
        <f t="shared" si="84"/>
        <v>18.82999035</v>
      </c>
      <c r="AA236" s="172">
        <f t="shared" si="85"/>
        <v>0.05597533384</v>
      </c>
      <c r="AH236" s="71"/>
      <c r="AK236" s="11"/>
    </row>
    <row r="237">
      <c r="A237" s="169">
        <v>1000.0</v>
      </c>
      <c r="B237" s="79">
        <v>0.0</v>
      </c>
      <c r="C237" s="79">
        <f t="shared" ref="C237:C238" si="89">B237/A237</f>
        <v>0</v>
      </c>
      <c r="D237" s="170">
        <v>0.0</v>
      </c>
      <c r="E237" s="79">
        <v>0.385</v>
      </c>
      <c r="F237" s="79">
        <v>0.51</v>
      </c>
      <c r="G237" s="79">
        <v>63.906</v>
      </c>
      <c r="H237" s="173">
        <f t="shared" si="86"/>
        <v>0.3295192128</v>
      </c>
      <c r="I237" s="79">
        <v>95.637</v>
      </c>
      <c r="J237" s="171">
        <f t="shared" si="81"/>
        <v>3.024307486</v>
      </c>
      <c r="K237" s="172">
        <f t="shared" si="82"/>
        <v>0.04732431205</v>
      </c>
      <c r="Q237" s="169">
        <v>1000.0</v>
      </c>
      <c r="R237" s="79">
        <v>122.0</v>
      </c>
      <c r="S237" s="79">
        <f t="shared" si="83"/>
        <v>0.122</v>
      </c>
      <c r="T237" s="173">
        <f t="shared" si="87"/>
        <v>0.1806451613</v>
      </c>
      <c r="U237" s="79">
        <v>2.115</v>
      </c>
      <c r="V237" s="79">
        <v>0.86</v>
      </c>
      <c r="W237" s="79">
        <v>422.302</v>
      </c>
      <c r="X237" s="173">
        <f t="shared" si="88"/>
        <v>0.2553641817</v>
      </c>
      <c r="Y237" s="79">
        <v>352.899</v>
      </c>
      <c r="Z237" s="171">
        <f t="shared" si="84"/>
        <v>11.15964624</v>
      </c>
      <c r="AA237" s="172">
        <f t="shared" si="85"/>
        <v>0.02642574802</v>
      </c>
      <c r="AH237" s="71"/>
      <c r="AK237" s="11"/>
    </row>
    <row r="238">
      <c r="A238" s="169">
        <v>5000.0</v>
      </c>
      <c r="B238" s="79">
        <v>8.0</v>
      </c>
      <c r="C238" s="79">
        <f t="shared" si="89"/>
        <v>0.0016</v>
      </c>
      <c r="D238" s="170">
        <v>0.0</v>
      </c>
      <c r="E238" s="79">
        <v>0.397</v>
      </c>
      <c r="F238" s="79">
        <v>0.52</v>
      </c>
      <c r="G238" s="79">
        <v>68.841</v>
      </c>
      <c r="H238" s="173">
        <f t="shared" si="86"/>
        <v>0.07722279598</v>
      </c>
      <c r="I238" s="79">
        <v>105.536</v>
      </c>
      <c r="J238" s="171">
        <f t="shared" si="81"/>
        <v>1.492504425</v>
      </c>
      <c r="K238" s="172">
        <f t="shared" si="82"/>
        <v>0.02168045823</v>
      </c>
      <c r="Q238" s="169">
        <v>5000.0</v>
      </c>
      <c r="R238" s="79">
        <v>704.0</v>
      </c>
      <c r="S238" s="79">
        <f t="shared" si="83"/>
        <v>0.1408</v>
      </c>
      <c r="T238" s="173">
        <f t="shared" si="87"/>
        <v>0.1540983607</v>
      </c>
      <c r="U238" s="79">
        <v>2.365</v>
      </c>
      <c r="V238" s="79">
        <v>0.89</v>
      </c>
      <c r="W238" s="79">
        <v>470.935</v>
      </c>
      <c r="X238" s="173">
        <f t="shared" si="88"/>
        <v>0.1151616616</v>
      </c>
      <c r="Y238" s="79">
        <v>355.763</v>
      </c>
      <c r="Z238" s="171">
        <f t="shared" si="84"/>
        <v>5.031248596</v>
      </c>
      <c r="AA238" s="172">
        <f t="shared" si="85"/>
        <v>0.01068353084</v>
      </c>
      <c r="AH238" s="71"/>
      <c r="AK238" s="11"/>
    </row>
    <row r="239">
      <c r="A239" s="70"/>
      <c r="AH239" s="71"/>
      <c r="AK239" s="11"/>
    </row>
    <row r="240">
      <c r="A240" s="70"/>
      <c r="AH240" s="71"/>
      <c r="AK240" s="11"/>
    </row>
    <row r="241">
      <c r="A241" s="70"/>
      <c r="AH241" s="71"/>
      <c r="AK241" s="11"/>
    </row>
    <row r="242">
      <c r="A242" s="85" t="s">
        <v>163</v>
      </c>
      <c r="Q242" s="85" t="s">
        <v>159</v>
      </c>
      <c r="AH242" s="71"/>
      <c r="AK242" s="11"/>
    </row>
    <row r="243">
      <c r="A243" s="72" t="s">
        <v>114</v>
      </c>
      <c r="B243" s="73"/>
      <c r="C243" s="74" t="s">
        <v>108</v>
      </c>
      <c r="D243" s="74" t="s">
        <v>109</v>
      </c>
      <c r="E243" s="74" t="s">
        <v>110</v>
      </c>
      <c r="F243" s="74" t="s">
        <v>111</v>
      </c>
      <c r="G243" s="74" t="s">
        <v>112</v>
      </c>
      <c r="H243" s="74" t="s">
        <v>113</v>
      </c>
      <c r="I243" s="75"/>
      <c r="J243" s="75"/>
      <c r="K243" s="75"/>
      <c r="Q243" s="72" t="s">
        <v>131</v>
      </c>
      <c r="R243" s="73"/>
      <c r="S243" s="74" t="s">
        <v>108</v>
      </c>
      <c r="T243" s="74" t="s">
        <v>109</v>
      </c>
      <c r="U243" s="74" t="s">
        <v>110</v>
      </c>
      <c r="V243" s="74" t="s">
        <v>111</v>
      </c>
      <c r="W243" s="74" t="s">
        <v>112</v>
      </c>
      <c r="X243" s="74" t="s">
        <v>113</v>
      </c>
      <c r="Y243" s="75"/>
      <c r="Z243" s="75"/>
      <c r="AA243" s="75"/>
      <c r="AH243" s="71"/>
      <c r="AK243" s="11"/>
    </row>
    <row r="244">
      <c r="A244" s="77"/>
      <c r="B244" s="78"/>
      <c r="C244" s="79">
        <v>1.0</v>
      </c>
      <c r="D244" s="79">
        <v>10.0</v>
      </c>
      <c r="E244" s="79" t="s">
        <v>154</v>
      </c>
      <c r="F244" s="82">
        <v>169.57</v>
      </c>
      <c r="G244" s="5">
        <v>90.0</v>
      </c>
      <c r="H244" s="5">
        <v>1.0</v>
      </c>
      <c r="I244" s="81"/>
      <c r="J244" s="81"/>
      <c r="K244" s="81"/>
      <c r="Q244" s="77"/>
      <c r="R244" s="78"/>
      <c r="S244" s="79">
        <v>1.0</v>
      </c>
      <c r="T244" s="79">
        <v>10.0</v>
      </c>
      <c r="U244" s="79" t="s">
        <v>154</v>
      </c>
      <c r="V244" s="82">
        <v>169.57</v>
      </c>
      <c r="W244" s="168">
        <v>160.0</v>
      </c>
      <c r="X244" s="5">
        <v>1.0</v>
      </c>
      <c r="Y244" s="81"/>
      <c r="Z244" s="81"/>
      <c r="AA244" s="81"/>
      <c r="AH244" s="71"/>
      <c r="AK244" s="11"/>
    </row>
    <row r="245">
      <c r="A245" s="83" t="s">
        <v>121</v>
      </c>
      <c r="B245" s="83" t="s">
        <v>122</v>
      </c>
      <c r="C245" s="83" t="s">
        <v>123</v>
      </c>
      <c r="D245" s="83" t="s">
        <v>124</v>
      </c>
      <c r="E245" s="83" t="s">
        <v>125</v>
      </c>
      <c r="F245" s="83" t="s">
        <v>35</v>
      </c>
      <c r="G245" s="83" t="s">
        <v>126</v>
      </c>
      <c r="H245" s="83" t="s">
        <v>127</v>
      </c>
      <c r="I245" s="83" t="s">
        <v>128</v>
      </c>
      <c r="J245" s="83" t="s">
        <v>129</v>
      </c>
      <c r="K245" s="83" t="s">
        <v>130</v>
      </c>
      <c r="Q245" s="83" t="s">
        <v>121</v>
      </c>
      <c r="R245" s="83" t="s">
        <v>122</v>
      </c>
      <c r="S245" s="83" t="s">
        <v>123</v>
      </c>
      <c r="T245" s="83" t="s">
        <v>124</v>
      </c>
      <c r="U245" s="83" t="s">
        <v>125</v>
      </c>
      <c r="V245" s="83" t="s">
        <v>35</v>
      </c>
      <c r="W245" s="83" t="s">
        <v>126</v>
      </c>
      <c r="X245" s="83" t="s">
        <v>127</v>
      </c>
      <c r="Y245" s="83" t="s">
        <v>128</v>
      </c>
      <c r="Z245" s="83" t="s">
        <v>129</v>
      </c>
      <c r="AA245" s="83" t="s">
        <v>130</v>
      </c>
      <c r="AH245" s="71"/>
      <c r="AK245" s="11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H246" s="71"/>
      <c r="AK246" s="11"/>
    </row>
    <row r="247">
      <c r="A247" s="169">
        <v>20.0</v>
      </c>
      <c r="B247" s="79">
        <v>0.0</v>
      </c>
      <c r="C247" s="79">
        <f t="shared" ref="C247:C252" si="90">B247/A247</f>
        <v>0</v>
      </c>
      <c r="D247" s="170">
        <v>0.0</v>
      </c>
      <c r="E247" s="79">
        <v>0.701</v>
      </c>
      <c r="F247" s="79">
        <v>0.7</v>
      </c>
      <c r="G247" s="79">
        <v>93.1</v>
      </c>
      <c r="H247" s="170">
        <v>0.0</v>
      </c>
      <c r="I247" s="79">
        <v>94.285</v>
      </c>
      <c r="J247" s="171">
        <f t="shared" ref="J247:J252" si="91">SQRT((I247*I247)/A247)</f>
        <v>21.08276693</v>
      </c>
      <c r="K247" s="172">
        <f t="shared" ref="K247:K252" si="92">J247/G247</f>
        <v>0.2264529208</v>
      </c>
      <c r="Q247" s="169">
        <v>20.0</v>
      </c>
      <c r="R247" s="79">
        <v>4.0</v>
      </c>
      <c r="S247" s="79">
        <f t="shared" ref="S247:S252" si="93">R247/Q247</f>
        <v>0.2</v>
      </c>
      <c r="T247" s="170">
        <v>0.0</v>
      </c>
      <c r="U247" s="79" t="s">
        <v>164</v>
      </c>
      <c r="V247" s="79">
        <v>0.91</v>
      </c>
      <c r="W247" s="79">
        <v>972.149</v>
      </c>
      <c r="X247" s="170">
        <v>0.0</v>
      </c>
      <c r="Y247" s="79">
        <v>594.171</v>
      </c>
      <c r="Z247" s="171">
        <f t="shared" ref="Z247:Z252" si="94">SQRT((Y247*Y247)/Q247)</f>
        <v>132.8606746</v>
      </c>
      <c r="AA247" s="172">
        <f t="shared" ref="AA247:AA252" si="95">Z247/W247</f>
        <v>0.1366669869</v>
      </c>
      <c r="AH247" s="71"/>
      <c r="AK247" s="11"/>
    </row>
    <row r="248">
      <c r="A248" s="169">
        <v>50.0</v>
      </c>
      <c r="B248" s="79">
        <v>0.0</v>
      </c>
      <c r="C248" s="79">
        <f t="shared" si="90"/>
        <v>0</v>
      </c>
      <c r="D248" s="170">
        <v>0.0</v>
      </c>
      <c r="E248" s="79">
        <v>0.506</v>
      </c>
      <c r="F248" s="79">
        <v>0.61</v>
      </c>
      <c r="G248" s="79">
        <v>74.025</v>
      </c>
      <c r="H248" s="173">
        <f t="shared" ref="H248:H252" si="96">G248/G247-1</f>
        <v>-0.204887218</v>
      </c>
      <c r="I248" s="79">
        <v>97.637</v>
      </c>
      <c r="J248" s="171">
        <f t="shared" si="91"/>
        <v>13.80795696</v>
      </c>
      <c r="K248" s="172">
        <f t="shared" si="92"/>
        <v>0.1865309957</v>
      </c>
      <c r="Q248" s="169">
        <v>50.0</v>
      </c>
      <c r="R248" s="79">
        <v>4.0</v>
      </c>
      <c r="S248" s="79">
        <f t="shared" si="93"/>
        <v>0.08</v>
      </c>
      <c r="T248" s="173">
        <f t="shared" ref="T248:T252" si="97">S248/S247-1</f>
        <v>-0.6</v>
      </c>
      <c r="U248" s="79">
        <v>3.291</v>
      </c>
      <c r="V248" s="79">
        <v>0.85</v>
      </c>
      <c r="W248" s="79">
        <v>648.405</v>
      </c>
      <c r="X248" s="173">
        <f t="shared" ref="X248:X252" si="98">W248/W247-1</f>
        <v>-0.3330189097</v>
      </c>
      <c r="Y248" s="79">
        <v>514.562</v>
      </c>
      <c r="Z248" s="171">
        <f t="shared" si="94"/>
        <v>72.77005591</v>
      </c>
      <c r="AA248" s="172">
        <f t="shared" si="95"/>
        <v>0.1122293257</v>
      </c>
      <c r="AH248" s="71"/>
      <c r="AK248" s="11"/>
    </row>
    <row r="249">
      <c r="A249" s="169">
        <v>100.0</v>
      </c>
      <c r="B249" s="79">
        <v>0.0</v>
      </c>
      <c r="C249" s="79">
        <f t="shared" si="90"/>
        <v>0</v>
      </c>
      <c r="D249" s="170">
        <v>0.0</v>
      </c>
      <c r="E249" s="79">
        <v>0.366</v>
      </c>
      <c r="F249" s="79">
        <v>0.55</v>
      </c>
      <c r="G249" s="79">
        <v>56.895</v>
      </c>
      <c r="H249" s="173">
        <f t="shared" si="96"/>
        <v>-0.231408308</v>
      </c>
      <c r="I249" s="79">
        <v>80.747</v>
      </c>
      <c r="J249" s="171">
        <f t="shared" si="91"/>
        <v>8.0747</v>
      </c>
      <c r="K249" s="172">
        <f t="shared" si="92"/>
        <v>0.1419228403</v>
      </c>
      <c r="Q249" s="169">
        <v>100.0</v>
      </c>
      <c r="R249" s="79">
        <v>4.0</v>
      </c>
      <c r="S249" s="79">
        <f t="shared" si="93"/>
        <v>0.04</v>
      </c>
      <c r="T249" s="173">
        <f t="shared" si="97"/>
        <v>-0.5</v>
      </c>
      <c r="U249" s="79">
        <v>2.584</v>
      </c>
      <c r="V249" s="79">
        <v>0.83</v>
      </c>
      <c r="W249" s="79">
        <v>464.354</v>
      </c>
      <c r="X249" s="173">
        <f t="shared" si="98"/>
        <v>-0.2838519135</v>
      </c>
      <c r="Y249" s="79">
        <v>453.198</v>
      </c>
      <c r="Z249" s="171">
        <f t="shared" si="94"/>
        <v>45.3198</v>
      </c>
      <c r="AA249" s="172">
        <f t="shared" si="95"/>
        <v>0.09759752258</v>
      </c>
      <c r="AH249" s="71"/>
      <c r="AK249" s="11"/>
    </row>
    <row r="250">
      <c r="A250" s="169">
        <v>300.0</v>
      </c>
      <c r="B250" s="79">
        <v>0.0</v>
      </c>
      <c r="C250" s="79">
        <f t="shared" si="90"/>
        <v>0</v>
      </c>
      <c r="D250" s="170">
        <v>0.0</v>
      </c>
      <c r="E250" s="79">
        <v>0.293</v>
      </c>
      <c r="F250" s="79">
        <v>0.47</v>
      </c>
      <c r="G250" s="79">
        <v>48.241</v>
      </c>
      <c r="H250" s="173">
        <f t="shared" si="96"/>
        <v>-0.1521047544</v>
      </c>
      <c r="I250" s="79">
        <v>78.85</v>
      </c>
      <c r="J250" s="171">
        <f t="shared" si="91"/>
        <v>4.552406873</v>
      </c>
      <c r="K250" s="172">
        <f t="shared" si="92"/>
        <v>0.09436800383</v>
      </c>
      <c r="Q250" s="169">
        <v>300.0</v>
      </c>
      <c r="R250" s="79">
        <v>5.0</v>
      </c>
      <c r="S250" s="79">
        <f t="shared" si="93"/>
        <v>0.01666666667</v>
      </c>
      <c r="T250" s="173">
        <f t="shared" si="97"/>
        <v>-0.5833333333</v>
      </c>
      <c r="U250" s="79">
        <v>2.862</v>
      </c>
      <c r="V250" s="79">
        <v>0.89</v>
      </c>
      <c r="W250" s="79">
        <v>476.904</v>
      </c>
      <c r="X250" s="173">
        <f t="shared" si="98"/>
        <v>0.02702679421</v>
      </c>
      <c r="Y250" s="79">
        <v>414.214</v>
      </c>
      <c r="Z250" s="171">
        <f t="shared" si="94"/>
        <v>23.91465644</v>
      </c>
      <c r="AA250" s="172">
        <f t="shared" si="95"/>
        <v>0.0501456403</v>
      </c>
      <c r="AH250" s="71"/>
      <c r="AK250" s="11"/>
    </row>
    <row r="251">
      <c r="A251" s="169">
        <v>1000.0</v>
      </c>
      <c r="B251" s="79">
        <v>0.0</v>
      </c>
      <c r="C251" s="79">
        <f t="shared" si="90"/>
        <v>0</v>
      </c>
      <c r="D251" s="170">
        <v>0.0</v>
      </c>
      <c r="E251" s="79">
        <v>0.385</v>
      </c>
      <c r="F251" s="79">
        <v>0.52</v>
      </c>
      <c r="G251" s="79">
        <v>63.906</v>
      </c>
      <c r="H251" s="173">
        <f t="shared" si="96"/>
        <v>0.3247237827</v>
      </c>
      <c r="I251" s="79">
        <v>95.637</v>
      </c>
      <c r="J251" s="171">
        <f t="shared" si="91"/>
        <v>3.024307486</v>
      </c>
      <c r="K251" s="172">
        <f t="shared" si="92"/>
        <v>0.04732431205</v>
      </c>
      <c r="Q251" s="169">
        <v>1000.0</v>
      </c>
      <c r="R251" s="79">
        <v>44.0</v>
      </c>
      <c r="S251" s="79">
        <f t="shared" si="93"/>
        <v>0.044</v>
      </c>
      <c r="T251" s="173">
        <f t="shared" si="97"/>
        <v>1.64</v>
      </c>
      <c r="U251" s="79">
        <v>3.588</v>
      </c>
      <c r="V251" s="79">
        <v>0.89</v>
      </c>
      <c r="W251" s="79">
        <v>632.432</v>
      </c>
      <c r="X251" s="173">
        <f t="shared" si="98"/>
        <v>0.3261201416</v>
      </c>
      <c r="Y251" s="79">
        <v>529.633</v>
      </c>
      <c r="Z251" s="171">
        <f t="shared" si="94"/>
        <v>16.74846604</v>
      </c>
      <c r="AA251" s="172">
        <f t="shared" si="95"/>
        <v>0.02648263535</v>
      </c>
      <c r="AH251" s="71"/>
      <c r="AK251" s="11"/>
    </row>
    <row r="252">
      <c r="A252" s="169">
        <v>5000.0</v>
      </c>
      <c r="B252" s="79">
        <v>0.0</v>
      </c>
      <c r="C252" s="79">
        <f t="shared" si="90"/>
        <v>0</v>
      </c>
      <c r="D252" s="170">
        <v>0.0</v>
      </c>
      <c r="E252" s="79">
        <v>0.414</v>
      </c>
      <c r="F252" s="79">
        <v>0.52</v>
      </c>
      <c r="G252" s="79">
        <v>71.42</v>
      </c>
      <c r="H252" s="173">
        <f t="shared" si="96"/>
        <v>0.1175789441</v>
      </c>
      <c r="I252" s="79">
        <v>119.968</v>
      </c>
      <c r="J252" s="171">
        <f t="shared" si="91"/>
        <v>1.696603727</v>
      </c>
      <c r="K252" s="172">
        <f t="shared" si="92"/>
        <v>0.02375530281</v>
      </c>
      <c r="Q252" s="169">
        <v>5000.0</v>
      </c>
      <c r="R252" s="79">
        <v>247.0</v>
      </c>
      <c r="S252" s="79">
        <f t="shared" si="93"/>
        <v>0.0494</v>
      </c>
      <c r="T252" s="173">
        <f t="shared" si="97"/>
        <v>0.1227272727</v>
      </c>
      <c r="U252" s="79">
        <v>3.914</v>
      </c>
      <c r="V252" s="79">
        <v>0.9</v>
      </c>
      <c r="W252" s="79">
        <v>696.147</v>
      </c>
      <c r="X252" s="173">
        <f t="shared" si="98"/>
        <v>0.1007460091</v>
      </c>
      <c r="Y252" s="79">
        <v>550.984</v>
      </c>
      <c r="Z252" s="171">
        <f t="shared" si="94"/>
        <v>7.792090455</v>
      </c>
      <c r="AA252" s="172">
        <f t="shared" si="95"/>
        <v>0.01119316819</v>
      </c>
      <c r="AH252" s="71"/>
      <c r="AK252" s="11"/>
    </row>
    <row r="253">
      <c r="A253" s="70"/>
      <c r="AH253" s="71"/>
      <c r="AK253" s="11"/>
    </row>
    <row r="254">
      <c r="A254" s="70"/>
      <c r="AH254" s="71"/>
      <c r="AK254" s="11"/>
    </row>
    <row r="255">
      <c r="A255" s="85" t="s">
        <v>163</v>
      </c>
      <c r="Q255" s="85" t="s">
        <v>159</v>
      </c>
      <c r="AH255" s="71"/>
      <c r="AK255" s="11"/>
    </row>
    <row r="256">
      <c r="A256" s="72" t="s">
        <v>160</v>
      </c>
      <c r="B256" s="73"/>
      <c r="C256" s="74" t="s">
        <v>108</v>
      </c>
      <c r="D256" s="74" t="s">
        <v>109</v>
      </c>
      <c r="E256" s="74" t="s">
        <v>110</v>
      </c>
      <c r="F256" s="74" t="s">
        <v>111</v>
      </c>
      <c r="G256" s="74" t="s">
        <v>112</v>
      </c>
      <c r="H256" s="74" t="s">
        <v>113</v>
      </c>
      <c r="I256" s="75"/>
      <c r="J256" s="75"/>
      <c r="K256" s="75"/>
      <c r="Q256" s="72" t="s">
        <v>132</v>
      </c>
      <c r="R256" s="73"/>
      <c r="S256" s="74" t="s">
        <v>108</v>
      </c>
      <c r="T256" s="74" t="s">
        <v>109</v>
      </c>
      <c r="U256" s="74" t="s">
        <v>110</v>
      </c>
      <c r="V256" s="74" t="s">
        <v>111</v>
      </c>
      <c r="W256" s="74" t="s">
        <v>112</v>
      </c>
      <c r="X256" s="74" t="s">
        <v>113</v>
      </c>
      <c r="Y256" s="75"/>
      <c r="Z256" s="75"/>
      <c r="AA256" s="75"/>
      <c r="AH256" s="71"/>
      <c r="AK256" s="11"/>
    </row>
    <row r="257">
      <c r="A257" s="77"/>
      <c r="B257" s="78"/>
      <c r="C257" s="79">
        <v>1.0</v>
      </c>
      <c r="D257" s="79">
        <v>20.0</v>
      </c>
      <c r="E257" s="79" t="s">
        <v>154</v>
      </c>
      <c r="F257" s="82">
        <v>169.57</v>
      </c>
      <c r="G257" s="168">
        <v>90.0</v>
      </c>
      <c r="H257" s="5">
        <v>1.0</v>
      </c>
      <c r="I257" s="81"/>
      <c r="J257" s="81"/>
      <c r="K257" s="81"/>
      <c r="Q257" s="77"/>
      <c r="R257" s="78"/>
      <c r="S257" s="79">
        <v>1.0</v>
      </c>
      <c r="T257" s="79">
        <v>20.0</v>
      </c>
      <c r="U257" s="79" t="s">
        <v>154</v>
      </c>
      <c r="V257" s="82">
        <v>169.57</v>
      </c>
      <c r="W257" s="168">
        <v>90.0</v>
      </c>
      <c r="X257" s="5">
        <v>1.0</v>
      </c>
      <c r="Y257" s="81"/>
      <c r="Z257" s="81"/>
      <c r="AA257" s="81"/>
      <c r="AH257" s="71"/>
      <c r="AK257" s="11"/>
    </row>
    <row r="258">
      <c r="A258" s="83" t="s">
        <v>121</v>
      </c>
      <c r="B258" s="83" t="s">
        <v>122</v>
      </c>
      <c r="C258" s="83" t="s">
        <v>123</v>
      </c>
      <c r="D258" s="83" t="s">
        <v>124</v>
      </c>
      <c r="E258" s="83" t="s">
        <v>125</v>
      </c>
      <c r="F258" s="83" t="s">
        <v>35</v>
      </c>
      <c r="G258" s="83" t="s">
        <v>126</v>
      </c>
      <c r="H258" s="83" t="s">
        <v>127</v>
      </c>
      <c r="I258" s="83" t="s">
        <v>128</v>
      </c>
      <c r="J258" s="83" t="s">
        <v>129</v>
      </c>
      <c r="K258" s="83" t="s">
        <v>130</v>
      </c>
      <c r="Q258" s="83" t="s">
        <v>121</v>
      </c>
      <c r="R258" s="83" t="s">
        <v>122</v>
      </c>
      <c r="S258" s="83" t="s">
        <v>123</v>
      </c>
      <c r="T258" s="83" t="s">
        <v>124</v>
      </c>
      <c r="U258" s="83" t="s">
        <v>125</v>
      </c>
      <c r="V258" s="83" t="s">
        <v>35</v>
      </c>
      <c r="W258" s="83" t="s">
        <v>126</v>
      </c>
      <c r="X258" s="83" t="s">
        <v>127</v>
      </c>
      <c r="Y258" s="83" t="s">
        <v>128</v>
      </c>
      <c r="Z258" s="83" t="s">
        <v>129</v>
      </c>
      <c r="AA258" s="83" t="s">
        <v>130</v>
      </c>
      <c r="AH258" s="71"/>
      <c r="AK258" s="11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H259" s="71"/>
      <c r="AK259" s="11"/>
    </row>
    <row r="260">
      <c r="A260" s="169">
        <v>20.0</v>
      </c>
      <c r="B260" s="79">
        <v>0.0</v>
      </c>
      <c r="C260" s="79">
        <f t="shared" ref="C260:C265" si="99">B260/A260</f>
        <v>0</v>
      </c>
      <c r="D260" s="170">
        <v>0.0</v>
      </c>
      <c r="E260" s="79">
        <v>0.701</v>
      </c>
      <c r="F260" s="79">
        <v>0.7</v>
      </c>
      <c r="G260" s="79">
        <v>93.1</v>
      </c>
      <c r="H260" s="170">
        <v>0.0</v>
      </c>
      <c r="I260" s="79">
        <v>94.285</v>
      </c>
      <c r="J260" s="171">
        <f t="shared" ref="J260:J265" si="100">SQRT((I260*I260)/A260)</f>
        <v>21.08276693</v>
      </c>
      <c r="K260" s="172">
        <f t="shared" ref="K260:K265" si="101">J260/G260</f>
        <v>0.2264529208</v>
      </c>
      <c r="Q260" s="169">
        <v>20.0</v>
      </c>
      <c r="R260" s="79">
        <v>0.0</v>
      </c>
      <c r="S260" s="79">
        <v>0.0</v>
      </c>
      <c r="T260" s="170">
        <v>0.0</v>
      </c>
      <c r="U260" s="79">
        <v>7.144</v>
      </c>
      <c r="V260" s="79">
        <v>0.9</v>
      </c>
      <c r="W260" s="79">
        <v>1031.268</v>
      </c>
      <c r="X260" s="170">
        <v>0.0</v>
      </c>
      <c r="Y260" s="79" t="s">
        <v>165</v>
      </c>
      <c r="Z260" s="174">
        <v>0.0</v>
      </c>
      <c r="AA260" s="172">
        <f t="shared" ref="AA260:AA265" si="102">Z260/W260</f>
        <v>0</v>
      </c>
      <c r="AH260" s="71"/>
      <c r="AK260" s="11"/>
    </row>
    <row r="261">
      <c r="A261" s="169">
        <v>50.0</v>
      </c>
      <c r="B261" s="79">
        <v>0.0</v>
      </c>
      <c r="C261" s="79">
        <f t="shared" si="99"/>
        <v>0</v>
      </c>
      <c r="D261" s="170">
        <v>0.0</v>
      </c>
      <c r="E261" s="79">
        <v>0.506</v>
      </c>
      <c r="F261" s="79">
        <v>0.61</v>
      </c>
      <c r="G261" s="79">
        <v>74.025</v>
      </c>
      <c r="H261" s="173">
        <f t="shared" ref="H261:H265" si="103">G261/G260-1</f>
        <v>-0.204887218</v>
      </c>
      <c r="I261" s="79">
        <v>97.637</v>
      </c>
      <c r="J261" s="171">
        <f t="shared" si="100"/>
        <v>13.80795696</v>
      </c>
      <c r="K261" s="172">
        <f t="shared" si="101"/>
        <v>0.1865309957</v>
      </c>
      <c r="Q261" s="169">
        <v>50.0</v>
      </c>
      <c r="R261" s="79">
        <v>0.0</v>
      </c>
      <c r="S261" s="79">
        <v>0.0</v>
      </c>
      <c r="T261" s="170">
        <v>0.0</v>
      </c>
      <c r="U261" s="79">
        <v>6.235</v>
      </c>
      <c r="V261" s="79">
        <v>0.96</v>
      </c>
      <c r="W261" s="79">
        <v>1073.611</v>
      </c>
      <c r="X261" s="173">
        <f t="shared" ref="X261:X265" si="104">W261/W260-1</f>
        <v>0.04105916212</v>
      </c>
      <c r="Y261" s="79">
        <v>443.573</v>
      </c>
      <c r="Z261" s="171">
        <f t="shared" ref="Z261:Z265" si="105">SQRT((Y261*Y261)/Q261)</f>
        <v>62.73069525</v>
      </c>
      <c r="AA261" s="172">
        <f t="shared" si="102"/>
        <v>0.05842963164</v>
      </c>
      <c r="AH261" s="71"/>
      <c r="AK261" s="11"/>
    </row>
    <row r="262">
      <c r="A262" s="169">
        <v>100.0</v>
      </c>
      <c r="B262" s="79">
        <v>0.0</v>
      </c>
      <c r="C262" s="79">
        <f t="shared" si="99"/>
        <v>0</v>
      </c>
      <c r="D262" s="170">
        <v>0.0</v>
      </c>
      <c r="E262" s="79">
        <v>0.366</v>
      </c>
      <c r="F262" s="79">
        <v>0.55</v>
      </c>
      <c r="G262" s="79">
        <v>56.895</v>
      </c>
      <c r="H262" s="173">
        <f t="shared" si="103"/>
        <v>-0.231408308</v>
      </c>
      <c r="I262" s="79">
        <v>80.747</v>
      </c>
      <c r="J262" s="171">
        <f t="shared" si="100"/>
        <v>8.0747</v>
      </c>
      <c r="K262" s="172">
        <f t="shared" si="101"/>
        <v>0.1419228403</v>
      </c>
      <c r="Q262" s="169">
        <v>100.0</v>
      </c>
      <c r="R262" s="79">
        <v>0.0</v>
      </c>
      <c r="S262" s="79">
        <v>0.0</v>
      </c>
      <c r="T262" s="170">
        <v>0.0</v>
      </c>
      <c r="U262" s="79">
        <v>4.498</v>
      </c>
      <c r="V262" s="79">
        <v>0.93</v>
      </c>
      <c r="W262" s="79">
        <v>765.998</v>
      </c>
      <c r="X262" s="173">
        <f t="shared" si="104"/>
        <v>-0.2865218408</v>
      </c>
      <c r="Y262" s="79">
        <v>498.548</v>
      </c>
      <c r="Z262" s="171">
        <f t="shared" si="105"/>
        <v>49.8548</v>
      </c>
      <c r="AA262" s="172">
        <f t="shared" si="102"/>
        <v>0.06508476523</v>
      </c>
      <c r="AH262" s="71"/>
      <c r="AK262" s="11"/>
    </row>
    <row r="263">
      <c r="A263" s="169">
        <v>300.0</v>
      </c>
      <c r="B263" s="79">
        <v>0.0</v>
      </c>
      <c r="C263" s="79">
        <f t="shared" si="99"/>
        <v>0</v>
      </c>
      <c r="D263" s="170">
        <v>0.0</v>
      </c>
      <c r="E263" s="79">
        <v>0.293</v>
      </c>
      <c r="F263" s="79">
        <v>0.47</v>
      </c>
      <c r="G263" s="79">
        <v>48.241</v>
      </c>
      <c r="H263" s="173">
        <f t="shared" si="103"/>
        <v>-0.1521047544</v>
      </c>
      <c r="I263" s="79">
        <v>78.85</v>
      </c>
      <c r="J263" s="171">
        <f t="shared" si="100"/>
        <v>4.552406873</v>
      </c>
      <c r="K263" s="172">
        <f t="shared" si="101"/>
        <v>0.09436800383</v>
      </c>
      <c r="Q263" s="169">
        <v>300.0</v>
      </c>
      <c r="R263" s="79">
        <v>0.0</v>
      </c>
      <c r="S263" s="79">
        <v>0.0</v>
      </c>
      <c r="T263" s="170">
        <v>0.0</v>
      </c>
      <c r="U263" s="79">
        <v>3.589</v>
      </c>
      <c r="V263" s="79">
        <v>0.89</v>
      </c>
      <c r="W263" s="79">
        <v>619.854</v>
      </c>
      <c r="X263" s="173">
        <f t="shared" si="104"/>
        <v>-0.1907890099</v>
      </c>
      <c r="Y263" s="79">
        <v>501.859</v>
      </c>
      <c r="Z263" s="171">
        <f t="shared" si="105"/>
        <v>28.97484287</v>
      </c>
      <c r="AA263" s="172">
        <f t="shared" si="102"/>
        <v>0.04674462514</v>
      </c>
      <c r="AH263" s="71"/>
      <c r="AK263" s="11"/>
    </row>
    <row r="264">
      <c r="A264" s="169">
        <v>1000.0</v>
      </c>
      <c r="B264" s="79">
        <v>0.0</v>
      </c>
      <c r="C264" s="79">
        <f t="shared" si="99"/>
        <v>0</v>
      </c>
      <c r="D264" s="170">
        <v>0.0</v>
      </c>
      <c r="E264" s="79">
        <v>0.385</v>
      </c>
      <c r="F264" s="79">
        <v>0.52</v>
      </c>
      <c r="G264" s="79">
        <v>63.906</v>
      </c>
      <c r="H264" s="173">
        <f t="shared" si="103"/>
        <v>0.3247237827</v>
      </c>
      <c r="I264" s="79">
        <v>95.637</v>
      </c>
      <c r="J264" s="171">
        <f t="shared" si="100"/>
        <v>3.024307486</v>
      </c>
      <c r="K264" s="172">
        <f t="shared" si="101"/>
        <v>0.04732431205</v>
      </c>
      <c r="Q264" s="169">
        <v>1000.0</v>
      </c>
      <c r="R264" s="79">
        <v>17.0</v>
      </c>
      <c r="S264" s="79">
        <f t="shared" ref="S264:S265" si="106">R264/Q264</f>
        <v>0.017</v>
      </c>
      <c r="T264" s="170">
        <v>0.0</v>
      </c>
      <c r="U264" s="79">
        <v>6.587</v>
      </c>
      <c r="V264" s="79">
        <v>0.93</v>
      </c>
      <c r="W264" s="79">
        <v>1121.168</v>
      </c>
      <c r="X264" s="173">
        <f t="shared" si="104"/>
        <v>0.808761418</v>
      </c>
      <c r="Y264" s="79">
        <v>891.432</v>
      </c>
      <c r="Z264" s="171">
        <f t="shared" si="105"/>
        <v>28.18955499</v>
      </c>
      <c r="AA264" s="172">
        <f t="shared" si="102"/>
        <v>0.02514302495</v>
      </c>
      <c r="AH264" s="71"/>
      <c r="AK264" s="11"/>
    </row>
    <row r="265">
      <c r="A265" s="169">
        <v>5000.0</v>
      </c>
      <c r="B265" s="79">
        <v>0.0</v>
      </c>
      <c r="C265" s="79">
        <f t="shared" si="99"/>
        <v>0</v>
      </c>
      <c r="D265" s="170">
        <v>0.0</v>
      </c>
      <c r="E265" s="79">
        <v>0.414</v>
      </c>
      <c r="F265" s="79">
        <v>0.52</v>
      </c>
      <c r="G265" s="79">
        <v>77.42</v>
      </c>
      <c r="H265" s="173">
        <f t="shared" si="103"/>
        <v>0.2114668419</v>
      </c>
      <c r="I265" s="79">
        <v>119.968</v>
      </c>
      <c r="J265" s="171">
        <f t="shared" si="100"/>
        <v>1.696603727</v>
      </c>
      <c r="K265" s="172">
        <f t="shared" si="101"/>
        <v>0.02191428218</v>
      </c>
      <c r="Q265" s="169">
        <v>5000.0</v>
      </c>
      <c r="R265" s="79">
        <v>92.0</v>
      </c>
      <c r="S265" s="79">
        <f t="shared" si="106"/>
        <v>0.0184</v>
      </c>
      <c r="T265" s="170">
        <f>S265/S264</f>
        <v>1.082352941</v>
      </c>
      <c r="U265" s="79">
        <v>6.258</v>
      </c>
      <c r="V265" s="79">
        <v>0.92</v>
      </c>
      <c r="W265" s="79">
        <v>1089.67</v>
      </c>
      <c r="X265" s="173">
        <f t="shared" si="104"/>
        <v>-0.02809391634</v>
      </c>
      <c r="Y265" s="79">
        <v>949.814</v>
      </c>
      <c r="Z265" s="171">
        <f t="shared" si="105"/>
        <v>13.43239841</v>
      </c>
      <c r="AA265" s="172">
        <f t="shared" si="102"/>
        <v>0.01232703333</v>
      </c>
      <c r="AH265" s="71"/>
      <c r="AK265" s="11"/>
    </row>
    <row r="266">
      <c r="A266" s="70"/>
      <c r="AH266" s="71"/>
      <c r="AK266" s="11"/>
    </row>
    <row r="267">
      <c r="A267" s="70"/>
      <c r="AH267" s="71"/>
      <c r="AK267" s="11"/>
    </row>
    <row r="268">
      <c r="A268" s="134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136"/>
      <c r="AK268" s="11"/>
    </row>
    <row r="269">
      <c r="AK269" s="11"/>
    </row>
    <row r="270">
      <c r="A270" s="6" t="s">
        <v>162</v>
      </c>
      <c r="AK270" s="11"/>
    </row>
    <row r="271">
      <c r="A271" s="110" t="s">
        <v>134</v>
      </c>
      <c r="B271" s="111"/>
      <c r="C271" s="106">
        <v>1.0</v>
      </c>
      <c r="D271" s="106">
        <v>2.0</v>
      </c>
      <c r="E271" s="106">
        <v>3.0</v>
      </c>
      <c r="F271" s="106">
        <v>4.0</v>
      </c>
      <c r="G271" s="106">
        <v>5.0</v>
      </c>
      <c r="H271" s="106">
        <v>6.0</v>
      </c>
      <c r="Q271" s="112" t="s">
        <v>35</v>
      </c>
      <c r="R271" s="112" t="s">
        <v>166</v>
      </c>
      <c r="S271" s="112" t="s">
        <v>59</v>
      </c>
      <c r="T271" s="112" t="s">
        <v>63</v>
      </c>
      <c r="U271" s="112" t="s">
        <v>39</v>
      </c>
      <c r="AK271" s="11"/>
    </row>
    <row r="272">
      <c r="A272" s="110" t="s">
        <v>136</v>
      </c>
      <c r="B272" s="111"/>
      <c r="C272" s="79">
        <v>1.0</v>
      </c>
      <c r="D272" s="79">
        <v>1.0</v>
      </c>
      <c r="E272" s="79">
        <v>1.0</v>
      </c>
      <c r="F272" s="79">
        <v>1.0</v>
      </c>
      <c r="G272" s="79">
        <v>1.0</v>
      </c>
      <c r="H272" s="79">
        <v>1.0</v>
      </c>
      <c r="I272" s="79"/>
      <c r="Q272" s="113">
        <v>0.5</v>
      </c>
      <c r="R272" s="114">
        <v>5.0</v>
      </c>
      <c r="S272" s="79">
        <v>68.841</v>
      </c>
      <c r="T272" s="116">
        <f>S272+G230</f>
        <v>158.841</v>
      </c>
      <c r="U272" s="175">
        <v>0.0</v>
      </c>
      <c r="AK272" s="11"/>
    </row>
    <row r="273">
      <c r="A273" s="110" t="s">
        <v>138</v>
      </c>
      <c r="B273" s="111"/>
      <c r="C273" s="79">
        <v>5.0</v>
      </c>
      <c r="D273" s="79">
        <v>10.0</v>
      </c>
      <c r="E273" s="79">
        <v>20.0</v>
      </c>
      <c r="F273" s="79">
        <v>5.0</v>
      </c>
      <c r="G273" s="79">
        <v>10.0</v>
      </c>
      <c r="H273" s="79">
        <v>20.0</v>
      </c>
      <c r="Q273" s="113">
        <v>0.5</v>
      </c>
      <c r="R273" s="29">
        <v>10.0</v>
      </c>
      <c r="S273" s="79">
        <v>71.42</v>
      </c>
      <c r="T273" s="119">
        <f>S273+G244</f>
        <v>161.42</v>
      </c>
      <c r="U273" s="176">
        <v>0.0</v>
      </c>
      <c r="AK273" s="11"/>
    </row>
    <row r="274">
      <c r="A274" s="112" t="s">
        <v>141</v>
      </c>
      <c r="B274" s="106" t="s">
        <v>142</v>
      </c>
      <c r="C274" s="121">
        <v>169.57</v>
      </c>
      <c r="D274" s="121">
        <v>169.57</v>
      </c>
      <c r="E274" s="121">
        <v>169.57</v>
      </c>
      <c r="F274" s="121">
        <v>169.57</v>
      </c>
      <c r="G274" s="121">
        <v>169.57</v>
      </c>
      <c r="H274" s="121">
        <v>169.57</v>
      </c>
      <c r="Q274" s="113">
        <v>0.5</v>
      </c>
      <c r="R274" s="123">
        <v>20.0</v>
      </c>
      <c r="S274" s="79">
        <v>77.42</v>
      </c>
      <c r="T274" s="125">
        <f>S274+G257</f>
        <v>167.42</v>
      </c>
      <c r="U274" s="177">
        <v>0.0</v>
      </c>
      <c r="AK274" s="11"/>
    </row>
    <row r="275">
      <c r="A275" s="28"/>
      <c r="B275" s="106" t="s">
        <v>144</v>
      </c>
      <c r="C275" s="29" t="s">
        <v>145</v>
      </c>
      <c r="D275" s="127" t="s">
        <v>145</v>
      </c>
      <c r="E275" s="127" t="s">
        <v>145</v>
      </c>
      <c r="F275" s="127" t="s">
        <v>145</v>
      </c>
      <c r="G275" s="127" t="s">
        <v>145</v>
      </c>
      <c r="H275" s="127" t="s">
        <v>145</v>
      </c>
      <c r="Q275" s="113">
        <v>0.9</v>
      </c>
      <c r="R275" s="114">
        <v>5.0</v>
      </c>
      <c r="S275" s="79">
        <v>470.935</v>
      </c>
      <c r="T275" s="116">
        <f>S275+W230</f>
        <v>650.935</v>
      </c>
      <c r="U275" s="178">
        <v>0.1408</v>
      </c>
      <c r="AK275" s="11"/>
    </row>
    <row r="276">
      <c r="A276" s="112" t="s">
        <v>148</v>
      </c>
      <c r="B276" s="106" t="s">
        <v>142</v>
      </c>
      <c r="C276" s="168">
        <v>90.0</v>
      </c>
      <c r="D276" s="5">
        <v>90.0</v>
      </c>
      <c r="E276" s="168">
        <v>90.0</v>
      </c>
      <c r="F276" s="168">
        <v>180.0</v>
      </c>
      <c r="G276" s="168">
        <v>160.0</v>
      </c>
      <c r="H276" s="168">
        <v>90.0</v>
      </c>
      <c r="Q276" s="113">
        <v>0.9</v>
      </c>
      <c r="R276" s="29">
        <v>10.0</v>
      </c>
      <c r="S276" s="79">
        <v>696.147</v>
      </c>
      <c r="T276" s="119">
        <f>S276+W244</f>
        <v>856.147</v>
      </c>
      <c r="U276" s="179">
        <v>0.0494</v>
      </c>
      <c r="AK276" s="11"/>
    </row>
    <row r="277">
      <c r="A277" s="28"/>
      <c r="B277" s="106" t="s">
        <v>149</v>
      </c>
      <c r="C277" s="5">
        <v>1.0</v>
      </c>
      <c r="D277" s="5">
        <v>1.0</v>
      </c>
      <c r="E277" s="5">
        <v>1.0</v>
      </c>
      <c r="F277" s="5">
        <v>1.0</v>
      </c>
      <c r="G277" s="5">
        <v>1.0</v>
      </c>
      <c r="H277" s="5">
        <v>1.0</v>
      </c>
      <c r="Q277" s="113">
        <v>0.9</v>
      </c>
      <c r="R277" s="123">
        <v>20.0</v>
      </c>
      <c r="S277" s="79">
        <v>1089.67</v>
      </c>
      <c r="T277" s="125">
        <f>S277+W257</f>
        <v>1179.67</v>
      </c>
      <c r="U277" s="177">
        <v>0.0184</v>
      </c>
      <c r="AK277" s="11"/>
    </row>
    <row r="278">
      <c r="Q278" s="113"/>
      <c r="R278" s="114"/>
      <c r="S278" s="128"/>
      <c r="T278" s="116"/>
      <c r="U278" s="132"/>
      <c r="AK278" s="11"/>
    </row>
    <row r="279">
      <c r="Q279" s="118"/>
      <c r="R279" s="29"/>
      <c r="S279" s="109"/>
      <c r="T279" s="119"/>
      <c r="U279" s="130"/>
      <c r="AK279" s="11"/>
    </row>
    <row r="280">
      <c r="Q280" s="122"/>
      <c r="R280" s="123"/>
      <c r="S280" s="131"/>
      <c r="T280" s="125"/>
      <c r="U280" s="133"/>
      <c r="AK280" s="11"/>
    </row>
    <row r="281">
      <c r="AK281" s="11"/>
    </row>
    <row r="282">
      <c r="AK282" s="11"/>
    </row>
    <row r="283">
      <c r="AI283" s="180"/>
      <c r="AK283" s="11"/>
    </row>
    <row r="284">
      <c r="AK284" s="11"/>
    </row>
    <row r="285">
      <c r="AK285" s="11"/>
    </row>
    <row r="286">
      <c r="AK286" s="11"/>
    </row>
    <row r="287">
      <c r="AK287" s="11"/>
    </row>
    <row r="288">
      <c r="AK288" s="11"/>
    </row>
    <row r="289">
      <c r="AK289" s="11"/>
    </row>
    <row r="290">
      <c r="AK290" s="11"/>
    </row>
    <row r="291">
      <c r="AK291" s="11"/>
    </row>
    <row r="292">
      <c r="AK292" s="11"/>
    </row>
    <row r="293">
      <c r="AK293" s="11"/>
    </row>
    <row r="294">
      <c r="AK294" s="11"/>
    </row>
    <row r="295">
      <c r="AK295" s="11"/>
    </row>
    <row r="296">
      <c r="AK296" s="11"/>
    </row>
    <row r="297">
      <c r="AK297" s="11"/>
    </row>
    <row r="298">
      <c r="AK298" s="11"/>
    </row>
    <row r="299">
      <c r="AK299" s="11"/>
    </row>
    <row r="300">
      <c r="AK300" s="11"/>
    </row>
    <row r="301">
      <c r="AK301" s="11"/>
    </row>
    <row r="302">
      <c r="AK302" s="11"/>
    </row>
    <row r="303">
      <c r="AK303" s="11"/>
    </row>
    <row r="304">
      <c r="AK304" s="11"/>
    </row>
    <row r="305">
      <c r="AK305" s="11"/>
    </row>
    <row r="306">
      <c r="AK306" s="11"/>
    </row>
    <row r="307">
      <c r="AK307" s="11"/>
    </row>
    <row r="308">
      <c r="AK308" s="11"/>
    </row>
    <row r="309">
      <c r="AK309" s="11"/>
    </row>
    <row r="310">
      <c r="AK310" s="11"/>
    </row>
    <row r="311">
      <c r="AK311" s="11"/>
    </row>
    <row r="312">
      <c r="AK312" s="11"/>
    </row>
    <row r="313">
      <c r="AK313" s="11"/>
    </row>
    <row r="314">
      <c r="AK314" s="11"/>
    </row>
    <row r="315">
      <c r="AK315" s="11"/>
    </row>
    <row r="316">
      <c r="AK316" s="11"/>
    </row>
    <row r="317">
      <c r="AK317" s="11"/>
    </row>
    <row r="318">
      <c r="AK318" s="11"/>
    </row>
    <row r="319">
      <c r="AK319" s="11"/>
    </row>
    <row r="320">
      <c r="AK320" s="11"/>
    </row>
    <row r="321">
      <c r="AK321" s="11"/>
    </row>
    <row r="322">
      <c r="AK322" s="11"/>
    </row>
    <row r="323">
      <c r="AK323" s="11"/>
    </row>
    <row r="324">
      <c r="AK324" s="11"/>
    </row>
    <row r="325">
      <c r="AK325" s="11"/>
    </row>
    <row r="326">
      <c r="AK326" s="11"/>
    </row>
    <row r="327">
      <c r="AK327" s="11"/>
    </row>
    <row r="328">
      <c r="AK328" s="11"/>
    </row>
    <row r="329">
      <c r="AK329" s="11"/>
    </row>
    <row r="330">
      <c r="AK330" s="11"/>
    </row>
    <row r="331">
      <c r="AK331" s="11"/>
    </row>
    <row r="332">
      <c r="AK332" s="11"/>
    </row>
    <row r="333">
      <c r="AK333" s="11"/>
    </row>
    <row r="334">
      <c r="AK334" s="11"/>
    </row>
    <row r="335">
      <c r="AK335" s="11"/>
    </row>
    <row r="336">
      <c r="AK336" s="11"/>
    </row>
    <row r="337">
      <c r="AK337" s="11"/>
    </row>
    <row r="338">
      <c r="AK338" s="11"/>
    </row>
    <row r="339">
      <c r="AK339" s="11"/>
    </row>
    <row r="340">
      <c r="AK340" s="11"/>
    </row>
    <row r="341">
      <c r="AK341" s="11"/>
    </row>
    <row r="342">
      <c r="AK342" s="11"/>
    </row>
    <row r="343">
      <c r="AK343" s="11"/>
    </row>
    <row r="344">
      <c r="AK344" s="11"/>
    </row>
    <row r="345">
      <c r="AK345" s="11"/>
    </row>
    <row r="346">
      <c r="AK346" s="11"/>
    </row>
    <row r="347">
      <c r="AK347" s="11"/>
    </row>
    <row r="348">
      <c r="AK348" s="11"/>
    </row>
    <row r="349">
      <c r="AK349" s="11"/>
    </row>
    <row r="350">
      <c r="AK350" s="11"/>
    </row>
    <row r="351">
      <c r="AK351" s="11"/>
    </row>
    <row r="352">
      <c r="AK352" s="11"/>
    </row>
    <row r="353">
      <c r="AK353" s="11"/>
    </row>
    <row r="354">
      <c r="AK354" s="11"/>
    </row>
    <row r="355">
      <c r="AK355" s="11"/>
    </row>
    <row r="356">
      <c r="AK356" s="11"/>
    </row>
    <row r="357">
      <c r="AK357" s="11"/>
    </row>
    <row r="358">
      <c r="AK358" s="11"/>
    </row>
    <row r="359">
      <c r="AK359" s="11"/>
    </row>
    <row r="360">
      <c r="AK360" s="11"/>
    </row>
    <row r="361">
      <c r="AK361" s="11"/>
    </row>
    <row r="362">
      <c r="AK362" s="11"/>
    </row>
    <row r="363">
      <c r="AK363" s="11"/>
    </row>
    <row r="364">
      <c r="AK364" s="11"/>
    </row>
    <row r="365">
      <c r="AK365" s="11"/>
    </row>
    <row r="366">
      <c r="AK366" s="11"/>
    </row>
    <row r="367">
      <c r="AK367" s="11"/>
    </row>
    <row r="368">
      <c r="AK368" s="11"/>
    </row>
    <row r="369">
      <c r="AK369" s="11"/>
    </row>
    <row r="370">
      <c r="AK370" s="11"/>
    </row>
    <row r="371">
      <c r="AK371" s="11"/>
    </row>
    <row r="372">
      <c r="AK372" s="11"/>
    </row>
    <row r="373">
      <c r="AK373" s="11"/>
    </row>
    <row r="374">
      <c r="AK374" s="11"/>
    </row>
    <row r="375">
      <c r="AK375" s="11"/>
    </row>
    <row r="376">
      <c r="AK376" s="11"/>
    </row>
    <row r="377">
      <c r="AK377" s="11"/>
    </row>
    <row r="378">
      <c r="AK378" s="11"/>
    </row>
    <row r="379">
      <c r="AK379" s="11"/>
    </row>
    <row r="380">
      <c r="AK380" s="11"/>
    </row>
    <row r="381">
      <c r="AK381" s="11"/>
    </row>
    <row r="382">
      <c r="AK382" s="11"/>
    </row>
    <row r="383">
      <c r="AK383" s="11"/>
    </row>
    <row r="384">
      <c r="AK384" s="11"/>
    </row>
    <row r="385">
      <c r="AK385" s="11"/>
    </row>
    <row r="386">
      <c r="AK386" s="11"/>
    </row>
    <row r="387">
      <c r="AK387" s="11"/>
    </row>
    <row r="388">
      <c r="AK388" s="11"/>
    </row>
    <row r="389">
      <c r="AK389" s="11"/>
    </row>
    <row r="390">
      <c r="AK390" s="11"/>
    </row>
    <row r="391">
      <c r="AK391" s="11"/>
    </row>
    <row r="392">
      <c r="AK392" s="11"/>
    </row>
    <row r="393">
      <c r="AK393" s="11"/>
    </row>
    <row r="394">
      <c r="AK394" s="11"/>
    </row>
    <row r="395">
      <c r="AK395" s="11"/>
    </row>
    <row r="396">
      <c r="AK396" s="11"/>
    </row>
    <row r="397">
      <c r="AK397" s="11"/>
    </row>
    <row r="398">
      <c r="AK398" s="11"/>
    </row>
    <row r="399">
      <c r="AK399" s="11"/>
    </row>
    <row r="400">
      <c r="AK400" s="11"/>
    </row>
    <row r="401">
      <c r="AK401" s="11"/>
    </row>
    <row r="402">
      <c r="AK402" s="11"/>
    </row>
    <row r="403">
      <c r="AK403" s="11"/>
    </row>
    <row r="404">
      <c r="AK404" s="11"/>
    </row>
    <row r="405">
      <c r="AK405" s="11"/>
    </row>
    <row r="406">
      <c r="AK406" s="11"/>
    </row>
    <row r="407">
      <c r="AK407" s="11"/>
    </row>
    <row r="408">
      <c r="AK408" s="11"/>
    </row>
    <row r="409">
      <c r="AK409" s="11"/>
    </row>
    <row r="410">
      <c r="AK410" s="11"/>
    </row>
    <row r="411">
      <c r="AK411" s="11"/>
    </row>
    <row r="412">
      <c r="AK412" s="11"/>
    </row>
    <row r="413">
      <c r="AK413" s="11"/>
    </row>
    <row r="414">
      <c r="AK414" s="11"/>
    </row>
    <row r="415">
      <c r="AK415" s="11"/>
    </row>
    <row r="416">
      <c r="AK416" s="11"/>
    </row>
    <row r="417">
      <c r="AK417" s="11"/>
    </row>
    <row r="418">
      <c r="AK418" s="11"/>
    </row>
    <row r="419">
      <c r="AK419" s="11"/>
    </row>
    <row r="420">
      <c r="AK420" s="11"/>
    </row>
    <row r="421">
      <c r="AK421" s="11"/>
    </row>
    <row r="422">
      <c r="AK422" s="11"/>
    </row>
    <row r="423">
      <c r="AK423" s="11"/>
    </row>
    <row r="424">
      <c r="AK424" s="11"/>
    </row>
    <row r="425">
      <c r="AK425" s="11"/>
    </row>
    <row r="426">
      <c r="AK426" s="11"/>
    </row>
    <row r="427">
      <c r="AK427" s="11"/>
    </row>
    <row r="428">
      <c r="AK428" s="11"/>
    </row>
    <row r="429">
      <c r="AK429" s="11"/>
    </row>
    <row r="430">
      <c r="AK430" s="11"/>
    </row>
    <row r="431">
      <c r="AK431" s="11"/>
    </row>
    <row r="432">
      <c r="AK432" s="11"/>
    </row>
    <row r="433">
      <c r="AK433" s="11"/>
    </row>
    <row r="434">
      <c r="AK434" s="11"/>
    </row>
    <row r="435">
      <c r="AK435" s="11"/>
    </row>
    <row r="436">
      <c r="AK436" s="11"/>
    </row>
    <row r="437">
      <c r="AK437" s="11"/>
    </row>
    <row r="438">
      <c r="AK438" s="11"/>
    </row>
    <row r="439">
      <c r="AK439" s="11"/>
    </row>
    <row r="440">
      <c r="AK440" s="11"/>
    </row>
    <row r="441">
      <c r="AK441" s="11"/>
    </row>
    <row r="442">
      <c r="AK442" s="11"/>
    </row>
    <row r="443">
      <c r="AK443" s="11"/>
    </row>
    <row r="444">
      <c r="AK444" s="11"/>
    </row>
    <row r="445">
      <c r="AK445" s="11"/>
    </row>
    <row r="446">
      <c r="AK446" s="11"/>
    </row>
    <row r="447">
      <c r="AK447" s="11"/>
    </row>
    <row r="448">
      <c r="AK448" s="11"/>
    </row>
    <row r="449">
      <c r="AK449" s="11"/>
    </row>
    <row r="450">
      <c r="AK450" s="11"/>
    </row>
    <row r="451">
      <c r="AK451" s="11"/>
    </row>
    <row r="452">
      <c r="AK452" s="11"/>
    </row>
    <row r="453">
      <c r="AK453" s="11"/>
    </row>
    <row r="454">
      <c r="AK454" s="11"/>
    </row>
    <row r="455">
      <c r="AK455" s="11"/>
    </row>
    <row r="456">
      <c r="AK456" s="11"/>
    </row>
    <row r="457">
      <c r="AK457" s="11"/>
    </row>
    <row r="458">
      <c r="AK458" s="11"/>
    </row>
    <row r="459">
      <c r="AK459" s="11"/>
    </row>
    <row r="460">
      <c r="AK460" s="11"/>
    </row>
    <row r="461">
      <c r="AK461" s="11"/>
    </row>
    <row r="462">
      <c r="AK462" s="11"/>
    </row>
    <row r="463">
      <c r="AK463" s="11"/>
    </row>
    <row r="464">
      <c r="AK464" s="11"/>
    </row>
    <row r="465">
      <c r="AK465" s="11"/>
    </row>
    <row r="466">
      <c r="AK466" s="11"/>
    </row>
    <row r="467">
      <c r="AK467" s="11"/>
    </row>
    <row r="468">
      <c r="AK468" s="11"/>
    </row>
    <row r="469">
      <c r="AK469" s="11"/>
    </row>
    <row r="470">
      <c r="AK470" s="11"/>
    </row>
    <row r="471">
      <c r="AK471" s="11"/>
    </row>
    <row r="472">
      <c r="AK472" s="11"/>
    </row>
    <row r="473">
      <c r="AK473" s="11"/>
    </row>
    <row r="474">
      <c r="AK474" s="11"/>
    </row>
    <row r="475">
      <c r="AK475" s="11"/>
    </row>
    <row r="476">
      <c r="AK476" s="11"/>
    </row>
    <row r="477">
      <c r="AK477" s="11"/>
    </row>
    <row r="478">
      <c r="AK478" s="11"/>
    </row>
    <row r="479">
      <c r="AK479" s="11"/>
    </row>
    <row r="480">
      <c r="AK480" s="11"/>
    </row>
    <row r="481">
      <c r="AK481" s="11"/>
    </row>
    <row r="482">
      <c r="AK482" s="11"/>
    </row>
    <row r="483">
      <c r="AK483" s="11"/>
    </row>
    <row r="484">
      <c r="AK484" s="11"/>
    </row>
    <row r="485">
      <c r="AK485" s="11"/>
    </row>
    <row r="486">
      <c r="AK486" s="11"/>
    </row>
    <row r="487">
      <c r="AK487" s="11"/>
    </row>
    <row r="488">
      <c r="AK488" s="11"/>
    </row>
    <row r="489">
      <c r="AK489" s="11"/>
    </row>
    <row r="490">
      <c r="AK490" s="11"/>
    </row>
    <row r="491">
      <c r="AK491" s="11"/>
    </row>
    <row r="492">
      <c r="AK492" s="11"/>
    </row>
    <row r="493">
      <c r="AK493" s="11"/>
    </row>
    <row r="494">
      <c r="AK494" s="11"/>
    </row>
    <row r="495">
      <c r="AK495" s="11"/>
    </row>
    <row r="496">
      <c r="AK496" s="11"/>
    </row>
    <row r="497">
      <c r="AK497" s="11"/>
    </row>
    <row r="498">
      <c r="AK498" s="11"/>
    </row>
    <row r="499">
      <c r="AK499" s="11"/>
    </row>
    <row r="500">
      <c r="AK500" s="11"/>
    </row>
    <row r="501">
      <c r="AK501" s="11"/>
    </row>
    <row r="502">
      <c r="AK502" s="11"/>
    </row>
    <row r="503">
      <c r="AK503" s="11"/>
    </row>
    <row r="504">
      <c r="AK504" s="11"/>
    </row>
    <row r="505">
      <c r="AK505" s="11"/>
    </row>
    <row r="506">
      <c r="AK506" s="11"/>
    </row>
    <row r="507">
      <c r="AK507" s="11"/>
    </row>
    <row r="508">
      <c r="AK508" s="11"/>
    </row>
    <row r="509">
      <c r="AK509" s="11"/>
    </row>
    <row r="510">
      <c r="AK510" s="11"/>
    </row>
    <row r="511">
      <c r="AK511" s="11"/>
    </row>
    <row r="512">
      <c r="AK512" s="11"/>
    </row>
    <row r="513">
      <c r="AK513" s="11"/>
    </row>
    <row r="514">
      <c r="AK514" s="11"/>
    </row>
    <row r="515">
      <c r="AK515" s="11"/>
    </row>
    <row r="516">
      <c r="AK516" s="11"/>
    </row>
    <row r="517">
      <c r="AK517" s="11"/>
    </row>
    <row r="518">
      <c r="AK518" s="11"/>
    </row>
    <row r="519">
      <c r="AK519" s="11"/>
    </row>
    <row r="520">
      <c r="AK520" s="11"/>
    </row>
    <row r="521">
      <c r="AK521" s="11"/>
    </row>
    <row r="522">
      <c r="AK522" s="11"/>
    </row>
    <row r="523">
      <c r="AK523" s="11"/>
    </row>
    <row r="524">
      <c r="AK524" s="11"/>
    </row>
    <row r="525">
      <c r="AK525" s="11"/>
    </row>
    <row r="526">
      <c r="AK526" s="11"/>
    </row>
    <row r="527">
      <c r="AK527" s="11"/>
    </row>
    <row r="528">
      <c r="AK528" s="11"/>
    </row>
    <row r="529">
      <c r="AK529" s="11"/>
    </row>
    <row r="530">
      <c r="AK530" s="11"/>
    </row>
    <row r="531">
      <c r="AK531" s="11"/>
    </row>
    <row r="532">
      <c r="AK532" s="11"/>
    </row>
    <row r="533">
      <c r="AK533" s="11"/>
    </row>
    <row r="534">
      <c r="AK534" s="11"/>
    </row>
    <row r="535">
      <c r="AK535" s="11"/>
    </row>
    <row r="536">
      <c r="AK536" s="11"/>
    </row>
    <row r="537">
      <c r="AK537" s="11"/>
    </row>
    <row r="538">
      <c r="AK538" s="11"/>
    </row>
    <row r="539">
      <c r="AK539" s="11"/>
    </row>
    <row r="540">
      <c r="AK540" s="11"/>
    </row>
    <row r="541">
      <c r="AK541" s="11"/>
    </row>
    <row r="542">
      <c r="AK542" s="11"/>
    </row>
    <row r="543">
      <c r="AK543" s="11"/>
    </row>
    <row r="544">
      <c r="AK544" s="11"/>
    </row>
    <row r="545">
      <c r="AK545" s="11"/>
    </row>
    <row r="546">
      <c r="AK546" s="11"/>
    </row>
    <row r="547">
      <c r="AK547" s="11"/>
    </row>
    <row r="548">
      <c r="AK548" s="11"/>
    </row>
    <row r="549">
      <c r="AK549" s="11"/>
    </row>
    <row r="550">
      <c r="AK550" s="11"/>
    </row>
    <row r="551">
      <c r="AK551" s="11"/>
    </row>
    <row r="552">
      <c r="AK552" s="11"/>
    </row>
    <row r="553">
      <c r="AK553" s="11"/>
    </row>
    <row r="554">
      <c r="AK554" s="11"/>
    </row>
    <row r="555">
      <c r="AK555" s="11"/>
    </row>
    <row r="556">
      <c r="AK556" s="11"/>
    </row>
    <row r="557">
      <c r="AK557" s="11"/>
    </row>
    <row r="558">
      <c r="AK558" s="11"/>
    </row>
    <row r="559">
      <c r="AK559" s="11"/>
    </row>
    <row r="560">
      <c r="AK560" s="11"/>
    </row>
    <row r="561">
      <c r="AK561" s="11"/>
    </row>
    <row r="562">
      <c r="AK562" s="11"/>
    </row>
    <row r="563">
      <c r="AK563" s="11"/>
    </row>
    <row r="564">
      <c r="AK564" s="11"/>
    </row>
    <row r="565">
      <c r="AK565" s="11"/>
    </row>
    <row r="566">
      <c r="AK566" s="11"/>
    </row>
    <row r="567">
      <c r="AK567" s="11"/>
    </row>
    <row r="568">
      <c r="AK568" s="11"/>
    </row>
    <row r="569">
      <c r="AK569" s="11"/>
    </row>
    <row r="570">
      <c r="AK570" s="11"/>
    </row>
    <row r="571">
      <c r="AK571" s="11"/>
    </row>
    <row r="572">
      <c r="AK572" s="11"/>
    </row>
    <row r="573">
      <c r="AK573" s="11"/>
    </row>
    <row r="574">
      <c r="AK574" s="11"/>
    </row>
    <row r="575">
      <c r="AK575" s="11"/>
    </row>
    <row r="576">
      <c r="AK576" s="11"/>
    </row>
    <row r="577">
      <c r="AK577" s="11"/>
    </row>
    <row r="578">
      <c r="AK578" s="11"/>
    </row>
    <row r="579">
      <c r="AK579" s="11"/>
    </row>
    <row r="580">
      <c r="AK580" s="11"/>
    </row>
    <row r="581">
      <c r="AK581" s="11"/>
    </row>
    <row r="582">
      <c r="AK582" s="11"/>
    </row>
    <row r="583">
      <c r="AK583" s="11"/>
    </row>
    <row r="584">
      <c r="AK584" s="11"/>
    </row>
    <row r="585">
      <c r="AK585" s="11"/>
    </row>
    <row r="586">
      <c r="AK586" s="11"/>
    </row>
    <row r="587">
      <c r="AK587" s="11"/>
    </row>
    <row r="588">
      <c r="AK588" s="11"/>
    </row>
    <row r="589">
      <c r="AK589" s="11"/>
    </row>
    <row r="590">
      <c r="AK590" s="11"/>
    </row>
    <row r="591">
      <c r="AK591" s="11"/>
    </row>
    <row r="592">
      <c r="AK592" s="11"/>
    </row>
    <row r="593">
      <c r="AK593" s="11"/>
    </row>
    <row r="594">
      <c r="AK594" s="11"/>
    </row>
    <row r="595">
      <c r="AK595" s="11"/>
    </row>
    <row r="596">
      <c r="AK596" s="11"/>
    </row>
    <row r="597">
      <c r="AK597" s="11"/>
    </row>
    <row r="598">
      <c r="AK598" s="11"/>
    </row>
    <row r="599">
      <c r="AK599" s="11"/>
    </row>
    <row r="600">
      <c r="AK600" s="11"/>
    </row>
    <row r="601">
      <c r="AK601" s="11"/>
    </row>
    <row r="602">
      <c r="AK602" s="11"/>
    </row>
    <row r="603">
      <c r="AK603" s="11"/>
    </row>
    <row r="604">
      <c r="AK604" s="11"/>
    </row>
    <row r="605">
      <c r="AK605" s="11"/>
    </row>
    <row r="606">
      <c r="AK606" s="11"/>
    </row>
    <row r="607">
      <c r="AK607" s="11"/>
    </row>
    <row r="608">
      <c r="AK608" s="11"/>
    </row>
    <row r="609">
      <c r="AK609" s="11"/>
    </row>
    <row r="610">
      <c r="AK610" s="11"/>
    </row>
    <row r="611">
      <c r="AK611" s="11"/>
    </row>
    <row r="612">
      <c r="AK612" s="11"/>
    </row>
    <row r="613">
      <c r="AK613" s="11"/>
    </row>
    <row r="614">
      <c r="AK614" s="11"/>
    </row>
    <row r="615">
      <c r="AK615" s="11"/>
    </row>
    <row r="616">
      <c r="AK616" s="11"/>
    </row>
    <row r="617">
      <c r="AK617" s="11"/>
    </row>
    <row r="618">
      <c r="AK618" s="11"/>
    </row>
    <row r="619">
      <c r="AK619" s="11"/>
    </row>
    <row r="620">
      <c r="AK620" s="11"/>
    </row>
    <row r="621">
      <c r="AK621" s="11"/>
    </row>
    <row r="622">
      <c r="AK622" s="11"/>
    </row>
    <row r="623">
      <c r="AK623" s="11"/>
    </row>
    <row r="624">
      <c r="AK624" s="11"/>
    </row>
    <row r="625">
      <c r="AK625" s="11"/>
    </row>
    <row r="626">
      <c r="AK626" s="11"/>
    </row>
    <row r="627">
      <c r="AK627" s="11"/>
    </row>
    <row r="628">
      <c r="AK628" s="11"/>
    </row>
    <row r="629">
      <c r="AK629" s="11"/>
    </row>
    <row r="630">
      <c r="AK630" s="11"/>
    </row>
    <row r="631">
      <c r="AK631" s="11"/>
    </row>
    <row r="632">
      <c r="AK632" s="11"/>
    </row>
    <row r="633">
      <c r="AK633" s="11"/>
    </row>
    <row r="634">
      <c r="AK634" s="11"/>
    </row>
    <row r="635">
      <c r="AK635" s="11"/>
    </row>
    <row r="636">
      <c r="AK636" s="11"/>
    </row>
    <row r="637">
      <c r="AK637" s="11"/>
    </row>
    <row r="638">
      <c r="AK638" s="11"/>
    </row>
    <row r="639">
      <c r="AK639" s="11"/>
    </row>
    <row r="640">
      <c r="AK640" s="11"/>
    </row>
    <row r="641">
      <c r="AK641" s="11"/>
    </row>
    <row r="642">
      <c r="AK642" s="11"/>
    </row>
    <row r="643">
      <c r="AK643" s="11"/>
    </row>
    <row r="644">
      <c r="AK644" s="11"/>
    </row>
    <row r="645">
      <c r="AK645" s="11"/>
    </row>
    <row r="646">
      <c r="AK646" s="11"/>
    </row>
    <row r="647">
      <c r="AK647" s="11"/>
    </row>
    <row r="648">
      <c r="AK648" s="11"/>
    </row>
    <row r="649">
      <c r="AK649" s="11"/>
    </row>
    <row r="650">
      <c r="AK650" s="11"/>
    </row>
    <row r="651">
      <c r="AK651" s="11"/>
    </row>
    <row r="652">
      <c r="AK652" s="11"/>
    </row>
    <row r="653">
      <c r="AK653" s="11"/>
    </row>
    <row r="654">
      <c r="AK654" s="11"/>
    </row>
    <row r="655">
      <c r="AK655" s="11"/>
    </row>
    <row r="656">
      <c r="AK656" s="11"/>
    </row>
    <row r="657">
      <c r="AK657" s="11"/>
    </row>
    <row r="658">
      <c r="AK658" s="11"/>
    </row>
    <row r="659">
      <c r="AK659" s="11"/>
    </row>
    <row r="660">
      <c r="AK660" s="11"/>
    </row>
    <row r="661">
      <c r="AK661" s="11"/>
    </row>
    <row r="662">
      <c r="AK662" s="11"/>
    </row>
    <row r="663">
      <c r="AK663" s="11"/>
    </row>
    <row r="664">
      <c r="AK664" s="11"/>
    </row>
    <row r="665">
      <c r="AK665" s="11"/>
    </row>
    <row r="666">
      <c r="AK666" s="11"/>
    </row>
    <row r="667">
      <c r="AK667" s="11"/>
    </row>
    <row r="668">
      <c r="AK668" s="11"/>
    </row>
    <row r="669">
      <c r="AK669" s="11"/>
    </row>
    <row r="670">
      <c r="AK670" s="11"/>
    </row>
    <row r="671">
      <c r="AK671" s="11"/>
    </row>
    <row r="672">
      <c r="AK672" s="11"/>
    </row>
    <row r="673">
      <c r="AK673" s="11"/>
    </row>
    <row r="674">
      <c r="AK674" s="11"/>
    </row>
    <row r="675">
      <c r="AK675" s="11"/>
    </row>
    <row r="676">
      <c r="AK676" s="11"/>
    </row>
    <row r="677">
      <c r="AK677" s="11"/>
    </row>
    <row r="678">
      <c r="AK678" s="11"/>
    </row>
    <row r="679">
      <c r="AK679" s="11"/>
    </row>
    <row r="680">
      <c r="AK680" s="11"/>
    </row>
    <row r="681">
      <c r="AK681" s="11"/>
    </row>
    <row r="682">
      <c r="AK682" s="11"/>
    </row>
    <row r="683">
      <c r="AK683" s="11"/>
    </row>
    <row r="684">
      <c r="AK684" s="11"/>
    </row>
    <row r="685">
      <c r="AK685" s="11"/>
    </row>
    <row r="686">
      <c r="AK686" s="11"/>
    </row>
    <row r="687">
      <c r="AK687" s="11"/>
    </row>
    <row r="688">
      <c r="AK688" s="11"/>
    </row>
    <row r="689">
      <c r="AK689" s="11"/>
    </row>
    <row r="690">
      <c r="AK690" s="11"/>
    </row>
    <row r="691">
      <c r="AK691" s="11"/>
    </row>
    <row r="692">
      <c r="AK692" s="11"/>
    </row>
    <row r="693">
      <c r="AK693" s="11"/>
    </row>
    <row r="694">
      <c r="AK694" s="11"/>
    </row>
    <row r="695">
      <c r="AK695" s="11"/>
    </row>
    <row r="696">
      <c r="AK696" s="11"/>
    </row>
    <row r="697">
      <c r="AK697" s="11"/>
    </row>
    <row r="698">
      <c r="AK698" s="11"/>
    </row>
    <row r="699">
      <c r="AK699" s="11"/>
    </row>
    <row r="700">
      <c r="AK700" s="11"/>
    </row>
    <row r="701">
      <c r="AK701" s="11"/>
    </row>
    <row r="702">
      <c r="AK702" s="11"/>
    </row>
    <row r="703">
      <c r="AK703" s="11"/>
    </row>
    <row r="704">
      <c r="AK704" s="11"/>
    </row>
    <row r="705">
      <c r="AK705" s="11"/>
    </row>
    <row r="706">
      <c r="AK706" s="11"/>
    </row>
    <row r="707">
      <c r="AK707" s="11"/>
    </row>
    <row r="708">
      <c r="AK708" s="11"/>
    </row>
    <row r="709">
      <c r="AK709" s="11"/>
    </row>
    <row r="710">
      <c r="AK710" s="11"/>
    </row>
    <row r="711">
      <c r="AK711" s="11"/>
    </row>
    <row r="712">
      <c r="AK712" s="11"/>
    </row>
    <row r="713">
      <c r="AK713" s="11"/>
    </row>
    <row r="714">
      <c r="AK714" s="11"/>
    </row>
    <row r="715">
      <c r="AK715" s="11"/>
    </row>
    <row r="716">
      <c r="AK716" s="11"/>
    </row>
    <row r="717">
      <c r="AK717" s="11"/>
    </row>
    <row r="718">
      <c r="AK718" s="11"/>
    </row>
    <row r="719">
      <c r="AK719" s="11"/>
    </row>
    <row r="720">
      <c r="AK720" s="11"/>
    </row>
    <row r="721">
      <c r="AK721" s="11"/>
    </row>
    <row r="722">
      <c r="AK722" s="11"/>
    </row>
    <row r="723">
      <c r="AK723" s="11"/>
    </row>
    <row r="724">
      <c r="AK724" s="11"/>
    </row>
    <row r="725">
      <c r="AK725" s="11"/>
    </row>
    <row r="726">
      <c r="AK726" s="11"/>
    </row>
    <row r="727">
      <c r="AK727" s="11"/>
    </row>
    <row r="728">
      <c r="AK728" s="11"/>
    </row>
    <row r="729">
      <c r="AK729" s="11"/>
    </row>
    <row r="730">
      <c r="AK730" s="11"/>
    </row>
    <row r="731">
      <c r="AK731" s="11"/>
    </row>
    <row r="732">
      <c r="AK732" s="11"/>
    </row>
    <row r="733">
      <c r="AK733" s="11"/>
    </row>
    <row r="734">
      <c r="AK734" s="11"/>
    </row>
    <row r="735">
      <c r="AK735" s="11"/>
    </row>
    <row r="736">
      <c r="AK736" s="11"/>
    </row>
    <row r="737">
      <c r="AK737" s="11"/>
    </row>
    <row r="738">
      <c r="AK738" s="11"/>
    </row>
    <row r="739">
      <c r="AK739" s="11"/>
    </row>
    <row r="740">
      <c r="AK740" s="11"/>
    </row>
    <row r="741">
      <c r="AK741" s="11"/>
    </row>
    <row r="742">
      <c r="AK742" s="11"/>
    </row>
    <row r="743">
      <c r="AK743" s="11"/>
    </row>
    <row r="744">
      <c r="AK744" s="11"/>
    </row>
    <row r="745">
      <c r="AK745" s="11"/>
    </row>
    <row r="746">
      <c r="AK746" s="11"/>
    </row>
    <row r="747">
      <c r="AK747" s="11"/>
    </row>
    <row r="748">
      <c r="AK748" s="11"/>
    </row>
    <row r="749">
      <c r="AK749" s="11"/>
    </row>
    <row r="750">
      <c r="AK750" s="11"/>
    </row>
    <row r="751">
      <c r="AK751" s="11"/>
    </row>
    <row r="752">
      <c r="AK752" s="11"/>
    </row>
    <row r="753">
      <c r="AK753" s="11"/>
    </row>
    <row r="754">
      <c r="AK754" s="11"/>
    </row>
    <row r="755">
      <c r="AK755" s="11"/>
    </row>
    <row r="756">
      <c r="AK756" s="11"/>
    </row>
    <row r="757">
      <c r="AK757" s="11"/>
    </row>
    <row r="758">
      <c r="AK758" s="11"/>
    </row>
    <row r="759">
      <c r="AK759" s="11"/>
    </row>
    <row r="760">
      <c r="AK760" s="11"/>
    </row>
    <row r="761">
      <c r="AK761" s="11"/>
    </row>
    <row r="762">
      <c r="AK762" s="11"/>
    </row>
    <row r="763">
      <c r="AK763" s="11"/>
    </row>
    <row r="764">
      <c r="AK764" s="11"/>
    </row>
    <row r="765">
      <c r="AK765" s="11"/>
    </row>
    <row r="766">
      <c r="AK766" s="11"/>
    </row>
    <row r="767">
      <c r="AK767" s="11"/>
    </row>
    <row r="768">
      <c r="AK768" s="11"/>
    </row>
    <row r="769">
      <c r="AK769" s="11"/>
    </row>
    <row r="770">
      <c r="AK770" s="11"/>
    </row>
    <row r="771">
      <c r="AK771" s="11"/>
    </row>
    <row r="772">
      <c r="AK772" s="11"/>
    </row>
    <row r="773">
      <c r="AK773" s="11"/>
    </row>
    <row r="774">
      <c r="AK774" s="11"/>
    </row>
    <row r="775">
      <c r="AK775" s="11"/>
    </row>
    <row r="776">
      <c r="AK776" s="11"/>
    </row>
    <row r="777">
      <c r="AK777" s="11"/>
    </row>
    <row r="778">
      <c r="AK778" s="11"/>
    </row>
    <row r="779">
      <c r="AK779" s="11"/>
    </row>
    <row r="780">
      <c r="AK780" s="11"/>
    </row>
    <row r="781">
      <c r="AK781" s="11"/>
    </row>
    <row r="782">
      <c r="AK782" s="11"/>
    </row>
    <row r="783">
      <c r="AK783" s="11"/>
    </row>
    <row r="784">
      <c r="AK784" s="11"/>
    </row>
    <row r="785">
      <c r="AK785" s="11"/>
    </row>
    <row r="786">
      <c r="AK786" s="11"/>
    </row>
    <row r="787">
      <c r="AK787" s="11"/>
    </row>
    <row r="788">
      <c r="AK788" s="11"/>
    </row>
    <row r="789">
      <c r="AK789" s="11"/>
    </row>
    <row r="790">
      <c r="AK790" s="11"/>
    </row>
    <row r="791">
      <c r="AK791" s="11"/>
    </row>
    <row r="792">
      <c r="AK792" s="11"/>
    </row>
    <row r="793">
      <c r="AK793" s="11"/>
    </row>
    <row r="794">
      <c r="AK794" s="11"/>
    </row>
    <row r="795">
      <c r="AK795" s="11"/>
    </row>
    <row r="796">
      <c r="AK796" s="11"/>
    </row>
    <row r="797">
      <c r="AK797" s="11"/>
    </row>
    <row r="798">
      <c r="AK798" s="11"/>
    </row>
    <row r="799">
      <c r="AK799" s="11"/>
    </row>
    <row r="800">
      <c r="AK800" s="11"/>
    </row>
    <row r="801">
      <c r="AK801" s="11"/>
    </row>
    <row r="802">
      <c r="AK802" s="11"/>
    </row>
    <row r="803">
      <c r="AK803" s="11"/>
    </row>
    <row r="804">
      <c r="AK804" s="11"/>
    </row>
    <row r="805">
      <c r="AK805" s="11"/>
    </row>
    <row r="806">
      <c r="AK806" s="11"/>
    </row>
    <row r="807">
      <c r="AK807" s="11"/>
    </row>
    <row r="808">
      <c r="AK808" s="11"/>
    </row>
    <row r="809">
      <c r="AK809" s="11"/>
    </row>
    <row r="810">
      <c r="AK810" s="11"/>
    </row>
    <row r="811">
      <c r="AK811" s="11"/>
    </row>
    <row r="812">
      <c r="AK812" s="11"/>
    </row>
    <row r="813">
      <c r="AK813" s="11"/>
    </row>
    <row r="814">
      <c r="AK814" s="11"/>
    </row>
    <row r="815">
      <c r="AK815" s="11"/>
    </row>
    <row r="816">
      <c r="AK816" s="11"/>
    </row>
    <row r="817">
      <c r="AK817" s="11"/>
    </row>
    <row r="818">
      <c r="AK818" s="11"/>
    </row>
    <row r="819">
      <c r="AK819" s="11"/>
    </row>
    <row r="820">
      <c r="AK820" s="11"/>
    </row>
    <row r="821">
      <c r="AK821" s="11"/>
    </row>
    <row r="822">
      <c r="AK822" s="11"/>
    </row>
    <row r="823">
      <c r="AK823" s="11"/>
    </row>
    <row r="824">
      <c r="AK824" s="11"/>
    </row>
    <row r="825">
      <c r="AK825" s="11"/>
    </row>
    <row r="826">
      <c r="AK826" s="11"/>
    </row>
    <row r="827">
      <c r="AK827" s="11"/>
    </row>
    <row r="828">
      <c r="AK828" s="11"/>
    </row>
    <row r="829">
      <c r="AK829" s="11"/>
    </row>
    <row r="830">
      <c r="AK830" s="11"/>
    </row>
    <row r="831">
      <c r="AK831" s="11"/>
    </row>
    <row r="832">
      <c r="AK832" s="11"/>
    </row>
    <row r="833">
      <c r="AK833" s="11"/>
    </row>
    <row r="834">
      <c r="AK834" s="11"/>
    </row>
    <row r="835">
      <c r="AK835" s="11"/>
    </row>
    <row r="836">
      <c r="AK836" s="11"/>
    </row>
    <row r="837">
      <c r="AK837" s="11"/>
    </row>
    <row r="838">
      <c r="AK838" s="11"/>
    </row>
    <row r="839">
      <c r="AK839" s="11"/>
    </row>
    <row r="840">
      <c r="AK840" s="11"/>
    </row>
    <row r="841">
      <c r="AK841" s="11"/>
    </row>
    <row r="842">
      <c r="AK842" s="11"/>
    </row>
    <row r="843">
      <c r="AK843" s="11"/>
    </row>
    <row r="844">
      <c r="AK844" s="11"/>
    </row>
    <row r="845">
      <c r="AK845" s="11"/>
    </row>
    <row r="846">
      <c r="AK846" s="11"/>
    </row>
    <row r="847">
      <c r="AK847" s="11"/>
    </row>
    <row r="848">
      <c r="AK848" s="11"/>
    </row>
    <row r="849">
      <c r="AK849" s="11"/>
    </row>
    <row r="850">
      <c r="AK850" s="11"/>
    </row>
    <row r="851">
      <c r="AK851" s="11"/>
    </row>
    <row r="852">
      <c r="AK852" s="11"/>
    </row>
    <row r="853">
      <c r="AK853" s="11"/>
    </row>
    <row r="854">
      <c r="AK854" s="11"/>
    </row>
    <row r="855">
      <c r="AK855" s="11"/>
    </row>
    <row r="856">
      <c r="AK856" s="11"/>
    </row>
    <row r="857">
      <c r="AK857" s="11"/>
    </row>
    <row r="858">
      <c r="AK858" s="11"/>
    </row>
    <row r="859">
      <c r="AK859" s="11"/>
    </row>
    <row r="860">
      <c r="AK860" s="11"/>
    </row>
    <row r="861">
      <c r="AK861" s="11"/>
    </row>
    <row r="862">
      <c r="AK862" s="11"/>
    </row>
    <row r="863">
      <c r="AK863" s="11"/>
    </row>
    <row r="864">
      <c r="AK864" s="11"/>
    </row>
    <row r="865">
      <c r="AK865" s="11"/>
    </row>
    <row r="866">
      <c r="AK866" s="11"/>
    </row>
    <row r="867">
      <c r="AK867" s="11"/>
    </row>
    <row r="868">
      <c r="AK868" s="11"/>
    </row>
    <row r="869">
      <c r="AK869" s="11"/>
    </row>
    <row r="870">
      <c r="AK870" s="11"/>
    </row>
    <row r="871">
      <c r="AK871" s="11"/>
    </row>
    <row r="872">
      <c r="AK872" s="11"/>
    </row>
    <row r="873">
      <c r="AK873" s="11"/>
    </row>
    <row r="874">
      <c r="AK874" s="11"/>
    </row>
    <row r="875">
      <c r="AK875" s="11"/>
    </row>
    <row r="876">
      <c r="AK876" s="11"/>
    </row>
    <row r="877">
      <c r="AK877" s="11"/>
    </row>
    <row r="878">
      <c r="AK878" s="11"/>
    </row>
    <row r="879">
      <c r="AK879" s="11"/>
    </row>
    <row r="880">
      <c r="AK880" s="11"/>
    </row>
    <row r="881">
      <c r="AK881" s="11"/>
    </row>
    <row r="882">
      <c r="AK882" s="11"/>
    </row>
    <row r="883">
      <c r="AK883" s="11"/>
    </row>
    <row r="884">
      <c r="AK884" s="11"/>
    </row>
    <row r="885">
      <c r="AK885" s="11"/>
    </row>
    <row r="886">
      <c r="AK886" s="11"/>
    </row>
    <row r="887">
      <c r="AK887" s="11"/>
    </row>
    <row r="888">
      <c r="AK888" s="11"/>
    </row>
    <row r="889">
      <c r="AK889" s="11"/>
    </row>
    <row r="890">
      <c r="AK890" s="11"/>
    </row>
    <row r="891">
      <c r="AK891" s="11"/>
    </row>
    <row r="892">
      <c r="AK892" s="11"/>
    </row>
    <row r="893">
      <c r="AK893" s="11"/>
    </row>
    <row r="894">
      <c r="AK894" s="11"/>
    </row>
    <row r="895">
      <c r="AK895" s="11"/>
    </row>
    <row r="896">
      <c r="AK896" s="11"/>
    </row>
    <row r="897">
      <c r="AK897" s="11"/>
    </row>
    <row r="898">
      <c r="AK898" s="11"/>
    </row>
    <row r="899">
      <c r="AK899" s="11"/>
    </row>
    <row r="900">
      <c r="AK900" s="11"/>
    </row>
    <row r="901">
      <c r="AK901" s="11"/>
    </row>
    <row r="902">
      <c r="AK902" s="11"/>
    </row>
    <row r="903">
      <c r="AK903" s="11"/>
    </row>
    <row r="904">
      <c r="AK904" s="11"/>
    </row>
    <row r="905">
      <c r="AK905" s="11"/>
    </row>
    <row r="906">
      <c r="AK906" s="11"/>
    </row>
    <row r="907">
      <c r="AK907" s="11"/>
    </row>
    <row r="908">
      <c r="AK908" s="11"/>
    </row>
    <row r="909">
      <c r="AK909" s="11"/>
    </row>
    <row r="910">
      <c r="AK910" s="11"/>
    </row>
    <row r="911">
      <c r="AK911" s="11"/>
    </row>
    <row r="912">
      <c r="AK912" s="11"/>
    </row>
    <row r="913">
      <c r="AK913" s="11"/>
    </row>
    <row r="914">
      <c r="AK914" s="11"/>
    </row>
    <row r="915">
      <c r="AK915" s="11"/>
    </row>
    <row r="916">
      <c r="AK916" s="11"/>
    </row>
    <row r="917">
      <c r="AK917" s="11"/>
    </row>
    <row r="918">
      <c r="AK918" s="11"/>
    </row>
    <row r="919">
      <c r="AK919" s="11"/>
    </row>
    <row r="920">
      <c r="AK920" s="11"/>
    </row>
    <row r="921">
      <c r="AK921" s="11"/>
    </row>
    <row r="922">
      <c r="AK922" s="11"/>
    </row>
    <row r="923">
      <c r="AK923" s="11"/>
    </row>
    <row r="924">
      <c r="AK924" s="11"/>
    </row>
    <row r="925">
      <c r="AK925" s="11"/>
    </row>
    <row r="926">
      <c r="AK926" s="11"/>
    </row>
    <row r="927">
      <c r="AK927" s="11"/>
    </row>
    <row r="928">
      <c r="AK928" s="11"/>
    </row>
    <row r="929">
      <c r="AK929" s="11"/>
    </row>
    <row r="930">
      <c r="AK930" s="11"/>
    </row>
    <row r="931">
      <c r="AK931" s="11"/>
    </row>
    <row r="932">
      <c r="AK932" s="11"/>
    </row>
    <row r="933">
      <c r="AK933" s="11"/>
    </row>
    <row r="934">
      <c r="AK934" s="11"/>
    </row>
    <row r="935">
      <c r="AK935" s="11"/>
    </row>
    <row r="936">
      <c r="AK936" s="11"/>
    </row>
    <row r="937">
      <c r="AK937" s="11"/>
    </row>
    <row r="938">
      <c r="AK938" s="11"/>
    </row>
    <row r="939">
      <c r="AK939" s="11"/>
    </row>
    <row r="940">
      <c r="AK940" s="11"/>
    </row>
    <row r="941">
      <c r="AK941" s="11"/>
    </row>
    <row r="942">
      <c r="AK942" s="11"/>
    </row>
    <row r="943">
      <c r="AK943" s="11"/>
    </row>
    <row r="944">
      <c r="AK944" s="11"/>
    </row>
    <row r="945">
      <c r="AK945" s="11"/>
    </row>
    <row r="946">
      <c r="AK946" s="11"/>
    </row>
    <row r="947">
      <c r="AK947" s="11"/>
    </row>
    <row r="948">
      <c r="AK948" s="11"/>
    </row>
    <row r="949">
      <c r="AK949" s="11"/>
    </row>
    <row r="950">
      <c r="AK950" s="11"/>
    </row>
    <row r="951">
      <c r="AK951" s="11"/>
    </row>
    <row r="952">
      <c r="AK952" s="11"/>
    </row>
    <row r="953">
      <c r="AK953" s="11"/>
    </row>
    <row r="954">
      <c r="AK954" s="11"/>
    </row>
    <row r="955">
      <c r="AK955" s="11"/>
    </row>
    <row r="956">
      <c r="AK956" s="11"/>
    </row>
    <row r="957">
      <c r="AK957" s="11"/>
    </row>
    <row r="958">
      <c r="AK958" s="11"/>
    </row>
    <row r="959">
      <c r="AK959" s="11"/>
    </row>
    <row r="960">
      <c r="AK960" s="11"/>
    </row>
    <row r="961">
      <c r="AK961" s="11"/>
    </row>
    <row r="962">
      <c r="AK962" s="11"/>
    </row>
    <row r="963">
      <c r="AK963" s="11"/>
    </row>
    <row r="964">
      <c r="AK964" s="11"/>
    </row>
    <row r="965">
      <c r="AK965" s="11"/>
    </row>
    <row r="966">
      <c r="AK966" s="11"/>
    </row>
    <row r="967">
      <c r="AK967" s="11"/>
    </row>
    <row r="968">
      <c r="AK968" s="11"/>
    </row>
    <row r="969">
      <c r="AK969" s="11"/>
    </row>
    <row r="970">
      <c r="AK970" s="11"/>
    </row>
    <row r="971">
      <c r="AK971" s="11"/>
    </row>
    <row r="972">
      <c r="AK972" s="11"/>
    </row>
    <row r="973">
      <c r="AK973" s="11"/>
    </row>
    <row r="974">
      <c r="AK974" s="11"/>
    </row>
    <row r="975">
      <c r="AK975" s="11"/>
    </row>
    <row r="976">
      <c r="AK976" s="11"/>
    </row>
    <row r="977">
      <c r="AK977" s="11"/>
    </row>
    <row r="978">
      <c r="AK978" s="11"/>
    </row>
    <row r="979">
      <c r="AK979" s="11"/>
    </row>
    <row r="980">
      <c r="AK980" s="11"/>
    </row>
    <row r="981">
      <c r="AK981" s="11"/>
    </row>
    <row r="982">
      <c r="AK982" s="11"/>
    </row>
    <row r="983">
      <c r="AK983" s="11"/>
    </row>
    <row r="984">
      <c r="AK984" s="11"/>
    </row>
    <row r="985">
      <c r="AK985" s="11"/>
    </row>
    <row r="986">
      <c r="AK986" s="11"/>
    </row>
    <row r="987">
      <c r="AK987" s="11"/>
    </row>
    <row r="988">
      <c r="AK988" s="11"/>
    </row>
    <row r="989">
      <c r="AK989" s="11"/>
    </row>
    <row r="990">
      <c r="AK990" s="11"/>
    </row>
    <row r="991">
      <c r="AK991" s="11"/>
    </row>
    <row r="992">
      <c r="AK992" s="11"/>
    </row>
    <row r="993">
      <c r="AK993" s="11"/>
    </row>
    <row r="994">
      <c r="AK994" s="11"/>
    </row>
    <row r="995">
      <c r="AK995" s="11"/>
    </row>
    <row r="996">
      <c r="AK996" s="11"/>
    </row>
    <row r="997">
      <c r="AK997" s="11"/>
    </row>
    <row r="998">
      <c r="AK998" s="11"/>
    </row>
    <row r="999">
      <c r="AK999" s="11"/>
    </row>
    <row r="1000">
      <c r="AK1000" s="11"/>
    </row>
  </sheetData>
  <mergeCells count="332">
    <mergeCell ref="AE17:AE19"/>
    <mergeCell ref="AF17:AF19"/>
    <mergeCell ref="Z14:Z16"/>
    <mergeCell ref="AD14:AD16"/>
    <mergeCell ref="AE14:AE16"/>
    <mergeCell ref="AF14:AF16"/>
    <mergeCell ref="AG14:AG16"/>
    <mergeCell ref="AD17:AD19"/>
    <mergeCell ref="AG17:AG19"/>
    <mergeCell ref="AE11:AE13"/>
    <mergeCell ref="AF11:AF13"/>
    <mergeCell ref="AG11:AG13"/>
    <mergeCell ref="AD2:AD4"/>
    <mergeCell ref="AD11:AD13"/>
    <mergeCell ref="AD20:AD22"/>
    <mergeCell ref="AE20:AE22"/>
    <mergeCell ref="AF20:AF22"/>
    <mergeCell ref="AG20:AG22"/>
    <mergeCell ref="AG23:AG25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G32:AH32"/>
    <mergeCell ref="AG33:AG34"/>
    <mergeCell ref="AG35:AG36"/>
    <mergeCell ref="AG39:AH40"/>
    <mergeCell ref="AG41:AG42"/>
    <mergeCell ref="AH41:AH42"/>
    <mergeCell ref="AI41:AI42"/>
    <mergeCell ref="AM56:AM57"/>
    <mergeCell ref="AN56:AN57"/>
    <mergeCell ref="AO56:AO57"/>
    <mergeCell ref="AP56:AP57"/>
    <mergeCell ref="AQ56:AQ57"/>
    <mergeCell ref="AG54:AH55"/>
    <mergeCell ref="AG56:AG57"/>
    <mergeCell ref="AH56:AH57"/>
    <mergeCell ref="AI56:AI57"/>
    <mergeCell ref="AJ56:AJ57"/>
    <mergeCell ref="AK56:AK57"/>
    <mergeCell ref="AL56:AL57"/>
    <mergeCell ref="AF5:AF7"/>
    <mergeCell ref="AG5:AG7"/>
    <mergeCell ref="AD5:AD7"/>
    <mergeCell ref="AD8:AD10"/>
    <mergeCell ref="AE8:AE10"/>
    <mergeCell ref="AF8:AF10"/>
    <mergeCell ref="AG8:AG10"/>
    <mergeCell ref="Z2:Z4"/>
    <mergeCell ref="AE2:AE4"/>
    <mergeCell ref="AF2:AF4"/>
    <mergeCell ref="Z5:Z7"/>
    <mergeCell ref="AE5:AE7"/>
    <mergeCell ref="Z8:Z10"/>
    <mergeCell ref="Z11:Z13"/>
    <mergeCell ref="AE23:AE25"/>
    <mergeCell ref="AF23:AF25"/>
    <mergeCell ref="AD23:AD25"/>
    <mergeCell ref="AD26:AD28"/>
    <mergeCell ref="AE26:AE28"/>
    <mergeCell ref="AF26:AF28"/>
    <mergeCell ref="AG26:AG28"/>
    <mergeCell ref="AG30:AH30"/>
    <mergeCell ref="AG31:AH31"/>
    <mergeCell ref="Z17:Z19"/>
    <mergeCell ref="Z20:Z22"/>
    <mergeCell ref="Z23:Z25"/>
    <mergeCell ref="Z26:Z28"/>
    <mergeCell ref="Z41:Z44"/>
    <mergeCell ref="Z45:Z48"/>
    <mergeCell ref="Z49:Z52"/>
    <mergeCell ref="AP68:AP69"/>
    <mergeCell ref="AQ68:AQ69"/>
    <mergeCell ref="AI68:AI69"/>
    <mergeCell ref="AJ68:AJ69"/>
    <mergeCell ref="AK68:AK69"/>
    <mergeCell ref="AL68:AL69"/>
    <mergeCell ref="AM68:AM69"/>
    <mergeCell ref="AN68:AN69"/>
    <mergeCell ref="AO68:AO69"/>
    <mergeCell ref="Z53:Z56"/>
    <mergeCell ref="Z57:Z60"/>
    <mergeCell ref="Z61:Z64"/>
    <mergeCell ref="Z65:Z68"/>
    <mergeCell ref="AG66:AH67"/>
    <mergeCell ref="AG68:AG69"/>
    <mergeCell ref="AH68:AH69"/>
    <mergeCell ref="C98:C99"/>
    <mergeCell ref="D98:D99"/>
    <mergeCell ref="E98:E99"/>
    <mergeCell ref="F98:F99"/>
    <mergeCell ref="G98:G99"/>
    <mergeCell ref="H98:H99"/>
    <mergeCell ref="I98:I99"/>
    <mergeCell ref="J98:J99"/>
    <mergeCell ref="A161:B161"/>
    <mergeCell ref="A162:B162"/>
    <mergeCell ref="E136:E137"/>
    <mergeCell ref="F136:F137"/>
    <mergeCell ref="A180:B181"/>
    <mergeCell ref="A182:A183"/>
    <mergeCell ref="B182:B183"/>
    <mergeCell ref="C182:C183"/>
    <mergeCell ref="D182:D183"/>
    <mergeCell ref="A163:B163"/>
    <mergeCell ref="G136:G137"/>
    <mergeCell ref="H136:H137"/>
    <mergeCell ref="I136:I137"/>
    <mergeCell ref="J136:J137"/>
    <mergeCell ref="N96:O97"/>
    <mergeCell ref="N98:N99"/>
    <mergeCell ref="O98:O99"/>
    <mergeCell ref="A134:B135"/>
    <mergeCell ref="A136:A137"/>
    <mergeCell ref="B136:B137"/>
    <mergeCell ref="K136:K137"/>
    <mergeCell ref="E182:E183"/>
    <mergeCell ref="F182:F183"/>
    <mergeCell ref="G182:G183"/>
    <mergeCell ref="H182:H183"/>
    <mergeCell ref="I182:I183"/>
    <mergeCell ref="J182:J183"/>
    <mergeCell ref="K182:K183"/>
    <mergeCell ref="G197:G198"/>
    <mergeCell ref="H197:H198"/>
    <mergeCell ref="I197:I198"/>
    <mergeCell ref="J197:J198"/>
    <mergeCell ref="K197:K198"/>
    <mergeCell ref="A195:B196"/>
    <mergeCell ref="A197:A198"/>
    <mergeCell ref="B197:B198"/>
    <mergeCell ref="C197:C198"/>
    <mergeCell ref="D197:D198"/>
    <mergeCell ref="E197:E198"/>
    <mergeCell ref="F197:F198"/>
    <mergeCell ref="A164:A165"/>
    <mergeCell ref="A166:A167"/>
    <mergeCell ref="P98:P99"/>
    <mergeCell ref="Q98:Q99"/>
    <mergeCell ref="R98:R99"/>
    <mergeCell ref="S98:S99"/>
    <mergeCell ref="T98:T99"/>
    <mergeCell ref="U98:U99"/>
    <mergeCell ref="V98:V99"/>
    <mergeCell ref="W98:W99"/>
    <mergeCell ref="Z69:Z72"/>
    <mergeCell ref="Z73:Z76"/>
    <mergeCell ref="A96:B97"/>
    <mergeCell ref="A98:A99"/>
    <mergeCell ref="B98:B99"/>
    <mergeCell ref="K98:K99"/>
    <mergeCell ref="C136:C137"/>
    <mergeCell ref="D136:D137"/>
    <mergeCell ref="P136:P137"/>
    <mergeCell ref="Q136:Q137"/>
    <mergeCell ref="R136:R137"/>
    <mergeCell ref="S136:S137"/>
    <mergeCell ref="T136:T137"/>
    <mergeCell ref="X98:X99"/>
    <mergeCell ref="N134:O135"/>
    <mergeCell ref="N136:N137"/>
    <mergeCell ref="O136:O137"/>
    <mergeCell ref="R180:S181"/>
    <mergeCell ref="R182:R183"/>
    <mergeCell ref="S182:S183"/>
    <mergeCell ref="R195:S196"/>
    <mergeCell ref="R231:R232"/>
    <mergeCell ref="S231:S232"/>
    <mergeCell ref="R197:R198"/>
    <mergeCell ref="S197:S198"/>
    <mergeCell ref="R211:S212"/>
    <mergeCell ref="R213:R214"/>
    <mergeCell ref="S213:S214"/>
    <mergeCell ref="Q229:R230"/>
    <mergeCell ref="Q231:Q232"/>
    <mergeCell ref="AL197:AL198"/>
    <mergeCell ref="AM197:AM198"/>
    <mergeCell ref="AE211:AF212"/>
    <mergeCell ref="AA197:AA198"/>
    <mergeCell ref="AB197:AB198"/>
    <mergeCell ref="AG197:AG198"/>
    <mergeCell ref="AH197:AH198"/>
    <mergeCell ref="AI197:AI198"/>
    <mergeCell ref="AJ197:AJ198"/>
    <mergeCell ref="AK197:AK198"/>
    <mergeCell ref="AE180:AF181"/>
    <mergeCell ref="AE182:AE183"/>
    <mergeCell ref="AF182:AF183"/>
    <mergeCell ref="AE195:AF196"/>
    <mergeCell ref="AE197:AE198"/>
    <mergeCell ref="AF197:AF198"/>
    <mergeCell ref="U136:U137"/>
    <mergeCell ref="V136:V137"/>
    <mergeCell ref="W136:W137"/>
    <mergeCell ref="X136:X137"/>
    <mergeCell ref="AL182:AL183"/>
    <mergeCell ref="AM182:AM183"/>
    <mergeCell ref="AN182:AN183"/>
    <mergeCell ref="AO182:AO183"/>
    <mergeCell ref="AA182:AA183"/>
    <mergeCell ref="AB182:AB183"/>
    <mergeCell ref="AG182:AG183"/>
    <mergeCell ref="AH182:AH183"/>
    <mergeCell ref="AI182:AI183"/>
    <mergeCell ref="AJ182:AJ183"/>
    <mergeCell ref="AK182:AK183"/>
    <mergeCell ref="T182:T183"/>
    <mergeCell ref="U182:U183"/>
    <mergeCell ref="V182:V183"/>
    <mergeCell ref="W182:W183"/>
    <mergeCell ref="X182:X183"/>
    <mergeCell ref="Y182:Y183"/>
    <mergeCell ref="Z182:Z183"/>
    <mergeCell ref="AN197:AN198"/>
    <mergeCell ref="AO197:AO198"/>
    <mergeCell ref="T197:T198"/>
    <mergeCell ref="U197:U198"/>
    <mergeCell ref="V197:V198"/>
    <mergeCell ref="W197:W198"/>
    <mergeCell ref="X197:X198"/>
    <mergeCell ref="Y197:Y198"/>
    <mergeCell ref="Z197:Z198"/>
    <mergeCell ref="A211:B212"/>
    <mergeCell ref="A213:A214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T213:T214"/>
    <mergeCell ref="U213:U214"/>
    <mergeCell ref="V213:V214"/>
    <mergeCell ref="W213:W214"/>
    <mergeCell ref="X213:X214"/>
    <mergeCell ref="Y213:Y214"/>
    <mergeCell ref="Z213:Z214"/>
    <mergeCell ref="AA213:AA214"/>
    <mergeCell ref="AB213:AB214"/>
    <mergeCell ref="AL213:AL214"/>
    <mergeCell ref="AM213:AM214"/>
    <mergeCell ref="AN213:AN214"/>
    <mergeCell ref="AO213:AO214"/>
    <mergeCell ref="AE213:AE214"/>
    <mergeCell ref="AF213:AF214"/>
    <mergeCell ref="AG213:AG214"/>
    <mergeCell ref="AH213:AH214"/>
    <mergeCell ref="AI213:AI214"/>
    <mergeCell ref="AJ213:AJ214"/>
    <mergeCell ref="AK213:AK214"/>
    <mergeCell ref="G258:G259"/>
    <mergeCell ref="H258:H259"/>
    <mergeCell ref="I258:I259"/>
    <mergeCell ref="J258:J259"/>
    <mergeCell ref="K258:K259"/>
    <mergeCell ref="Q258:Q259"/>
    <mergeCell ref="R258:R259"/>
    <mergeCell ref="Z258:Z259"/>
    <mergeCell ref="AA258:AA259"/>
    <mergeCell ref="S258:S259"/>
    <mergeCell ref="T258:T259"/>
    <mergeCell ref="U258:U259"/>
    <mergeCell ref="V258:V259"/>
    <mergeCell ref="W258:W259"/>
    <mergeCell ref="X258:X259"/>
    <mergeCell ref="Y258:Y259"/>
    <mergeCell ref="A271:B271"/>
    <mergeCell ref="A272:B272"/>
    <mergeCell ref="A273:B273"/>
    <mergeCell ref="A274:A275"/>
    <mergeCell ref="A276:A277"/>
    <mergeCell ref="A256:B257"/>
    <mergeCell ref="A258:A259"/>
    <mergeCell ref="B258:B259"/>
    <mergeCell ref="C258:C259"/>
    <mergeCell ref="D258:D259"/>
    <mergeCell ref="E258:E259"/>
    <mergeCell ref="F258:F259"/>
    <mergeCell ref="V231:V232"/>
    <mergeCell ref="W231:W232"/>
    <mergeCell ref="X231:X232"/>
    <mergeCell ref="Y231:Y232"/>
    <mergeCell ref="Z231:Z232"/>
    <mergeCell ref="AA231:AA232"/>
    <mergeCell ref="Q243:R244"/>
    <mergeCell ref="G231:G232"/>
    <mergeCell ref="H231:H232"/>
    <mergeCell ref="I231:I232"/>
    <mergeCell ref="J231:J232"/>
    <mergeCell ref="K231:K232"/>
    <mergeCell ref="T231:T232"/>
    <mergeCell ref="U231:U232"/>
    <mergeCell ref="A229:B230"/>
    <mergeCell ref="A231:A232"/>
    <mergeCell ref="B231:B232"/>
    <mergeCell ref="C231:C232"/>
    <mergeCell ref="D231:D232"/>
    <mergeCell ref="E231:E232"/>
    <mergeCell ref="F231:F232"/>
    <mergeCell ref="G245:G246"/>
    <mergeCell ref="H245:H246"/>
    <mergeCell ref="I245:I246"/>
    <mergeCell ref="J245:J246"/>
    <mergeCell ref="K245:K246"/>
    <mergeCell ref="Q245:Q246"/>
    <mergeCell ref="R245:R246"/>
    <mergeCell ref="Z245:Z246"/>
    <mergeCell ref="AA245:AA246"/>
    <mergeCell ref="S245:S246"/>
    <mergeCell ref="T245:T246"/>
    <mergeCell ref="U245:U246"/>
    <mergeCell ref="V245:V246"/>
    <mergeCell ref="W245:W246"/>
    <mergeCell ref="X245:X246"/>
    <mergeCell ref="Y245:Y246"/>
    <mergeCell ref="Q256:R257"/>
    <mergeCell ref="A243:B244"/>
    <mergeCell ref="A245:A246"/>
    <mergeCell ref="B245:B246"/>
    <mergeCell ref="C245:C246"/>
    <mergeCell ref="D245:D246"/>
    <mergeCell ref="E245:E246"/>
    <mergeCell ref="F245:F2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81"/>
    </row>
    <row r="2">
      <c r="A2" s="6" t="s">
        <v>167</v>
      </c>
      <c r="B2" s="6">
        <v>1.0</v>
      </c>
      <c r="C2" s="6">
        <v>146.0</v>
      </c>
      <c r="D2" s="181">
        <v>3.14</v>
      </c>
      <c r="F2" s="6" t="s">
        <v>168</v>
      </c>
      <c r="G2" s="6" t="s">
        <v>168</v>
      </c>
      <c r="H2" s="6" t="s">
        <v>168</v>
      </c>
    </row>
    <row r="3">
      <c r="A3" s="6" t="s">
        <v>169</v>
      </c>
      <c r="B3" s="6">
        <v>2.0</v>
      </c>
      <c r="C3" s="6">
        <v>196.0</v>
      </c>
      <c r="D3" s="181">
        <v>4.37</v>
      </c>
      <c r="F3" s="6" t="s">
        <v>168</v>
      </c>
      <c r="G3" s="6" t="s">
        <v>168</v>
      </c>
      <c r="H3" s="6" t="s">
        <v>168</v>
      </c>
    </row>
    <row r="4">
      <c r="A4" s="6" t="s">
        <v>170</v>
      </c>
      <c r="B4" s="6">
        <v>3.0</v>
      </c>
      <c r="C4" s="6">
        <v>238.0</v>
      </c>
      <c r="D4" s="181">
        <v>5.86</v>
      </c>
      <c r="F4" s="6" t="s">
        <v>168</v>
      </c>
      <c r="G4" s="6" t="s">
        <v>168</v>
      </c>
      <c r="H4" s="6" t="s">
        <v>168</v>
      </c>
    </row>
    <row r="5">
      <c r="A5" s="6" t="s">
        <v>171</v>
      </c>
      <c r="B5" s="6">
        <v>4.0</v>
      </c>
      <c r="C5" s="6">
        <v>325.0</v>
      </c>
      <c r="D5" s="181">
        <v>7.9</v>
      </c>
      <c r="F5" s="6" t="s">
        <v>168</v>
      </c>
      <c r="G5" s="6" t="s">
        <v>168</v>
      </c>
      <c r="H5" s="6" t="s">
        <v>168</v>
      </c>
    </row>
    <row r="6">
      <c r="A6" s="6" t="s">
        <v>172</v>
      </c>
      <c r="B6" s="6">
        <v>5.0</v>
      </c>
      <c r="C6" s="6">
        <v>375.0</v>
      </c>
      <c r="D6" s="181">
        <v>10.25</v>
      </c>
      <c r="F6" s="6" t="s">
        <v>168</v>
      </c>
      <c r="G6" s="6" t="s">
        <v>168</v>
      </c>
      <c r="H6" s="6" t="s">
        <v>168</v>
      </c>
      <c r="J6" s="6"/>
    </row>
    <row r="7">
      <c r="A7" s="6" t="s">
        <v>173</v>
      </c>
      <c r="B7" s="6">
        <v>6.0</v>
      </c>
      <c r="C7" s="6">
        <v>454.0</v>
      </c>
      <c r="D7" s="181">
        <v>13.13</v>
      </c>
      <c r="F7" s="6" t="s">
        <v>168</v>
      </c>
      <c r="G7" s="6" t="s">
        <v>168</v>
      </c>
      <c r="H7" s="6" t="s">
        <v>168</v>
      </c>
      <c r="J7" s="6"/>
    </row>
    <row r="8">
      <c r="A8" s="6" t="s">
        <v>174</v>
      </c>
      <c r="B8" s="6">
        <v>7.0</v>
      </c>
      <c r="C8" s="6">
        <v>536.0</v>
      </c>
      <c r="D8" s="181">
        <v>16.46</v>
      </c>
      <c r="F8" s="6" t="s">
        <v>168</v>
      </c>
      <c r="G8" s="6" t="s">
        <v>168</v>
      </c>
      <c r="H8" s="6" t="s">
        <v>168</v>
      </c>
      <c r="J8" s="6"/>
    </row>
    <row r="9">
      <c r="A9" s="6" t="s">
        <v>175</v>
      </c>
      <c r="B9" s="6">
        <v>8.0</v>
      </c>
      <c r="C9" s="6">
        <v>593.0</v>
      </c>
      <c r="D9" s="181">
        <v>20.18</v>
      </c>
      <c r="F9" s="6" t="s">
        <v>168</v>
      </c>
      <c r="G9" s="6" t="s">
        <v>168</v>
      </c>
      <c r="H9" s="6" t="s">
        <v>168</v>
      </c>
      <c r="J9" s="6"/>
    </row>
    <row r="10">
      <c r="A10" s="6" t="s">
        <v>176</v>
      </c>
      <c r="B10" s="6">
        <v>9.0</v>
      </c>
      <c r="C10" s="6">
        <v>588.0</v>
      </c>
      <c r="D10" s="181">
        <v>23.87</v>
      </c>
      <c r="F10" s="6" t="s">
        <v>168</v>
      </c>
      <c r="G10" s="6" t="s">
        <v>168</v>
      </c>
      <c r="H10" s="6" t="s">
        <v>168</v>
      </c>
      <c r="J10" s="6"/>
    </row>
    <row r="11">
      <c r="A11" s="6" t="s">
        <v>177</v>
      </c>
      <c r="B11" s="6">
        <v>10.0</v>
      </c>
      <c r="C11" s="6">
        <v>636.0</v>
      </c>
      <c r="D11" s="181">
        <v>27.86</v>
      </c>
      <c r="F11" s="6" t="s">
        <v>168</v>
      </c>
      <c r="G11" s="6" t="s">
        <v>168</v>
      </c>
      <c r="H11" s="6" t="s">
        <v>168</v>
      </c>
      <c r="J11" s="6"/>
    </row>
    <row r="12">
      <c r="A12" s="6" t="s">
        <v>178</v>
      </c>
      <c r="B12" s="6">
        <v>11.0</v>
      </c>
      <c r="C12" s="6">
        <v>717.0</v>
      </c>
      <c r="D12" s="181">
        <v>32.36</v>
      </c>
      <c r="F12" s="6" t="s">
        <v>168</v>
      </c>
      <c r="G12" s="6" t="s">
        <v>168</v>
      </c>
      <c r="H12" s="6" t="s">
        <v>168</v>
      </c>
      <c r="J12" s="6"/>
    </row>
    <row r="13">
      <c r="A13" s="6" t="s">
        <v>179</v>
      </c>
      <c r="B13" s="6">
        <v>12.0</v>
      </c>
      <c r="C13" s="6">
        <v>686.0</v>
      </c>
      <c r="D13" s="181">
        <v>36.66</v>
      </c>
      <c r="F13" s="6" t="s">
        <v>168</v>
      </c>
      <c r="G13" s="6" t="s">
        <v>168</v>
      </c>
      <c r="H13" s="6" t="s">
        <v>168</v>
      </c>
      <c r="J13" s="6"/>
    </row>
    <row r="14">
      <c r="A14" s="6" t="s">
        <v>180</v>
      </c>
      <c r="B14" s="6">
        <v>13.0</v>
      </c>
      <c r="C14" s="6">
        <v>697.0</v>
      </c>
      <c r="D14" s="181">
        <v>41.04</v>
      </c>
      <c r="F14" s="6" t="s">
        <v>168</v>
      </c>
      <c r="G14" s="6" t="s">
        <v>168</v>
      </c>
      <c r="H14" s="6" t="s">
        <v>168</v>
      </c>
      <c r="J14" s="6"/>
    </row>
    <row r="15">
      <c r="A15" s="6" t="s">
        <v>181</v>
      </c>
      <c r="B15" s="6">
        <v>14.0</v>
      </c>
      <c r="C15" s="6">
        <v>676.0</v>
      </c>
      <c r="D15" s="181">
        <v>45.28</v>
      </c>
      <c r="F15" s="6" t="s">
        <v>168</v>
      </c>
      <c r="G15" s="6" t="s">
        <v>168</v>
      </c>
      <c r="H15" s="6" t="s">
        <v>168</v>
      </c>
      <c r="J15" s="6"/>
    </row>
    <row r="16">
      <c r="A16" s="6" t="s">
        <v>182</v>
      </c>
      <c r="B16" s="6">
        <v>15.0</v>
      </c>
      <c r="C16" s="6">
        <v>649.0</v>
      </c>
      <c r="D16" s="181">
        <v>49.35</v>
      </c>
      <c r="F16" s="6" t="s">
        <v>168</v>
      </c>
      <c r="G16" s="6" t="s">
        <v>168</v>
      </c>
      <c r="H16" s="6" t="s">
        <v>168</v>
      </c>
      <c r="J16" s="6"/>
    </row>
    <row r="17">
      <c r="A17" s="6" t="s">
        <v>183</v>
      </c>
      <c r="B17" s="6">
        <v>16.0</v>
      </c>
      <c r="C17" s="6">
        <v>631.0</v>
      </c>
      <c r="D17" s="181">
        <v>53.31</v>
      </c>
      <c r="F17" s="6" t="s">
        <v>168</v>
      </c>
      <c r="G17" s="6" t="s">
        <v>168</v>
      </c>
      <c r="H17" s="6" t="s">
        <v>168</v>
      </c>
      <c r="J17" s="6"/>
    </row>
    <row r="18">
      <c r="A18" s="6" t="s">
        <v>184</v>
      </c>
      <c r="B18" s="6">
        <v>17.0</v>
      </c>
      <c r="C18" s="6">
        <v>650.0</v>
      </c>
      <c r="D18" s="181">
        <v>57.38</v>
      </c>
      <c r="F18" s="6" t="s">
        <v>168</v>
      </c>
      <c r="G18" s="6" t="s">
        <v>168</v>
      </c>
      <c r="H18" s="6" t="s">
        <v>168</v>
      </c>
      <c r="J18" s="6"/>
    </row>
    <row r="19">
      <c r="A19" s="6" t="s">
        <v>185</v>
      </c>
      <c r="B19" s="6">
        <v>18.0</v>
      </c>
      <c r="C19" s="6">
        <v>565.0</v>
      </c>
      <c r="D19" s="181">
        <v>60.93</v>
      </c>
      <c r="F19" s="6" t="s">
        <v>168</v>
      </c>
      <c r="G19" s="6" t="s">
        <v>168</v>
      </c>
      <c r="H19" s="6" t="s">
        <v>168</v>
      </c>
      <c r="J19" s="6"/>
    </row>
    <row r="20">
      <c r="A20" s="6" t="s">
        <v>186</v>
      </c>
      <c r="B20" s="6">
        <v>19.0</v>
      </c>
      <c r="C20" s="6">
        <v>517.0</v>
      </c>
      <c r="D20" s="181">
        <v>64.17</v>
      </c>
      <c r="F20" s="6" t="s">
        <v>168</v>
      </c>
      <c r="G20" s="6" t="s">
        <v>168</v>
      </c>
      <c r="H20" s="6" t="s">
        <v>168</v>
      </c>
      <c r="J20" s="6"/>
    </row>
    <row r="21">
      <c r="A21" s="6" t="s">
        <v>187</v>
      </c>
      <c r="B21" s="6">
        <v>20.0</v>
      </c>
      <c r="C21" s="6">
        <v>521.0</v>
      </c>
      <c r="D21" s="181">
        <v>67.44</v>
      </c>
      <c r="F21" s="6" t="s">
        <v>168</v>
      </c>
      <c r="G21" s="6" t="s">
        <v>168</v>
      </c>
      <c r="H21" s="6" t="s">
        <v>168</v>
      </c>
      <c r="J21" s="6"/>
    </row>
    <row r="22">
      <c r="A22" s="6" t="s">
        <v>188</v>
      </c>
      <c r="B22" s="6">
        <v>21.0</v>
      </c>
      <c r="C22" s="6">
        <v>520.0</v>
      </c>
      <c r="D22" s="181">
        <v>70.7</v>
      </c>
      <c r="F22" s="6" t="s">
        <v>168</v>
      </c>
      <c r="G22" s="6" t="s">
        <v>168</v>
      </c>
      <c r="H22" s="6" t="s">
        <v>168</v>
      </c>
      <c r="J22" s="6"/>
    </row>
    <row r="23">
      <c r="A23" s="6" t="s">
        <v>189</v>
      </c>
      <c r="B23" s="6">
        <v>22.0</v>
      </c>
      <c r="C23" s="6">
        <v>414.0</v>
      </c>
      <c r="D23" s="181">
        <v>73.3</v>
      </c>
      <c r="F23" s="6" t="s">
        <v>168</v>
      </c>
      <c r="G23" s="6" t="s">
        <v>168</v>
      </c>
      <c r="H23" s="6" t="s">
        <v>168</v>
      </c>
      <c r="J23" s="6"/>
    </row>
    <row r="24">
      <c r="A24" s="6" t="s">
        <v>190</v>
      </c>
      <c r="B24" s="6">
        <v>23.0</v>
      </c>
      <c r="C24" s="6">
        <v>434.0</v>
      </c>
      <c r="D24" s="181">
        <v>76.02</v>
      </c>
      <c r="F24" s="6" t="s">
        <v>168</v>
      </c>
      <c r="G24" s="6" t="s">
        <v>168</v>
      </c>
      <c r="H24" s="6" t="s">
        <v>168</v>
      </c>
      <c r="J24" s="6"/>
    </row>
    <row r="25">
      <c r="A25" s="6" t="s">
        <v>191</v>
      </c>
      <c r="B25" s="6">
        <v>24.0</v>
      </c>
      <c r="C25" s="6">
        <v>374.0</v>
      </c>
      <c r="D25" s="181">
        <v>78.37</v>
      </c>
      <c r="F25" s="6" t="s">
        <v>168</v>
      </c>
      <c r="G25" s="6" t="s">
        <v>168</v>
      </c>
      <c r="H25" s="6" t="s">
        <v>168</v>
      </c>
      <c r="J25" s="6"/>
    </row>
    <row r="26">
      <c r="A26" s="6" t="s">
        <v>192</v>
      </c>
      <c r="B26" s="6">
        <v>25.0</v>
      </c>
      <c r="C26" s="6">
        <v>368.0</v>
      </c>
      <c r="D26" s="181">
        <v>80.68</v>
      </c>
      <c r="F26" s="6" t="s">
        <v>168</v>
      </c>
      <c r="G26" s="6" t="s">
        <v>168</v>
      </c>
      <c r="H26" s="6" t="s">
        <v>168</v>
      </c>
      <c r="J26" s="6"/>
    </row>
    <row r="27">
      <c r="A27" s="6" t="s">
        <v>193</v>
      </c>
      <c r="B27" s="6">
        <v>26.0</v>
      </c>
      <c r="C27" s="6">
        <v>321.0</v>
      </c>
      <c r="D27" s="181">
        <v>82.69</v>
      </c>
      <c r="F27" s="6" t="s">
        <v>168</v>
      </c>
      <c r="G27" s="6" t="s">
        <v>168</v>
      </c>
      <c r="H27" s="6" t="s">
        <v>168</v>
      </c>
      <c r="J27" s="6"/>
    </row>
    <row r="28">
      <c r="A28" s="6" t="s">
        <v>194</v>
      </c>
      <c r="B28" s="6">
        <v>27.0</v>
      </c>
      <c r="C28" s="6">
        <v>288.0</v>
      </c>
      <c r="D28" s="181">
        <v>84.5</v>
      </c>
      <c r="F28" s="6" t="s">
        <v>168</v>
      </c>
      <c r="G28" s="6" t="s">
        <v>168</v>
      </c>
      <c r="H28" s="6" t="s">
        <v>168</v>
      </c>
      <c r="J28" s="6"/>
    </row>
    <row r="29">
      <c r="A29" s="6" t="s">
        <v>195</v>
      </c>
      <c r="B29" s="6">
        <v>28.0</v>
      </c>
      <c r="C29" s="6">
        <v>254.0</v>
      </c>
      <c r="D29" s="181">
        <v>86.09</v>
      </c>
      <c r="F29" s="6" t="s">
        <v>168</v>
      </c>
      <c r="G29" s="6" t="s">
        <v>168</v>
      </c>
      <c r="H29" s="6" t="s">
        <v>168</v>
      </c>
      <c r="J29" s="6"/>
    </row>
    <row r="30">
      <c r="A30" s="6" t="s">
        <v>196</v>
      </c>
      <c r="B30" s="6">
        <v>29.0</v>
      </c>
      <c r="C30" s="6">
        <v>256.0</v>
      </c>
      <c r="D30" s="181">
        <v>87.7</v>
      </c>
      <c r="F30" s="6" t="s">
        <v>168</v>
      </c>
      <c r="G30" s="6" t="s">
        <v>168</v>
      </c>
      <c r="H30" s="6" t="s">
        <v>168</v>
      </c>
      <c r="J30" s="6"/>
    </row>
    <row r="31">
      <c r="A31" s="6" t="s">
        <v>197</v>
      </c>
      <c r="B31" s="6">
        <v>30.0</v>
      </c>
      <c r="C31" s="6">
        <v>232.0</v>
      </c>
      <c r="D31" s="181">
        <v>89.15</v>
      </c>
      <c r="F31" s="6" t="s">
        <v>168</v>
      </c>
      <c r="G31" s="6" t="s">
        <v>168</v>
      </c>
      <c r="H31" s="6" t="s">
        <v>168</v>
      </c>
      <c r="J31" s="6"/>
    </row>
    <row r="32">
      <c r="A32" s="6" t="s">
        <v>198</v>
      </c>
      <c r="B32" s="6">
        <v>31.0</v>
      </c>
      <c r="C32" s="6">
        <v>195.0</v>
      </c>
      <c r="D32" s="181">
        <v>90.38</v>
      </c>
      <c r="F32" s="6" t="s">
        <v>168</v>
      </c>
      <c r="G32" s="6" t="s">
        <v>168</v>
      </c>
      <c r="H32" s="6" t="s">
        <v>168</v>
      </c>
      <c r="J32" s="6"/>
    </row>
    <row r="33">
      <c r="A33" s="6" t="s">
        <v>199</v>
      </c>
      <c r="B33" s="6">
        <v>32.0</v>
      </c>
      <c r="C33" s="6">
        <v>157.0</v>
      </c>
      <c r="D33" s="181">
        <v>91.36</v>
      </c>
      <c r="F33" s="6" t="s">
        <v>168</v>
      </c>
      <c r="G33" s="6" t="s">
        <v>168</v>
      </c>
      <c r="H33" s="6" t="s">
        <v>168</v>
      </c>
      <c r="J33" s="6"/>
    </row>
    <row r="34">
      <c r="A34" s="6" t="s">
        <v>200</v>
      </c>
      <c r="B34" s="6">
        <v>33.0</v>
      </c>
      <c r="C34" s="6">
        <v>172.0</v>
      </c>
      <c r="D34" s="181">
        <v>92.44</v>
      </c>
      <c r="F34" s="6" t="s">
        <v>168</v>
      </c>
      <c r="G34" s="6" t="s">
        <v>168</v>
      </c>
      <c r="H34" s="6" t="s">
        <v>168</v>
      </c>
      <c r="J34" s="6"/>
    </row>
    <row r="35">
      <c r="A35" s="6" t="s">
        <v>201</v>
      </c>
      <c r="B35" s="6">
        <v>34.0</v>
      </c>
      <c r="C35" s="6">
        <v>148.0</v>
      </c>
      <c r="D35" s="181">
        <v>93.37</v>
      </c>
      <c r="F35" s="6" t="s">
        <v>168</v>
      </c>
      <c r="G35" s="6" t="s">
        <v>168</v>
      </c>
      <c r="H35" s="6" t="s">
        <v>168</v>
      </c>
      <c r="J35" s="6"/>
    </row>
    <row r="36">
      <c r="A36" s="6" t="s">
        <v>202</v>
      </c>
      <c r="B36" s="6">
        <v>35.0</v>
      </c>
      <c r="C36" s="6">
        <v>113.0</v>
      </c>
      <c r="D36" s="181">
        <v>94.08</v>
      </c>
      <c r="F36" s="6" t="s">
        <v>168</v>
      </c>
      <c r="G36" s="6" t="s">
        <v>168</v>
      </c>
      <c r="H36" s="6" t="s">
        <v>168</v>
      </c>
      <c r="J36" s="6"/>
    </row>
    <row r="37">
      <c r="A37" s="6" t="s">
        <v>203</v>
      </c>
      <c r="B37" s="6">
        <v>36.0</v>
      </c>
      <c r="C37" s="6">
        <v>120.0</v>
      </c>
      <c r="D37" s="181">
        <v>94.83</v>
      </c>
      <c r="F37" s="6" t="s">
        <v>168</v>
      </c>
      <c r="G37" s="6" t="s">
        <v>168</v>
      </c>
      <c r="H37" s="6" t="s">
        <v>168</v>
      </c>
      <c r="J37" s="6"/>
    </row>
    <row r="38">
      <c r="A38" s="6" t="s">
        <v>204</v>
      </c>
      <c r="B38" s="6">
        <v>37.0</v>
      </c>
      <c r="C38" s="6">
        <v>109.0</v>
      </c>
      <c r="D38" s="181">
        <v>95.51</v>
      </c>
      <c r="F38" s="6" t="s">
        <v>168</v>
      </c>
      <c r="G38" s="6" t="s">
        <v>168</v>
      </c>
      <c r="H38" s="6" t="s">
        <v>168</v>
      </c>
      <c r="J38" s="6"/>
    </row>
    <row r="39">
      <c r="A39" s="6" t="s">
        <v>205</v>
      </c>
      <c r="B39" s="6">
        <v>38.0</v>
      </c>
      <c r="C39" s="6">
        <v>88.0</v>
      </c>
      <c r="D39" s="181">
        <v>96.07</v>
      </c>
      <c r="F39" s="6" t="s">
        <v>168</v>
      </c>
      <c r="G39" s="6" t="s">
        <v>168</v>
      </c>
      <c r="H39" s="6" t="s">
        <v>168</v>
      </c>
      <c r="J39" s="6"/>
    </row>
    <row r="40">
      <c r="A40" s="6" t="s">
        <v>206</v>
      </c>
      <c r="B40" s="6">
        <v>39.0</v>
      </c>
      <c r="C40" s="6">
        <v>83.0</v>
      </c>
      <c r="D40" s="181">
        <v>96.59</v>
      </c>
      <c r="F40" s="6" t="s">
        <v>168</v>
      </c>
      <c r="G40" s="6" t="s">
        <v>168</v>
      </c>
      <c r="H40" s="6" t="s">
        <v>168</v>
      </c>
      <c r="J40" s="6"/>
    </row>
    <row r="41">
      <c r="A41" s="6" t="s">
        <v>207</v>
      </c>
      <c r="B41" s="6">
        <v>40.0</v>
      </c>
      <c r="C41" s="6">
        <v>82.0</v>
      </c>
      <c r="D41" s="181">
        <v>97.1</v>
      </c>
      <c r="F41" s="6" t="s">
        <v>168</v>
      </c>
      <c r="G41" s="6" t="s">
        <v>168</v>
      </c>
      <c r="H41" s="6" t="s">
        <v>168</v>
      </c>
      <c r="J41" s="6"/>
    </row>
    <row r="42">
      <c r="A42" s="6" t="s">
        <v>208</v>
      </c>
      <c r="B42" s="6">
        <v>41.0</v>
      </c>
      <c r="C42" s="6">
        <v>59.0</v>
      </c>
      <c r="D42" s="181">
        <v>97.47</v>
      </c>
      <c r="F42" s="6" t="s">
        <v>168</v>
      </c>
      <c r="G42" s="6" t="s">
        <v>168</v>
      </c>
      <c r="H42" s="6" t="s">
        <v>168</v>
      </c>
      <c r="J42" s="6"/>
    </row>
    <row r="43">
      <c r="A43" s="6" t="s">
        <v>209</v>
      </c>
      <c r="B43" s="6">
        <v>42.0</v>
      </c>
      <c r="C43" s="6">
        <v>54.0</v>
      </c>
      <c r="D43" s="181">
        <v>97.81</v>
      </c>
      <c r="F43" s="6" t="s">
        <v>168</v>
      </c>
      <c r="G43" s="6" t="s">
        <v>168</v>
      </c>
      <c r="H43" s="6" t="s">
        <v>168</v>
      </c>
      <c r="J43" s="6"/>
    </row>
    <row r="44">
      <c r="A44" s="6" t="s">
        <v>210</v>
      </c>
      <c r="B44" s="6">
        <v>43.0</v>
      </c>
      <c r="C44" s="6">
        <v>44.0</v>
      </c>
      <c r="D44" s="181">
        <v>98.09</v>
      </c>
      <c r="F44" s="6" t="s">
        <v>168</v>
      </c>
      <c r="G44" s="6" t="s">
        <v>168</v>
      </c>
      <c r="H44" s="6" t="s">
        <v>168</v>
      </c>
      <c r="J44" s="6"/>
    </row>
    <row r="45">
      <c r="A45" s="6" t="s">
        <v>211</v>
      </c>
      <c r="B45" s="6">
        <v>44.0</v>
      </c>
      <c r="C45" s="6">
        <v>46.0</v>
      </c>
      <c r="D45" s="181">
        <v>98.38</v>
      </c>
      <c r="F45" s="6" t="s">
        <v>168</v>
      </c>
      <c r="G45" s="6" t="s">
        <v>168</v>
      </c>
      <c r="H45" s="6" t="s">
        <v>168</v>
      </c>
      <c r="J45" s="6"/>
    </row>
    <row r="46">
      <c r="A46" s="6" t="s">
        <v>212</v>
      </c>
      <c r="B46" s="6">
        <v>45.0</v>
      </c>
      <c r="C46" s="6">
        <v>36.0</v>
      </c>
      <c r="D46" s="181">
        <v>98.6</v>
      </c>
      <c r="F46" s="6" t="s">
        <v>168</v>
      </c>
      <c r="G46" s="6" t="s">
        <v>168</v>
      </c>
      <c r="H46" s="6" t="s">
        <v>168</v>
      </c>
      <c r="J46" s="6"/>
    </row>
    <row r="47">
      <c r="A47" s="6" t="s">
        <v>213</v>
      </c>
      <c r="B47" s="6">
        <v>46.0</v>
      </c>
      <c r="C47" s="6">
        <v>30.0</v>
      </c>
      <c r="D47" s="181">
        <v>98.79</v>
      </c>
      <c r="F47" s="6" t="s">
        <v>168</v>
      </c>
      <c r="G47" s="6" t="s">
        <v>168</v>
      </c>
      <c r="H47" s="6" t="s">
        <v>168</v>
      </c>
      <c r="J47" s="6"/>
    </row>
    <row r="48">
      <c r="A48" s="6" t="s">
        <v>214</v>
      </c>
      <c r="B48" s="6">
        <v>47.0</v>
      </c>
      <c r="C48" s="6">
        <v>27.0</v>
      </c>
      <c r="D48" s="181">
        <v>98.96</v>
      </c>
      <c r="F48" s="6" t="s">
        <v>168</v>
      </c>
      <c r="G48" s="6" t="s">
        <v>168</v>
      </c>
      <c r="H48" s="6" t="s">
        <v>168</v>
      </c>
      <c r="J48" s="6"/>
    </row>
    <row r="49">
      <c r="A49" s="6" t="s">
        <v>215</v>
      </c>
      <c r="B49" s="6">
        <v>48.0</v>
      </c>
      <c r="C49" s="6">
        <v>30.0</v>
      </c>
      <c r="D49" s="181">
        <v>99.15</v>
      </c>
      <c r="F49" s="6" t="s">
        <v>168</v>
      </c>
      <c r="G49" s="6" t="s">
        <v>168</v>
      </c>
      <c r="H49" s="6" t="s">
        <v>168</v>
      </c>
      <c r="J49" s="6"/>
    </row>
    <row r="50">
      <c r="A50" s="6" t="s">
        <v>216</v>
      </c>
      <c r="B50" s="6">
        <v>49.0</v>
      </c>
      <c r="C50" s="6">
        <v>20.0</v>
      </c>
      <c r="D50" s="181">
        <v>99.27</v>
      </c>
      <c r="F50" s="6" t="s">
        <v>168</v>
      </c>
      <c r="G50" s="6" t="s">
        <v>168</v>
      </c>
      <c r="H50" s="6" t="s">
        <v>168</v>
      </c>
      <c r="J50" s="6"/>
    </row>
    <row r="51">
      <c r="A51" s="6" t="s">
        <v>217</v>
      </c>
      <c r="B51" s="6">
        <v>50.0</v>
      </c>
      <c r="C51" s="6">
        <v>16.0</v>
      </c>
      <c r="D51" s="181">
        <v>99.37</v>
      </c>
      <c r="F51" s="6" t="s">
        <v>168</v>
      </c>
      <c r="G51" s="6" t="s">
        <v>168</v>
      </c>
      <c r="H51" s="6" t="s">
        <v>168</v>
      </c>
      <c r="J51" s="6"/>
    </row>
    <row r="52">
      <c r="A52" s="6" t="s">
        <v>218</v>
      </c>
      <c r="B52" s="6">
        <v>51.0</v>
      </c>
      <c r="C52" s="6">
        <v>20.0</v>
      </c>
      <c r="D52" s="181">
        <v>99.5</v>
      </c>
      <c r="F52" s="6" t="s">
        <v>168</v>
      </c>
      <c r="G52" s="6" t="s">
        <v>168</v>
      </c>
      <c r="H52" s="6" t="s">
        <v>168</v>
      </c>
      <c r="J52" s="6"/>
    </row>
    <row r="53">
      <c r="A53" s="6" t="s">
        <v>219</v>
      </c>
      <c r="B53" s="6">
        <v>52.0</v>
      </c>
      <c r="C53" s="6">
        <v>13.0</v>
      </c>
      <c r="D53" s="181">
        <v>99.58</v>
      </c>
      <c r="F53" s="6" t="s">
        <v>168</v>
      </c>
      <c r="G53" s="6" t="s">
        <v>168</v>
      </c>
      <c r="H53" s="6" t="s">
        <v>168</v>
      </c>
      <c r="J53" s="6"/>
    </row>
    <row r="54">
      <c r="A54" s="6" t="s">
        <v>220</v>
      </c>
      <c r="B54" s="6">
        <v>53.0</v>
      </c>
      <c r="C54" s="6">
        <v>8.0</v>
      </c>
      <c r="D54" s="181">
        <v>99.63</v>
      </c>
      <c r="F54" s="6" t="s">
        <v>168</v>
      </c>
      <c r="G54" s="6" t="s">
        <v>168</v>
      </c>
      <c r="H54" s="6" t="s">
        <v>168</v>
      </c>
      <c r="J54" s="6"/>
    </row>
    <row r="55">
      <c r="A55" s="6" t="s">
        <v>221</v>
      </c>
      <c r="B55" s="6">
        <v>54.0</v>
      </c>
      <c r="C55" s="6">
        <v>8.0</v>
      </c>
      <c r="D55" s="181">
        <v>99.68</v>
      </c>
      <c r="F55" s="6" t="s">
        <v>168</v>
      </c>
      <c r="G55" s="6" t="s">
        <v>168</v>
      </c>
      <c r="H55" s="6" t="s">
        <v>168</v>
      </c>
      <c r="J55" s="6"/>
    </row>
    <row r="56">
      <c r="A56" s="6" t="s">
        <v>222</v>
      </c>
      <c r="B56" s="6">
        <v>55.0</v>
      </c>
      <c r="C56" s="6">
        <v>7.0</v>
      </c>
      <c r="D56" s="181">
        <v>99.72</v>
      </c>
      <c r="F56" s="6" t="s">
        <v>168</v>
      </c>
      <c r="G56" s="6" t="s">
        <v>168</v>
      </c>
      <c r="H56" s="6" t="s">
        <v>168</v>
      </c>
      <c r="J56" s="6"/>
    </row>
    <row r="57">
      <c r="A57" s="6" t="s">
        <v>223</v>
      </c>
      <c r="B57" s="6">
        <v>56.0</v>
      </c>
      <c r="C57" s="6">
        <v>12.0</v>
      </c>
      <c r="D57" s="181">
        <v>99.8</v>
      </c>
      <c r="F57" s="6" t="s">
        <v>168</v>
      </c>
      <c r="G57" s="6" t="s">
        <v>168</v>
      </c>
      <c r="H57" s="6" t="s">
        <v>168</v>
      </c>
      <c r="J57" s="6"/>
    </row>
    <row r="58">
      <c r="A58" s="6" t="s">
        <v>224</v>
      </c>
      <c r="B58" s="6">
        <v>57.0</v>
      </c>
      <c r="C58" s="6">
        <v>6.0</v>
      </c>
      <c r="D58" s="181">
        <v>99.84</v>
      </c>
      <c r="F58" s="6" t="s">
        <v>168</v>
      </c>
      <c r="G58" s="6" t="s">
        <v>168</v>
      </c>
      <c r="H58" s="6" t="s">
        <v>168</v>
      </c>
      <c r="J58" s="6"/>
    </row>
    <row r="59">
      <c r="A59" s="6" t="s">
        <v>225</v>
      </c>
      <c r="B59" s="6">
        <v>58.0</v>
      </c>
      <c r="C59" s="6">
        <v>7.0</v>
      </c>
      <c r="D59" s="181">
        <v>99.88</v>
      </c>
      <c r="F59" s="6" t="s">
        <v>168</v>
      </c>
      <c r="G59" s="6" t="s">
        <v>168</v>
      </c>
      <c r="H59" s="6" t="s">
        <v>168</v>
      </c>
      <c r="J59" s="6"/>
    </row>
    <row r="60">
      <c r="A60" s="6" t="s">
        <v>226</v>
      </c>
      <c r="B60" s="6">
        <v>59.0</v>
      </c>
      <c r="C60" s="6">
        <v>1.0</v>
      </c>
      <c r="D60" s="181">
        <v>99.89</v>
      </c>
      <c r="F60" s="6" t="s">
        <v>168</v>
      </c>
      <c r="G60" s="6" t="s">
        <v>168</v>
      </c>
      <c r="H60" s="6" t="s">
        <v>168</v>
      </c>
      <c r="J60" s="6"/>
    </row>
    <row r="61">
      <c r="A61" s="6" t="s">
        <v>227</v>
      </c>
      <c r="B61" s="6">
        <v>60.0</v>
      </c>
      <c r="C61" s="6">
        <v>2.0</v>
      </c>
      <c r="D61" s="181">
        <v>99.9</v>
      </c>
      <c r="F61" s="6" t="s">
        <v>168</v>
      </c>
      <c r="G61" s="6" t="s">
        <v>168</v>
      </c>
      <c r="H61" s="6" t="s">
        <v>168</v>
      </c>
      <c r="J61" s="6"/>
    </row>
    <row r="62">
      <c r="A62" s="6" t="s">
        <v>228</v>
      </c>
      <c r="B62" s="6">
        <v>61.0</v>
      </c>
      <c r="C62" s="6">
        <v>1.0</v>
      </c>
      <c r="D62" s="181">
        <v>99.91</v>
      </c>
      <c r="F62" s="6" t="s">
        <v>168</v>
      </c>
      <c r="G62" s="6" t="s">
        <v>168</v>
      </c>
      <c r="H62" s="6" t="s">
        <v>168</v>
      </c>
      <c r="J62" s="6"/>
    </row>
    <row r="63">
      <c r="A63" s="6" t="s">
        <v>229</v>
      </c>
      <c r="B63" s="6">
        <v>62.0</v>
      </c>
      <c r="C63" s="6">
        <v>2.0</v>
      </c>
      <c r="D63" s="181">
        <v>99.92</v>
      </c>
      <c r="F63" s="6" t="s">
        <v>168</v>
      </c>
      <c r="G63" s="6" t="s">
        <v>168</v>
      </c>
      <c r="H63" s="6" t="s">
        <v>168</v>
      </c>
      <c r="J63" s="6"/>
    </row>
    <row r="64">
      <c r="A64" s="6" t="s">
        <v>230</v>
      </c>
      <c r="B64" s="6">
        <v>63.0</v>
      </c>
      <c r="C64" s="6">
        <v>5.0</v>
      </c>
      <c r="D64" s="181">
        <v>99.95</v>
      </c>
      <c r="F64" s="6" t="s">
        <v>168</v>
      </c>
      <c r="G64" s="6" t="s">
        <v>168</v>
      </c>
      <c r="H64" s="6" t="s">
        <v>168</v>
      </c>
      <c r="J64" s="6"/>
    </row>
    <row r="65">
      <c r="A65" s="6" t="s">
        <v>231</v>
      </c>
      <c r="B65" s="6">
        <v>64.0</v>
      </c>
      <c r="C65" s="6">
        <v>0.0</v>
      </c>
      <c r="D65" s="181">
        <v>99.95</v>
      </c>
      <c r="F65" s="6" t="s">
        <v>168</v>
      </c>
      <c r="G65" s="6" t="s">
        <v>168</v>
      </c>
      <c r="H65" s="6" t="s">
        <v>168</v>
      </c>
      <c r="J65" s="6"/>
    </row>
    <row r="66">
      <c r="A66" s="6" t="s">
        <v>232</v>
      </c>
      <c r="B66" s="6">
        <v>65.0</v>
      </c>
      <c r="C66" s="6">
        <v>1.0</v>
      </c>
      <c r="D66" s="181">
        <v>99.96</v>
      </c>
      <c r="F66" s="6" t="s">
        <v>168</v>
      </c>
      <c r="G66" s="6" t="s">
        <v>168</v>
      </c>
      <c r="H66" s="6" t="s">
        <v>168</v>
      </c>
      <c r="J66" s="6"/>
    </row>
    <row r="67">
      <c r="A67" s="6" t="s">
        <v>233</v>
      </c>
      <c r="B67" s="6">
        <v>66.0</v>
      </c>
      <c r="C67" s="6">
        <v>2.0</v>
      </c>
      <c r="D67" s="181">
        <v>99.97</v>
      </c>
      <c r="F67" s="6" t="s">
        <v>168</v>
      </c>
      <c r="G67" s="6" t="s">
        <v>168</v>
      </c>
      <c r="H67" s="6" t="s">
        <v>168</v>
      </c>
      <c r="J67" s="6"/>
    </row>
    <row r="68">
      <c r="A68" s="6" t="s">
        <v>234</v>
      </c>
      <c r="B68" s="6">
        <v>67.0</v>
      </c>
      <c r="C68" s="6">
        <v>1.0</v>
      </c>
      <c r="D68" s="181">
        <v>99.97</v>
      </c>
      <c r="F68" s="6" t="s">
        <v>168</v>
      </c>
      <c r="G68" s="6" t="s">
        <v>168</v>
      </c>
      <c r="H68" s="6" t="s">
        <v>168</v>
      </c>
      <c r="J68" s="6"/>
    </row>
    <row r="69">
      <c r="A69" s="6" t="s">
        <v>235</v>
      </c>
      <c r="B69" s="6">
        <v>68.0</v>
      </c>
      <c r="C69" s="6">
        <v>1.0</v>
      </c>
      <c r="D69" s="181">
        <v>99.98</v>
      </c>
      <c r="F69" s="6" t="s">
        <v>168</v>
      </c>
      <c r="G69" s="6" t="s">
        <v>168</v>
      </c>
      <c r="H69" s="6" t="s">
        <v>168</v>
      </c>
      <c r="J69" s="6"/>
    </row>
    <row r="70">
      <c r="A70" s="6" t="s">
        <v>236</v>
      </c>
      <c r="B70" s="6">
        <v>69.0</v>
      </c>
      <c r="C70" s="6">
        <v>2.0</v>
      </c>
      <c r="D70" s="181">
        <v>99.99</v>
      </c>
      <c r="F70" s="6" t="s">
        <v>168</v>
      </c>
      <c r="G70" s="6" t="s">
        <v>168</v>
      </c>
      <c r="H70" s="6" t="s">
        <v>168</v>
      </c>
      <c r="J70" s="6"/>
    </row>
    <row r="71">
      <c r="A71" s="6" t="s">
        <v>237</v>
      </c>
      <c r="B71" s="6">
        <v>70.0</v>
      </c>
      <c r="C71" s="6">
        <v>0.0</v>
      </c>
      <c r="D71" s="181">
        <v>99.99</v>
      </c>
      <c r="F71" s="6" t="s">
        <v>168</v>
      </c>
      <c r="G71" s="6" t="s">
        <v>168</v>
      </c>
      <c r="H71" s="6" t="s">
        <v>168</v>
      </c>
      <c r="J71" s="6"/>
    </row>
    <row r="72">
      <c r="A72" s="6" t="s">
        <v>238</v>
      </c>
      <c r="B72" s="6">
        <v>71.0</v>
      </c>
      <c r="C72" s="6">
        <v>0.0</v>
      </c>
      <c r="D72" s="181">
        <v>99.99</v>
      </c>
      <c r="F72" s="6" t="s">
        <v>168</v>
      </c>
      <c r="G72" s="6" t="s">
        <v>168</v>
      </c>
      <c r="H72" s="6" t="s">
        <v>168</v>
      </c>
      <c r="J72" s="6"/>
    </row>
    <row r="73">
      <c r="A73" s="6" t="s">
        <v>239</v>
      </c>
      <c r="B73" s="6">
        <v>72.0</v>
      </c>
      <c r="C73" s="6">
        <v>0.0</v>
      </c>
      <c r="D73" s="181">
        <v>99.99</v>
      </c>
      <c r="F73" s="6" t="s">
        <v>168</v>
      </c>
      <c r="G73" s="6" t="s">
        <v>168</v>
      </c>
      <c r="H73" s="6" t="s">
        <v>168</v>
      </c>
      <c r="J73" s="6"/>
    </row>
    <row r="74">
      <c r="A74" s="6" t="s">
        <v>240</v>
      </c>
      <c r="B74" s="6">
        <v>73.0</v>
      </c>
      <c r="C74" s="6">
        <v>0.0</v>
      </c>
      <c r="D74" s="181">
        <v>99.99</v>
      </c>
      <c r="F74" s="6" t="s">
        <v>168</v>
      </c>
      <c r="G74" s="6" t="s">
        <v>168</v>
      </c>
      <c r="H74" s="6" t="s">
        <v>168</v>
      </c>
      <c r="J74" s="6"/>
    </row>
    <row r="75">
      <c r="A75" s="6" t="s">
        <v>241</v>
      </c>
      <c r="B75" s="6">
        <v>74.0</v>
      </c>
      <c r="C75" s="6">
        <v>1.0</v>
      </c>
      <c r="D75" s="6">
        <v>100.0</v>
      </c>
      <c r="F75" s="6" t="s">
        <v>168</v>
      </c>
      <c r="G75" s="6" t="s">
        <v>168</v>
      </c>
      <c r="J75" s="6"/>
    </row>
    <row r="76">
      <c r="D76" s="182"/>
    </row>
    <row r="77">
      <c r="D77" s="182"/>
    </row>
    <row r="78">
      <c r="D78" s="182"/>
    </row>
    <row r="79">
      <c r="D79" s="182"/>
    </row>
    <row r="80">
      <c r="D80" s="182"/>
    </row>
    <row r="81">
      <c r="D81" s="182"/>
    </row>
    <row r="82">
      <c r="D82" s="182"/>
    </row>
    <row r="83">
      <c r="D83" s="182"/>
    </row>
    <row r="84">
      <c r="D84" s="182"/>
    </row>
    <row r="85">
      <c r="D85" s="182"/>
    </row>
    <row r="86">
      <c r="D86" s="182"/>
    </row>
    <row r="87">
      <c r="D87" s="182"/>
    </row>
    <row r="88">
      <c r="D88" s="182"/>
    </row>
    <row r="89">
      <c r="D89" s="182"/>
    </row>
    <row r="90">
      <c r="D90" s="182"/>
    </row>
    <row r="91">
      <c r="D91" s="182"/>
    </row>
    <row r="92">
      <c r="D92" s="182"/>
    </row>
    <row r="93">
      <c r="D93" s="182"/>
    </row>
    <row r="94">
      <c r="D94" s="182"/>
    </row>
    <row r="95">
      <c r="D95" s="182"/>
    </row>
    <row r="96">
      <c r="D96" s="182"/>
    </row>
    <row r="97">
      <c r="D97" s="182"/>
    </row>
    <row r="98">
      <c r="D98" s="182"/>
    </row>
    <row r="99">
      <c r="D99" s="182"/>
    </row>
    <row r="100">
      <c r="D100" s="182"/>
    </row>
    <row r="101">
      <c r="D101" s="182"/>
    </row>
    <row r="102">
      <c r="D102" s="182"/>
    </row>
    <row r="103">
      <c r="D103" s="182"/>
    </row>
    <row r="104">
      <c r="D104" s="182"/>
    </row>
    <row r="105">
      <c r="D105" s="182"/>
    </row>
    <row r="106">
      <c r="D106" s="182"/>
    </row>
    <row r="107">
      <c r="D107" s="182"/>
    </row>
    <row r="108">
      <c r="D108" s="182"/>
    </row>
    <row r="109">
      <c r="D109" s="182"/>
    </row>
    <row r="110">
      <c r="D110" s="182"/>
    </row>
    <row r="111">
      <c r="D111" s="182"/>
    </row>
    <row r="112">
      <c r="D112" s="182"/>
    </row>
    <row r="113">
      <c r="D113" s="182"/>
    </row>
    <row r="114">
      <c r="D114" s="182"/>
    </row>
    <row r="115">
      <c r="D115" s="182"/>
    </row>
    <row r="116">
      <c r="D116" s="182"/>
    </row>
    <row r="117">
      <c r="D117" s="182"/>
    </row>
    <row r="118">
      <c r="D118" s="182"/>
    </row>
    <row r="119">
      <c r="D119" s="182"/>
    </row>
    <row r="120">
      <c r="D120" s="182"/>
    </row>
    <row r="121">
      <c r="D121" s="182"/>
    </row>
    <row r="122">
      <c r="D122" s="182"/>
    </row>
    <row r="123">
      <c r="D123" s="182"/>
    </row>
    <row r="124">
      <c r="D124" s="182"/>
    </row>
    <row r="125">
      <c r="D125" s="182"/>
    </row>
    <row r="126">
      <c r="D126" s="182"/>
    </row>
    <row r="127">
      <c r="D127" s="182"/>
    </row>
    <row r="128">
      <c r="D128" s="182"/>
    </row>
    <row r="129">
      <c r="D129" s="182"/>
    </row>
    <row r="130">
      <c r="D130" s="182"/>
    </row>
    <row r="131">
      <c r="D131" s="182"/>
    </row>
    <row r="132">
      <c r="D132" s="182"/>
    </row>
    <row r="133">
      <c r="D133" s="182"/>
    </row>
    <row r="134">
      <c r="D134" s="182"/>
    </row>
    <row r="135">
      <c r="D135" s="182"/>
    </row>
    <row r="136">
      <c r="D136" s="182"/>
    </row>
    <row r="137">
      <c r="D137" s="182"/>
    </row>
    <row r="138">
      <c r="D138" s="182"/>
    </row>
    <row r="139">
      <c r="D139" s="182"/>
    </row>
    <row r="140">
      <c r="D140" s="182"/>
    </row>
    <row r="141">
      <c r="D141" s="182"/>
    </row>
    <row r="142">
      <c r="D142" s="182"/>
    </row>
    <row r="143">
      <c r="D143" s="182"/>
    </row>
    <row r="144">
      <c r="D144" s="182"/>
    </row>
    <row r="145">
      <c r="D145" s="182"/>
    </row>
    <row r="146">
      <c r="D146" s="182"/>
    </row>
    <row r="147">
      <c r="D147" s="182"/>
    </row>
    <row r="148">
      <c r="D148" s="182"/>
    </row>
    <row r="149">
      <c r="D149" s="182"/>
    </row>
    <row r="150">
      <c r="D150" s="182"/>
    </row>
    <row r="151">
      <c r="D151" s="182"/>
    </row>
    <row r="152">
      <c r="D152" s="182"/>
    </row>
    <row r="153">
      <c r="D153" s="182"/>
    </row>
    <row r="154">
      <c r="D154" s="182"/>
    </row>
    <row r="155">
      <c r="D155" s="182"/>
    </row>
    <row r="156">
      <c r="D156" s="182"/>
    </row>
    <row r="157">
      <c r="D157" s="182"/>
    </row>
    <row r="158">
      <c r="D158" s="182"/>
    </row>
    <row r="159">
      <c r="D159" s="182"/>
    </row>
    <row r="160">
      <c r="D160" s="182"/>
    </row>
    <row r="161">
      <c r="D161" s="182"/>
    </row>
    <row r="162">
      <c r="D162" s="182"/>
    </row>
    <row r="163">
      <c r="D163" s="182"/>
    </row>
    <row r="164">
      <c r="D164" s="182"/>
    </row>
    <row r="165">
      <c r="D165" s="182"/>
    </row>
    <row r="166">
      <c r="D166" s="182"/>
    </row>
    <row r="167">
      <c r="D167" s="182"/>
    </row>
    <row r="168">
      <c r="D168" s="182"/>
    </row>
    <row r="169">
      <c r="D169" s="182"/>
    </row>
    <row r="170">
      <c r="D170" s="182"/>
    </row>
    <row r="171">
      <c r="D171" s="182"/>
    </row>
    <row r="172">
      <c r="D172" s="182"/>
    </row>
    <row r="173">
      <c r="D173" s="182"/>
    </row>
    <row r="174">
      <c r="D174" s="182"/>
    </row>
    <row r="175">
      <c r="D175" s="182"/>
    </row>
    <row r="176">
      <c r="D176" s="182"/>
    </row>
    <row r="177">
      <c r="D177" s="182"/>
    </row>
    <row r="178">
      <c r="D178" s="182"/>
    </row>
    <row r="179">
      <c r="D179" s="182"/>
    </row>
    <row r="180">
      <c r="D180" s="182"/>
    </row>
    <row r="181">
      <c r="D181" s="182"/>
    </row>
    <row r="182">
      <c r="D182" s="182"/>
    </row>
    <row r="183">
      <c r="D183" s="182"/>
    </row>
    <row r="184">
      <c r="D184" s="182"/>
    </row>
    <row r="185">
      <c r="D185" s="182"/>
    </row>
    <row r="186">
      <c r="D186" s="182"/>
    </row>
    <row r="187">
      <c r="D187" s="182"/>
    </row>
    <row r="188">
      <c r="D188" s="182"/>
    </row>
    <row r="189">
      <c r="D189" s="182"/>
    </row>
    <row r="190">
      <c r="D190" s="182"/>
    </row>
    <row r="191">
      <c r="D191" s="182"/>
    </row>
    <row r="192">
      <c r="D192" s="182"/>
    </row>
    <row r="193">
      <c r="D193" s="182"/>
    </row>
    <row r="194">
      <c r="D194" s="182"/>
    </row>
    <row r="195">
      <c r="D195" s="182"/>
    </row>
    <row r="196">
      <c r="D196" s="182"/>
    </row>
    <row r="197">
      <c r="D197" s="182"/>
    </row>
    <row r="198">
      <c r="D198" s="182"/>
    </row>
    <row r="199">
      <c r="D199" s="182"/>
    </row>
    <row r="200">
      <c r="D200" s="182"/>
    </row>
    <row r="201">
      <c r="D201" s="182"/>
    </row>
    <row r="202">
      <c r="D202" s="182"/>
    </row>
    <row r="203">
      <c r="D203" s="182"/>
    </row>
    <row r="204">
      <c r="D204" s="182"/>
    </row>
    <row r="205">
      <c r="D205" s="182"/>
    </row>
    <row r="206">
      <c r="D206" s="182"/>
    </row>
    <row r="207">
      <c r="D207" s="182"/>
    </row>
    <row r="208">
      <c r="D208" s="182"/>
    </row>
    <row r="209">
      <c r="D209" s="182"/>
    </row>
    <row r="210">
      <c r="D210" s="182"/>
    </row>
    <row r="211">
      <c r="D211" s="182"/>
    </row>
    <row r="212">
      <c r="D212" s="182"/>
    </row>
    <row r="213">
      <c r="D213" s="182"/>
    </row>
    <row r="214">
      <c r="D214" s="182"/>
    </row>
    <row r="215">
      <c r="D215" s="182"/>
    </row>
    <row r="216">
      <c r="D216" s="182"/>
    </row>
    <row r="217">
      <c r="D217" s="182"/>
    </row>
    <row r="218">
      <c r="D218" s="182"/>
    </row>
    <row r="219">
      <c r="D219" s="182"/>
    </row>
    <row r="220">
      <c r="D220" s="182"/>
    </row>
    <row r="221">
      <c r="D221" s="182"/>
    </row>
    <row r="222">
      <c r="D222" s="182"/>
    </row>
    <row r="223">
      <c r="D223" s="182"/>
    </row>
    <row r="224">
      <c r="D224" s="182"/>
    </row>
    <row r="225">
      <c r="D225" s="182"/>
    </row>
    <row r="226">
      <c r="D226" s="182"/>
    </row>
    <row r="227">
      <c r="D227" s="182"/>
    </row>
    <row r="228">
      <c r="D228" s="182"/>
    </row>
    <row r="229">
      <c r="D229" s="182"/>
    </row>
    <row r="230">
      <c r="D230" s="182"/>
    </row>
    <row r="231">
      <c r="D231" s="182"/>
    </row>
    <row r="232">
      <c r="D232" s="182"/>
    </row>
    <row r="233">
      <c r="D233" s="182"/>
    </row>
    <row r="234">
      <c r="D234" s="182"/>
    </row>
    <row r="235">
      <c r="D235" s="182"/>
    </row>
    <row r="236">
      <c r="D236" s="182"/>
    </row>
    <row r="237">
      <c r="D237" s="182"/>
    </row>
    <row r="238">
      <c r="D238" s="182"/>
    </row>
    <row r="239">
      <c r="D239" s="182"/>
    </row>
    <row r="240">
      <c r="D240" s="182"/>
    </row>
    <row r="241">
      <c r="D241" s="182"/>
    </row>
    <row r="242">
      <c r="D242" s="182"/>
    </row>
    <row r="243">
      <c r="D243" s="182"/>
    </row>
    <row r="244">
      <c r="D244" s="182"/>
    </row>
    <row r="245">
      <c r="D245" s="182"/>
    </row>
    <row r="246">
      <c r="D246" s="182"/>
    </row>
    <row r="247">
      <c r="D247" s="182"/>
    </row>
    <row r="248">
      <c r="D248" s="182"/>
    </row>
    <row r="249">
      <c r="D249" s="182"/>
    </row>
    <row r="250">
      <c r="D250" s="182"/>
    </row>
    <row r="251">
      <c r="D251" s="182"/>
    </row>
    <row r="252">
      <c r="D252" s="182"/>
    </row>
    <row r="253">
      <c r="D253" s="182"/>
    </row>
    <row r="254">
      <c r="D254" s="182"/>
    </row>
    <row r="255">
      <c r="D255" s="182"/>
    </row>
    <row r="256">
      <c r="D256" s="182"/>
    </row>
    <row r="257">
      <c r="D257" s="182"/>
    </row>
    <row r="258">
      <c r="D258" s="182"/>
    </row>
    <row r="259">
      <c r="D259" s="182"/>
    </row>
    <row r="260">
      <c r="D260" s="182"/>
    </row>
    <row r="261">
      <c r="D261" s="182"/>
    </row>
    <row r="262">
      <c r="D262" s="182"/>
    </row>
    <row r="263">
      <c r="D263" s="182"/>
    </row>
    <row r="264">
      <c r="D264" s="182"/>
    </row>
    <row r="265">
      <c r="D265" s="182"/>
    </row>
    <row r="266">
      <c r="D266" s="182"/>
    </row>
    <row r="267">
      <c r="D267" s="182"/>
    </row>
    <row r="268">
      <c r="D268" s="182"/>
    </row>
    <row r="269">
      <c r="D269" s="182"/>
    </row>
    <row r="270">
      <c r="D270" s="182"/>
    </row>
    <row r="271">
      <c r="D271" s="182"/>
    </row>
    <row r="272">
      <c r="D272" s="182"/>
    </row>
    <row r="273">
      <c r="D273" s="182"/>
    </row>
    <row r="274">
      <c r="D274" s="182"/>
    </row>
    <row r="275">
      <c r="D275" s="182"/>
    </row>
    <row r="276">
      <c r="D276" s="182"/>
    </row>
    <row r="277">
      <c r="D277" s="182"/>
    </row>
    <row r="278">
      <c r="D278" s="182"/>
    </row>
    <row r="279">
      <c r="D279" s="182"/>
    </row>
    <row r="280">
      <c r="D280" s="182"/>
    </row>
    <row r="281">
      <c r="D281" s="182"/>
    </row>
    <row r="282">
      <c r="D282" s="182"/>
    </row>
    <row r="283">
      <c r="D283" s="182"/>
    </row>
    <row r="284">
      <c r="D284" s="182"/>
    </row>
    <row r="285">
      <c r="D285" s="182"/>
    </row>
    <row r="286">
      <c r="D286" s="182"/>
    </row>
    <row r="287">
      <c r="D287" s="182"/>
    </row>
    <row r="288">
      <c r="D288" s="182"/>
    </row>
    <row r="289">
      <c r="D289" s="182"/>
    </row>
    <row r="290">
      <c r="D290" s="182"/>
    </row>
    <row r="291">
      <c r="D291" s="182"/>
    </row>
    <row r="292">
      <c r="D292" s="182"/>
    </row>
    <row r="293">
      <c r="D293" s="182"/>
    </row>
    <row r="294">
      <c r="D294" s="182"/>
    </row>
    <row r="295">
      <c r="D295" s="182"/>
    </row>
    <row r="296">
      <c r="D296" s="182"/>
    </row>
    <row r="297">
      <c r="D297" s="182"/>
    </row>
    <row r="298">
      <c r="D298" s="182"/>
    </row>
    <row r="299">
      <c r="D299" s="182"/>
    </row>
    <row r="300">
      <c r="D300" s="182"/>
    </row>
    <row r="301">
      <c r="D301" s="182"/>
    </row>
    <row r="302">
      <c r="D302" s="182"/>
    </row>
    <row r="303">
      <c r="D303" s="182"/>
    </row>
    <row r="304">
      <c r="D304" s="182"/>
    </row>
    <row r="305">
      <c r="D305" s="182"/>
    </row>
    <row r="306">
      <c r="D306" s="182"/>
    </row>
    <row r="307">
      <c r="D307" s="182"/>
    </row>
    <row r="308">
      <c r="D308" s="182"/>
    </row>
    <row r="309">
      <c r="D309" s="182"/>
    </row>
    <row r="310">
      <c r="D310" s="182"/>
    </row>
    <row r="311">
      <c r="D311" s="182"/>
    </row>
    <row r="312">
      <c r="D312" s="182"/>
    </row>
    <row r="313">
      <c r="D313" s="182"/>
    </row>
    <row r="314">
      <c r="D314" s="182"/>
    </row>
    <row r="315">
      <c r="D315" s="182"/>
    </row>
    <row r="316">
      <c r="D316" s="182"/>
    </row>
    <row r="317">
      <c r="D317" s="182"/>
    </row>
    <row r="318">
      <c r="D318" s="182"/>
    </row>
    <row r="319">
      <c r="D319" s="182"/>
    </row>
    <row r="320">
      <c r="D320" s="182"/>
    </row>
    <row r="321">
      <c r="D321" s="182"/>
    </row>
    <row r="322">
      <c r="D322" s="182"/>
    </row>
    <row r="323">
      <c r="D323" s="182"/>
    </row>
    <row r="324">
      <c r="D324" s="182"/>
    </row>
    <row r="325">
      <c r="D325" s="182"/>
    </row>
    <row r="326">
      <c r="D326" s="182"/>
    </row>
    <row r="327">
      <c r="D327" s="182"/>
    </row>
    <row r="328">
      <c r="D328" s="182"/>
    </row>
    <row r="329">
      <c r="D329" s="182"/>
    </row>
    <row r="330">
      <c r="D330" s="182"/>
    </row>
    <row r="331">
      <c r="D331" s="182"/>
    </row>
    <row r="332">
      <c r="D332" s="182"/>
    </row>
    <row r="333">
      <c r="D333" s="182"/>
    </row>
    <row r="334">
      <c r="D334" s="182"/>
    </row>
    <row r="335">
      <c r="D335" s="182"/>
    </row>
    <row r="336">
      <c r="D336" s="182"/>
    </row>
    <row r="337">
      <c r="D337" s="182"/>
    </row>
    <row r="338">
      <c r="D338" s="182"/>
    </row>
    <row r="339">
      <c r="D339" s="182"/>
    </row>
    <row r="340">
      <c r="D340" s="182"/>
    </row>
    <row r="341">
      <c r="D341" s="182"/>
    </row>
    <row r="342">
      <c r="D342" s="182"/>
    </row>
    <row r="343">
      <c r="D343" s="182"/>
    </row>
    <row r="344">
      <c r="D344" s="182"/>
    </row>
    <row r="345">
      <c r="D345" s="182"/>
    </row>
    <row r="346">
      <c r="D346" s="182"/>
    </row>
    <row r="347">
      <c r="D347" s="182"/>
    </row>
    <row r="348">
      <c r="D348" s="182"/>
    </row>
    <row r="349">
      <c r="D349" s="182"/>
    </row>
    <row r="350">
      <c r="D350" s="182"/>
    </row>
    <row r="351">
      <c r="D351" s="182"/>
    </row>
    <row r="352">
      <c r="D352" s="182"/>
    </row>
    <row r="353">
      <c r="D353" s="182"/>
    </row>
    <row r="354">
      <c r="D354" s="182"/>
    </row>
    <row r="355">
      <c r="D355" s="182"/>
    </row>
    <row r="356">
      <c r="D356" s="182"/>
    </row>
    <row r="357">
      <c r="D357" s="182"/>
    </row>
    <row r="358">
      <c r="D358" s="182"/>
    </row>
    <row r="359">
      <c r="D359" s="182"/>
    </row>
    <row r="360">
      <c r="D360" s="182"/>
    </row>
    <row r="361">
      <c r="D361" s="182"/>
    </row>
    <row r="362">
      <c r="D362" s="182"/>
    </row>
    <row r="363">
      <c r="D363" s="182"/>
    </row>
    <row r="364">
      <c r="D364" s="182"/>
    </row>
    <row r="365">
      <c r="D365" s="182"/>
    </row>
    <row r="366">
      <c r="D366" s="182"/>
    </row>
    <row r="367">
      <c r="D367" s="182"/>
    </row>
    <row r="368">
      <c r="D368" s="182"/>
    </row>
    <row r="369">
      <c r="D369" s="182"/>
    </row>
    <row r="370">
      <c r="D370" s="182"/>
    </row>
    <row r="371">
      <c r="D371" s="182"/>
    </row>
    <row r="372">
      <c r="D372" s="182"/>
    </row>
    <row r="373">
      <c r="D373" s="182"/>
    </row>
    <row r="374">
      <c r="D374" s="182"/>
    </row>
    <row r="375">
      <c r="D375" s="182"/>
    </row>
    <row r="376">
      <c r="D376" s="182"/>
    </row>
    <row r="377">
      <c r="D377" s="182"/>
    </row>
    <row r="378">
      <c r="D378" s="182"/>
    </row>
    <row r="379">
      <c r="D379" s="182"/>
    </row>
    <row r="380">
      <c r="D380" s="182"/>
    </row>
    <row r="381">
      <c r="D381" s="182"/>
    </row>
    <row r="382">
      <c r="D382" s="182"/>
    </row>
    <row r="383">
      <c r="D383" s="182"/>
    </row>
    <row r="384">
      <c r="D384" s="182"/>
    </row>
    <row r="385">
      <c r="D385" s="182"/>
    </row>
    <row r="386">
      <c r="D386" s="182"/>
    </row>
    <row r="387">
      <c r="D387" s="182"/>
    </row>
    <row r="388">
      <c r="D388" s="182"/>
    </row>
    <row r="389">
      <c r="D389" s="182"/>
    </row>
    <row r="390">
      <c r="D390" s="182"/>
    </row>
    <row r="391">
      <c r="D391" s="182"/>
    </row>
    <row r="392">
      <c r="D392" s="182"/>
    </row>
    <row r="393">
      <c r="D393" s="182"/>
    </row>
    <row r="394">
      <c r="D394" s="182"/>
    </row>
    <row r="395">
      <c r="D395" s="182"/>
    </row>
    <row r="396">
      <c r="D396" s="182"/>
    </row>
    <row r="397">
      <c r="D397" s="182"/>
    </row>
    <row r="398">
      <c r="D398" s="182"/>
    </row>
    <row r="399">
      <c r="D399" s="182"/>
    </row>
    <row r="400">
      <c r="D400" s="182"/>
    </row>
    <row r="401">
      <c r="D401" s="182"/>
    </row>
    <row r="402">
      <c r="D402" s="182"/>
    </row>
    <row r="403">
      <c r="D403" s="182"/>
    </row>
    <row r="404">
      <c r="D404" s="182"/>
    </row>
    <row r="405">
      <c r="D405" s="182"/>
    </row>
    <row r="406">
      <c r="D406" s="182"/>
    </row>
    <row r="407">
      <c r="D407" s="182"/>
    </row>
    <row r="408">
      <c r="D408" s="182"/>
    </row>
    <row r="409">
      <c r="D409" s="182"/>
    </row>
    <row r="410">
      <c r="D410" s="182"/>
    </row>
    <row r="411">
      <c r="D411" s="182"/>
    </row>
    <row r="412">
      <c r="D412" s="182"/>
    </row>
    <row r="413">
      <c r="D413" s="182"/>
    </row>
    <row r="414">
      <c r="D414" s="182"/>
    </row>
    <row r="415">
      <c r="D415" s="182"/>
    </row>
    <row r="416">
      <c r="D416" s="182"/>
    </row>
    <row r="417">
      <c r="D417" s="182"/>
    </row>
    <row r="418">
      <c r="D418" s="182"/>
    </row>
    <row r="419">
      <c r="D419" s="182"/>
    </row>
    <row r="420">
      <c r="D420" s="182"/>
    </row>
    <row r="421">
      <c r="D421" s="182"/>
    </row>
    <row r="422">
      <c r="D422" s="182"/>
    </row>
    <row r="423">
      <c r="D423" s="182"/>
    </row>
    <row r="424">
      <c r="D424" s="182"/>
    </row>
    <row r="425">
      <c r="D425" s="182"/>
    </row>
    <row r="426">
      <c r="D426" s="182"/>
    </row>
    <row r="427">
      <c r="D427" s="182"/>
    </row>
    <row r="428">
      <c r="D428" s="182"/>
    </row>
    <row r="429">
      <c r="D429" s="182"/>
    </row>
    <row r="430">
      <c r="D430" s="182"/>
    </row>
    <row r="431">
      <c r="D431" s="182"/>
    </row>
    <row r="432">
      <c r="D432" s="182"/>
    </row>
    <row r="433">
      <c r="D433" s="182"/>
    </row>
    <row r="434">
      <c r="D434" s="182"/>
    </row>
    <row r="435">
      <c r="D435" s="182"/>
    </row>
    <row r="436">
      <c r="D436" s="182"/>
    </row>
    <row r="437">
      <c r="D437" s="182"/>
    </row>
    <row r="438">
      <c r="D438" s="182"/>
    </row>
    <row r="439">
      <c r="D439" s="182"/>
    </row>
    <row r="440">
      <c r="D440" s="182"/>
    </row>
    <row r="441">
      <c r="D441" s="182"/>
    </row>
    <row r="442">
      <c r="D442" s="182"/>
    </row>
    <row r="443">
      <c r="D443" s="182"/>
    </row>
    <row r="444">
      <c r="D444" s="182"/>
    </row>
    <row r="445">
      <c r="D445" s="182"/>
    </row>
    <row r="446">
      <c r="D446" s="182"/>
    </row>
    <row r="447">
      <c r="D447" s="182"/>
    </row>
    <row r="448">
      <c r="D448" s="182"/>
    </row>
    <row r="449">
      <c r="D449" s="182"/>
    </row>
    <row r="450">
      <c r="D450" s="182"/>
    </row>
    <row r="451">
      <c r="D451" s="182"/>
    </row>
    <row r="452">
      <c r="D452" s="182"/>
    </row>
    <row r="453">
      <c r="D453" s="182"/>
    </row>
    <row r="454">
      <c r="D454" s="182"/>
    </row>
    <row r="455">
      <c r="D455" s="182"/>
    </row>
    <row r="456">
      <c r="D456" s="182"/>
    </row>
    <row r="457">
      <c r="D457" s="182"/>
    </row>
    <row r="458">
      <c r="D458" s="182"/>
    </row>
    <row r="459">
      <c r="D459" s="182"/>
    </row>
    <row r="460">
      <c r="D460" s="182"/>
    </row>
    <row r="461">
      <c r="D461" s="182"/>
    </row>
    <row r="462">
      <c r="D462" s="182"/>
    </row>
    <row r="463">
      <c r="D463" s="182"/>
    </row>
    <row r="464">
      <c r="D464" s="182"/>
    </row>
    <row r="465">
      <c r="D465" s="182"/>
    </row>
    <row r="466">
      <c r="D466" s="182"/>
    </row>
    <row r="467">
      <c r="D467" s="182"/>
    </row>
    <row r="468">
      <c r="D468" s="182"/>
    </row>
    <row r="469">
      <c r="D469" s="182"/>
    </row>
    <row r="470">
      <c r="D470" s="182"/>
    </row>
    <row r="471">
      <c r="D471" s="182"/>
    </row>
    <row r="472">
      <c r="D472" s="182"/>
    </row>
    <row r="473">
      <c r="D473" s="182"/>
    </row>
    <row r="474">
      <c r="D474" s="182"/>
    </row>
    <row r="475">
      <c r="D475" s="182"/>
    </row>
    <row r="476">
      <c r="D476" s="182"/>
    </row>
    <row r="477">
      <c r="D477" s="182"/>
    </row>
    <row r="478">
      <c r="D478" s="182"/>
    </row>
    <row r="479">
      <c r="D479" s="182"/>
    </row>
    <row r="480">
      <c r="D480" s="182"/>
    </row>
    <row r="481">
      <c r="D481" s="182"/>
    </row>
    <row r="482">
      <c r="D482" s="182"/>
    </row>
    <row r="483">
      <c r="D483" s="182"/>
    </row>
    <row r="484">
      <c r="D484" s="182"/>
    </row>
    <row r="485">
      <c r="D485" s="182"/>
    </row>
    <row r="486">
      <c r="D486" s="182"/>
    </row>
    <row r="487">
      <c r="D487" s="182"/>
    </row>
    <row r="488">
      <c r="D488" s="182"/>
    </row>
    <row r="489">
      <c r="D489" s="182"/>
    </row>
    <row r="490">
      <c r="D490" s="182"/>
    </row>
    <row r="491">
      <c r="D491" s="182"/>
    </row>
    <row r="492">
      <c r="D492" s="182"/>
    </row>
    <row r="493">
      <c r="D493" s="182"/>
    </row>
    <row r="494">
      <c r="D494" s="182"/>
    </row>
    <row r="495">
      <c r="D495" s="182"/>
    </row>
    <row r="496">
      <c r="D496" s="182"/>
    </row>
    <row r="497">
      <c r="D497" s="182"/>
    </row>
    <row r="498">
      <c r="D498" s="182"/>
    </row>
    <row r="499">
      <c r="D499" s="182"/>
    </row>
    <row r="500">
      <c r="D500" s="182"/>
    </row>
    <row r="501">
      <c r="D501" s="182"/>
    </row>
    <row r="502">
      <c r="D502" s="182"/>
    </row>
    <row r="503">
      <c r="D503" s="182"/>
    </row>
    <row r="504">
      <c r="D504" s="182"/>
    </row>
    <row r="505">
      <c r="D505" s="182"/>
    </row>
    <row r="506">
      <c r="D506" s="182"/>
    </row>
    <row r="507">
      <c r="D507" s="182"/>
    </row>
    <row r="508">
      <c r="D508" s="182"/>
    </row>
    <row r="509">
      <c r="D509" s="182"/>
    </row>
    <row r="510">
      <c r="D510" s="182"/>
    </row>
    <row r="511">
      <c r="D511" s="182"/>
    </row>
    <row r="512">
      <c r="D512" s="182"/>
    </row>
    <row r="513">
      <c r="D513" s="182"/>
    </row>
    <row r="514">
      <c r="D514" s="182"/>
    </row>
    <row r="515">
      <c r="D515" s="182"/>
    </row>
    <row r="516">
      <c r="D516" s="182"/>
    </row>
    <row r="517">
      <c r="D517" s="182"/>
    </row>
    <row r="518">
      <c r="D518" s="182"/>
    </row>
    <row r="519">
      <c r="D519" s="182"/>
    </row>
    <row r="520">
      <c r="D520" s="182"/>
    </row>
    <row r="521">
      <c r="D521" s="182"/>
    </row>
    <row r="522">
      <c r="D522" s="182"/>
    </row>
    <row r="523">
      <c r="D523" s="182"/>
    </row>
    <row r="524">
      <c r="D524" s="182"/>
    </row>
    <row r="525">
      <c r="D525" s="182"/>
    </row>
    <row r="526">
      <c r="D526" s="182"/>
    </row>
    <row r="527">
      <c r="D527" s="182"/>
    </row>
    <row r="528">
      <c r="D528" s="182"/>
    </row>
    <row r="529">
      <c r="D529" s="182"/>
    </row>
    <row r="530">
      <c r="D530" s="182"/>
    </row>
    <row r="531">
      <c r="D531" s="182"/>
    </row>
    <row r="532">
      <c r="D532" s="182"/>
    </row>
    <row r="533">
      <c r="D533" s="182"/>
    </row>
    <row r="534">
      <c r="D534" s="182"/>
    </row>
    <row r="535">
      <c r="D535" s="182"/>
    </row>
    <row r="536">
      <c r="D536" s="182"/>
    </row>
    <row r="537">
      <c r="D537" s="182"/>
    </row>
    <row r="538">
      <c r="D538" s="182"/>
    </row>
    <row r="539">
      <c r="D539" s="182"/>
    </row>
    <row r="540">
      <c r="D540" s="182"/>
    </row>
    <row r="541">
      <c r="D541" s="182"/>
    </row>
    <row r="542">
      <c r="D542" s="182"/>
    </row>
    <row r="543">
      <c r="D543" s="182"/>
    </row>
    <row r="544">
      <c r="D544" s="182"/>
    </row>
    <row r="545">
      <c r="D545" s="182"/>
    </row>
    <row r="546">
      <c r="D546" s="182"/>
    </row>
    <row r="547">
      <c r="D547" s="182"/>
    </row>
    <row r="548">
      <c r="D548" s="182"/>
    </row>
    <row r="549">
      <c r="D549" s="182"/>
    </row>
    <row r="550">
      <c r="D550" s="182"/>
    </row>
    <row r="551">
      <c r="D551" s="182"/>
    </row>
    <row r="552">
      <c r="D552" s="182"/>
    </row>
    <row r="553">
      <c r="D553" s="182"/>
    </row>
    <row r="554">
      <c r="D554" s="182"/>
    </row>
    <row r="555">
      <c r="D555" s="182"/>
    </row>
    <row r="556">
      <c r="D556" s="182"/>
    </row>
    <row r="557">
      <c r="D557" s="182"/>
    </row>
    <row r="558">
      <c r="D558" s="182"/>
    </row>
    <row r="559">
      <c r="D559" s="182"/>
    </row>
    <row r="560">
      <c r="D560" s="182"/>
    </row>
    <row r="561">
      <c r="D561" s="182"/>
    </row>
    <row r="562">
      <c r="D562" s="182"/>
    </row>
    <row r="563">
      <c r="D563" s="182"/>
    </row>
    <row r="564">
      <c r="D564" s="182"/>
    </row>
    <row r="565">
      <c r="D565" s="182"/>
    </row>
    <row r="566">
      <c r="D566" s="182"/>
    </row>
    <row r="567">
      <c r="D567" s="182"/>
    </row>
    <row r="568">
      <c r="D568" s="182"/>
    </row>
    <row r="569">
      <c r="D569" s="182"/>
    </row>
    <row r="570">
      <c r="D570" s="182"/>
    </row>
    <row r="571">
      <c r="D571" s="182"/>
    </row>
    <row r="572">
      <c r="D572" s="182"/>
    </row>
    <row r="573">
      <c r="D573" s="182"/>
    </row>
    <row r="574">
      <c r="D574" s="182"/>
    </row>
    <row r="575">
      <c r="D575" s="182"/>
    </row>
    <row r="576">
      <c r="D576" s="182"/>
    </row>
    <row r="577">
      <c r="D577" s="182"/>
    </row>
    <row r="578">
      <c r="D578" s="182"/>
    </row>
    <row r="579">
      <c r="D579" s="182"/>
    </row>
    <row r="580">
      <c r="D580" s="182"/>
    </row>
    <row r="581">
      <c r="D581" s="182"/>
    </row>
    <row r="582">
      <c r="D582" s="182"/>
    </row>
    <row r="583">
      <c r="D583" s="182"/>
    </row>
    <row r="584">
      <c r="D584" s="182"/>
    </row>
    <row r="585">
      <c r="D585" s="182"/>
    </row>
    <row r="586">
      <c r="D586" s="182"/>
    </row>
    <row r="587">
      <c r="D587" s="182"/>
    </row>
    <row r="588">
      <c r="D588" s="182"/>
    </row>
    <row r="589">
      <c r="D589" s="182"/>
    </row>
    <row r="590">
      <c r="D590" s="182"/>
    </row>
    <row r="591">
      <c r="D591" s="182"/>
    </row>
    <row r="592">
      <c r="D592" s="182"/>
    </row>
    <row r="593">
      <c r="D593" s="182"/>
    </row>
    <row r="594">
      <c r="D594" s="182"/>
    </row>
    <row r="595">
      <c r="D595" s="182"/>
    </row>
    <row r="596">
      <c r="D596" s="182"/>
    </row>
    <row r="597">
      <c r="D597" s="182"/>
    </row>
    <row r="598">
      <c r="D598" s="182"/>
    </row>
    <row r="599">
      <c r="D599" s="182"/>
    </row>
    <row r="600">
      <c r="D600" s="182"/>
    </row>
    <row r="601">
      <c r="D601" s="182"/>
    </row>
    <row r="602">
      <c r="D602" s="182"/>
    </row>
    <row r="603">
      <c r="D603" s="182"/>
    </row>
    <row r="604">
      <c r="D604" s="182"/>
    </row>
    <row r="605">
      <c r="D605" s="182"/>
    </row>
    <row r="606">
      <c r="D606" s="182"/>
    </row>
    <row r="607">
      <c r="D607" s="182"/>
    </row>
    <row r="608">
      <c r="D608" s="182"/>
    </row>
    <row r="609">
      <c r="D609" s="182"/>
    </row>
    <row r="610">
      <c r="D610" s="182"/>
    </row>
    <row r="611">
      <c r="D611" s="182"/>
    </row>
    <row r="612">
      <c r="D612" s="182"/>
    </row>
    <row r="613">
      <c r="D613" s="182"/>
    </row>
    <row r="614">
      <c r="D614" s="182"/>
    </row>
    <row r="615">
      <c r="D615" s="182"/>
    </row>
    <row r="616">
      <c r="D616" s="182"/>
    </row>
    <row r="617">
      <c r="D617" s="182"/>
    </row>
    <row r="618">
      <c r="D618" s="182"/>
    </row>
    <row r="619">
      <c r="D619" s="182"/>
    </row>
    <row r="620">
      <c r="D620" s="182"/>
    </row>
    <row r="621">
      <c r="D621" s="182"/>
    </row>
    <row r="622">
      <c r="D622" s="182"/>
    </row>
    <row r="623">
      <c r="D623" s="182"/>
    </row>
    <row r="624">
      <c r="D624" s="182"/>
    </row>
    <row r="625">
      <c r="D625" s="182"/>
    </row>
    <row r="626">
      <c r="D626" s="182"/>
    </row>
    <row r="627">
      <c r="D627" s="182"/>
    </row>
    <row r="628">
      <c r="D628" s="182"/>
    </row>
    <row r="629">
      <c r="D629" s="182"/>
    </row>
    <row r="630">
      <c r="D630" s="182"/>
    </row>
    <row r="631">
      <c r="D631" s="182"/>
    </row>
    <row r="632">
      <c r="D632" s="182"/>
    </row>
    <row r="633">
      <c r="D633" s="182"/>
    </row>
    <row r="634">
      <c r="D634" s="182"/>
    </row>
    <row r="635">
      <c r="D635" s="182"/>
    </row>
    <row r="636">
      <c r="D636" s="182"/>
    </row>
    <row r="637">
      <c r="D637" s="182"/>
    </row>
    <row r="638">
      <c r="D638" s="182"/>
    </row>
    <row r="639">
      <c r="D639" s="182"/>
    </row>
    <row r="640">
      <c r="D640" s="182"/>
    </row>
    <row r="641">
      <c r="D641" s="182"/>
    </row>
    <row r="642">
      <c r="D642" s="182"/>
    </row>
    <row r="643">
      <c r="D643" s="182"/>
    </row>
    <row r="644">
      <c r="D644" s="182"/>
    </row>
    <row r="645">
      <c r="D645" s="182"/>
    </row>
    <row r="646">
      <c r="D646" s="182"/>
    </row>
    <row r="647">
      <c r="D647" s="182"/>
    </row>
    <row r="648">
      <c r="D648" s="182"/>
    </row>
    <row r="649">
      <c r="D649" s="182"/>
    </row>
    <row r="650">
      <c r="D650" s="182"/>
    </row>
    <row r="651">
      <c r="D651" s="182"/>
    </row>
    <row r="652">
      <c r="D652" s="182"/>
    </row>
    <row r="653">
      <c r="D653" s="182"/>
    </row>
    <row r="654">
      <c r="D654" s="182"/>
    </row>
    <row r="655">
      <c r="D655" s="182"/>
    </row>
    <row r="656">
      <c r="D656" s="182"/>
    </row>
    <row r="657">
      <c r="D657" s="182"/>
    </row>
    <row r="658">
      <c r="D658" s="182"/>
    </row>
    <row r="659">
      <c r="D659" s="182"/>
    </row>
    <row r="660">
      <c r="D660" s="182"/>
    </row>
    <row r="661">
      <c r="D661" s="182"/>
    </row>
    <row r="662">
      <c r="D662" s="182"/>
    </row>
    <row r="663">
      <c r="D663" s="182"/>
    </row>
    <row r="664">
      <c r="D664" s="182"/>
    </row>
    <row r="665">
      <c r="D665" s="182"/>
    </row>
    <row r="666">
      <c r="D666" s="182"/>
    </row>
    <row r="667">
      <c r="D667" s="182"/>
    </row>
    <row r="668">
      <c r="D668" s="182"/>
    </row>
    <row r="669">
      <c r="D669" s="182"/>
    </row>
    <row r="670">
      <c r="D670" s="182"/>
    </row>
    <row r="671">
      <c r="D671" s="182"/>
    </row>
    <row r="672">
      <c r="D672" s="182"/>
    </row>
    <row r="673">
      <c r="D673" s="182"/>
    </row>
    <row r="674">
      <c r="D674" s="182"/>
    </row>
    <row r="675">
      <c r="D675" s="182"/>
    </row>
    <row r="676">
      <c r="D676" s="182"/>
    </row>
    <row r="677">
      <c r="D677" s="182"/>
    </row>
    <row r="678">
      <c r="D678" s="182"/>
    </row>
    <row r="679">
      <c r="D679" s="182"/>
    </row>
    <row r="680">
      <c r="D680" s="182"/>
    </row>
    <row r="681">
      <c r="D681" s="182"/>
    </row>
    <row r="682">
      <c r="D682" s="182"/>
    </row>
    <row r="683">
      <c r="D683" s="182"/>
    </row>
    <row r="684">
      <c r="D684" s="182"/>
    </row>
    <row r="685">
      <c r="D685" s="182"/>
    </row>
    <row r="686">
      <c r="D686" s="182"/>
    </row>
    <row r="687">
      <c r="D687" s="182"/>
    </row>
    <row r="688">
      <c r="D688" s="182"/>
    </row>
    <row r="689">
      <c r="D689" s="182"/>
    </row>
    <row r="690">
      <c r="D690" s="182"/>
    </row>
    <row r="691">
      <c r="D691" s="182"/>
    </row>
    <row r="692">
      <c r="D692" s="182"/>
    </row>
    <row r="693">
      <c r="D693" s="182"/>
    </row>
    <row r="694">
      <c r="D694" s="182"/>
    </row>
    <row r="695">
      <c r="D695" s="182"/>
    </row>
    <row r="696">
      <c r="D696" s="182"/>
    </row>
    <row r="697">
      <c r="D697" s="182"/>
    </row>
    <row r="698">
      <c r="D698" s="182"/>
    </row>
    <row r="699">
      <c r="D699" s="182"/>
    </row>
    <row r="700">
      <c r="D700" s="182"/>
    </row>
    <row r="701">
      <c r="D701" s="182"/>
    </row>
    <row r="702">
      <c r="D702" s="182"/>
    </row>
    <row r="703">
      <c r="D703" s="182"/>
    </row>
    <row r="704">
      <c r="D704" s="182"/>
    </row>
    <row r="705">
      <c r="D705" s="182"/>
    </row>
    <row r="706">
      <c r="D706" s="182"/>
    </row>
    <row r="707">
      <c r="D707" s="182"/>
    </row>
    <row r="708">
      <c r="D708" s="182"/>
    </row>
    <row r="709">
      <c r="D709" s="182"/>
    </row>
    <row r="710">
      <c r="D710" s="182"/>
    </row>
    <row r="711">
      <c r="D711" s="182"/>
    </row>
    <row r="712">
      <c r="D712" s="182"/>
    </row>
    <row r="713">
      <c r="D713" s="182"/>
    </row>
    <row r="714">
      <c r="D714" s="182"/>
    </row>
    <row r="715">
      <c r="D715" s="182"/>
    </row>
    <row r="716">
      <c r="D716" s="182"/>
    </row>
    <row r="717">
      <c r="D717" s="182"/>
    </row>
    <row r="718">
      <c r="D718" s="182"/>
    </row>
    <row r="719">
      <c r="D719" s="182"/>
    </row>
    <row r="720">
      <c r="D720" s="182"/>
    </row>
    <row r="721">
      <c r="D721" s="182"/>
    </row>
    <row r="722">
      <c r="D722" s="182"/>
    </row>
    <row r="723">
      <c r="D723" s="182"/>
    </row>
    <row r="724">
      <c r="D724" s="182"/>
    </row>
    <row r="725">
      <c r="D725" s="182"/>
    </row>
    <row r="726">
      <c r="D726" s="182"/>
    </row>
    <row r="727">
      <c r="D727" s="182"/>
    </row>
    <row r="728">
      <c r="D728" s="182"/>
    </row>
    <row r="729">
      <c r="D729" s="182"/>
    </row>
    <row r="730">
      <c r="D730" s="182"/>
    </row>
    <row r="731">
      <c r="D731" s="182"/>
    </row>
    <row r="732">
      <c r="D732" s="182"/>
    </row>
    <row r="733">
      <c r="D733" s="182"/>
    </row>
    <row r="734">
      <c r="D734" s="182"/>
    </row>
    <row r="735">
      <c r="D735" s="182"/>
    </row>
    <row r="736">
      <c r="D736" s="182"/>
    </row>
    <row r="737">
      <c r="D737" s="182"/>
    </row>
    <row r="738">
      <c r="D738" s="182"/>
    </row>
    <row r="739">
      <c r="D739" s="182"/>
    </row>
    <row r="740">
      <c r="D740" s="182"/>
    </row>
    <row r="741">
      <c r="D741" s="182"/>
    </row>
    <row r="742">
      <c r="D742" s="182"/>
    </row>
    <row r="743">
      <c r="D743" s="182"/>
    </row>
    <row r="744">
      <c r="D744" s="182"/>
    </row>
    <row r="745">
      <c r="D745" s="182"/>
    </row>
    <row r="746">
      <c r="D746" s="182"/>
    </row>
    <row r="747">
      <c r="D747" s="182"/>
    </row>
    <row r="748">
      <c r="D748" s="182"/>
    </row>
    <row r="749">
      <c r="D749" s="182"/>
    </row>
    <row r="750">
      <c r="D750" s="182"/>
    </row>
    <row r="751">
      <c r="D751" s="182"/>
    </row>
    <row r="752">
      <c r="D752" s="182"/>
    </row>
    <row r="753">
      <c r="D753" s="182"/>
    </row>
    <row r="754">
      <c r="D754" s="182"/>
    </row>
    <row r="755">
      <c r="D755" s="182"/>
    </row>
    <row r="756">
      <c r="D756" s="182"/>
    </row>
    <row r="757">
      <c r="D757" s="182"/>
    </row>
    <row r="758">
      <c r="D758" s="182"/>
    </row>
    <row r="759">
      <c r="D759" s="182"/>
    </row>
    <row r="760">
      <c r="D760" s="182"/>
    </row>
    <row r="761">
      <c r="D761" s="182"/>
    </row>
    <row r="762">
      <c r="D762" s="182"/>
    </row>
    <row r="763">
      <c r="D763" s="182"/>
    </row>
    <row r="764">
      <c r="D764" s="182"/>
    </row>
    <row r="765">
      <c r="D765" s="182"/>
    </row>
    <row r="766">
      <c r="D766" s="182"/>
    </row>
    <row r="767">
      <c r="D767" s="182"/>
    </row>
    <row r="768">
      <c r="D768" s="182"/>
    </row>
    <row r="769">
      <c r="D769" s="182"/>
    </row>
    <row r="770">
      <c r="D770" s="182"/>
    </row>
    <row r="771">
      <c r="D771" s="182"/>
    </row>
    <row r="772">
      <c r="D772" s="182"/>
    </row>
    <row r="773">
      <c r="D773" s="182"/>
    </row>
    <row r="774">
      <c r="D774" s="182"/>
    </row>
    <row r="775">
      <c r="D775" s="182"/>
    </row>
    <row r="776">
      <c r="D776" s="182"/>
    </row>
    <row r="777">
      <c r="D777" s="182"/>
    </row>
    <row r="778">
      <c r="D778" s="182"/>
    </row>
    <row r="779">
      <c r="D779" s="182"/>
    </row>
    <row r="780">
      <c r="D780" s="182"/>
    </row>
    <row r="781">
      <c r="D781" s="182"/>
    </row>
    <row r="782">
      <c r="D782" s="182"/>
    </row>
    <row r="783">
      <c r="D783" s="182"/>
    </row>
    <row r="784">
      <c r="D784" s="182"/>
    </row>
    <row r="785">
      <c r="D785" s="182"/>
    </row>
    <row r="786">
      <c r="D786" s="182"/>
    </row>
    <row r="787">
      <c r="D787" s="182"/>
    </row>
    <row r="788">
      <c r="D788" s="182"/>
    </row>
    <row r="789">
      <c r="D789" s="182"/>
    </row>
    <row r="790">
      <c r="D790" s="182"/>
    </row>
    <row r="791">
      <c r="D791" s="182"/>
    </row>
    <row r="792">
      <c r="D792" s="182"/>
    </row>
    <row r="793">
      <c r="D793" s="182"/>
    </row>
    <row r="794">
      <c r="D794" s="182"/>
    </row>
    <row r="795">
      <c r="D795" s="182"/>
    </row>
    <row r="796">
      <c r="D796" s="182"/>
    </row>
    <row r="797">
      <c r="D797" s="182"/>
    </row>
    <row r="798">
      <c r="D798" s="182"/>
    </row>
    <row r="799">
      <c r="D799" s="182"/>
    </row>
    <row r="800">
      <c r="D800" s="182"/>
    </row>
    <row r="801">
      <c r="D801" s="182"/>
    </row>
    <row r="802">
      <c r="D802" s="182"/>
    </row>
    <row r="803">
      <c r="D803" s="182"/>
    </row>
    <row r="804">
      <c r="D804" s="182"/>
    </row>
    <row r="805">
      <c r="D805" s="182"/>
    </row>
    <row r="806">
      <c r="D806" s="182"/>
    </row>
    <row r="807">
      <c r="D807" s="182"/>
    </row>
    <row r="808">
      <c r="D808" s="182"/>
    </row>
    <row r="809">
      <c r="D809" s="182"/>
    </row>
    <row r="810">
      <c r="D810" s="182"/>
    </row>
    <row r="811">
      <c r="D811" s="182"/>
    </row>
    <row r="812">
      <c r="D812" s="182"/>
    </row>
    <row r="813">
      <c r="D813" s="182"/>
    </row>
    <row r="814">
      <c r="D814" s="182"/>
    </row>
    <row r="815">
      <c r="D815" s="182"/>
    </row>
    <row r="816">
      <c r="D816" s="182"/>
    </row>
    <row r="817">
      <c r="D817" s="182"/>
    </row>
    <row r="818">
      <c r="D818" s="182"/>
    </row>
    <row r="819">
      <c r="D819" s="182"/>
    </row>
    <row r="820">
      <c r="D820" s="182"/>
    </row>
    <row r="821">
      <c r="D821" s="182"/>
    </row>
    <row r="822">
      <c r="D822" s="182"/>
    </row>
    <row r="823">
      <c r="D823" s="182"/>
    </row>
    <row r="824">
      <c r="D824" s="182"/>
    </row>
    <row r="825">
      <c r="D825" s="182"/>
    </row>
    <row r="826">
      <c r="D826" s="182"/>
    </row>
    <row r="827">
      <c r="D827" s="182"/>
    </row>
    <row r="828">
      <c r="D828" s="182"/>
    </row>
    <row r="829">
      <c r="D829" s="182"/>
    </row>
    <row r="830">
      <c r="D830" s="182"/>
    </row>
    <row r="831">
      <c r="D831" s="182"/>
    </row>
    <row r="832">
      <c r="D832" s="182"/>
    </row>
    <row r="833">
      <c r="D833" s="182"/>
    </row>
    <row r="834">
      <c r="D834" s="182"/>
    </row>
    <row r="835">
      <c r="D835" s="182"/>
    </row>
    <row r="836">
      <c r="D836" s="182"/>
    </row>
    <row r="837">
      <c r="D837" s="182"/>
    </row>
    <row r="838">
      <c r="D838" s="182"/>
    </row>
    <row r="839">
      <c r="D839" s="182"/>
    </row>
    <row r="840">
      <c r="D840" s="182"/>
    </row>
    <row r="841">
      <c r="D841" s="182"/>
    </row>
    <row r="842">
      <c r="D842" s="182"/>
    </row>
    <row r="843">
      <c r="D843" s="182"/>
    </row>
    <row r="844">
      <c r="D844" s="182"/>
    </row>
    <row r="845">
      <c r="D845" s="182"/>
    </row>
    <row r="846">
      <c r="D846" s="182"/>
    </row>
    <row r="847">
      <c r="D847" s="182"/>
    </row>
    <row r="848">
      <c r="D848" s="182"/>
    </row>
    <row r="849">
      <c r="D849" s="182"/>
    </row>
    <row r="850">
      <c r="D850" s="182"/>
    </row>
    <row r="851">
      <c r="D851" s="182"/>
    </row>
    <row r="852">
      <c r="D852" s="182"/>
    </row>
    <row r="853">
      <c r="D853" s="182"/>
    </row>
    <row r="854">
      <c r="D854" s="182"/>
    </row>
    <row r="855">
      <c r="D855" s="182"/>
    </row>
    <row r="856">
      <c r="D856" s="182"/>
    </row>
    <row r="857">
      <c r="D857" s="182"/>
    </row>
    <row r="858">
      <c r="D858" s="182"/>
    </row>
    <row r="859">
      <c r="D859" s="182"/>
    </row>
    <row r="860">
      <c r="D860" s="182"/>
    </row>
    <row r="861">
      <c r="D861" s="182"/>
    </row>
    <row r="862">
      <c r="D862" s="182"/>
    </row>
    <row r="863">
      <c r="D863" s="182"/>
    </row>
    <row r="864">
      <c r="D864" s="182"/>
    </row>
    <row r="865">
      <c r="D865" s="182"/>
    </row>
    <row r="866">
      <c r="D866" s="182"/>
    </row>
    <row r="867">
      <c r="D867" s="182"/>
    </row>
    <row r="868">
      <c r="D868" s="182"/>
    </row>
    <row r="869">
      <c r="D869" s="182"/>
    </row>
    <row r="870">
      <c r="D870" s="182"/>
    </row>
    <row r="871">
      <c r="D871" s="182"/>
    </row>
    <row r="872">
      <c r="D872" s="182"/>
    </row>
    <row r="873">
      <c r="D873" s="182"/>
    </row>
    <row r="874">
      <c r="D874" s="182"/>
    </row>
    <row r="875">
      <c r="D875" s="182"/>
    </row>
    <row r="876">
      <c r="D876" s="182"/>
    </row>
    <row r="877">
      <c r="D877" s="182"/>
    </row>
    <row r="878">
      <c r="D878" s="182"/>
    </row>
    <row r="879">
      <c r="D879" s="182"/>
    </row>
    <row r="880">
      <c r="D880" s="182"/>
    </row>
    <row r="881">
      <c r="D881" s="182"/>
    </row>
    <row r="882">
      <c r="D882" s="182"/>
    </row>
    <row r="883">
      <c r="D883" s="182"/>
    </row>
    <row r="884">
      <c r="D884" s="182"/>
    </row>
    <row r="885">
      <c r="D885" s="182"/>
    </row>
    <row r="886">
      <c r="D886" s="182"/>
    </row>
    <row r="887">
      <c r="D887" s="182"/>
    </row>
    <row r="888">
      <c r="D888" s="182"/>
    </row>
    <row r="889">
      <c r="D889" s="182"/>
    </row>
    <row r="890">
      <c r="D890" s="182"/>
    </row>
    <row r="891">
      <c r="D891" s="182"/>
    </row>
    <row r="892">
      <c r="D892" s="182"/>
    </row>
    <row r="893">
      <c r="D893" s="182"/>
    </row>
    <row r="894">
      <c r="D894" s="182"/>
    </row>
    <row r="895">
      <c r="D895" s="182"/>
    </row>
    <row r="896">
      <c r="D896" s="182"/>
    </row>
    <row r="897">
      <c r="D897" s="182"/>
    </row>
    <row r="898">
      <c r="D898" s="182"/>
    </row>
    <row r="899">
      <c r="D899" s="182"/>
    </row>
    <row r="900">
      <c r="D900" s="182"/>
    </row>
    <row r="901">
      <c r="D901" s="182"/>
    </row>
    <row r="902">
      <c r="D902" s="182"/>
    </row>
    <row r="903">
      <c r="D903" s="182"/>
    </row>
    <row r="904">
      <c r="D904" s="182"/>
    </row>
    <row r="905">
      <c r="D905" s="182"/>
    </row>
    <row r="906">
      <c r="D906" s="182"/>
    </row>
    <row r="907">
      <c r="D907" s="182"/>
    </row>
    <row r="908">
      <c r="D908" s="182"/>
    </row>
    <row r="909">
      <c r="D909" s="182"/>
    </row>
    <row r="910">
      <c r="D910" s="182"/>
    </row>
    <row r="911">
      <c r="D911" s="182"/>
    </row>
    <row r="912">
      <c r="D912" s="182"/>
    </row>
    <row r="913">
      <c r="D913" s="182"/>
    </row>
    <row r="914">
      <c r="D914" s="182"/>
    </row>
    <row r="915">
      <c r="D915" s="182"/>
    </row>
    <row r="916">
      <c r="D916" s="182"/>
    </row>
    <row r="917">
      <c r="D917" s="182"/>
    </row>
    <row r="918">
      <c r="D918" s="182"/>
    </row>
    <row r="919">
      <c r="D919" s="182"/>
    </row>
    <row r="920">
      <c r="D920" s="182"/>
    </row>
    <row r="921">
      <c r="D921" s="182"/>
    </row>
    <row r="922">
      <c r="D922" s="182"/>
    </row>
    <row r="923">
      <c r="D923" s="182"/>
    </row>
    <row r="924">
      <c r="D924" s="182"/>
    </row>
    <row r="925">
      <c r="D925" s="182"/>
    </row>
    <row r="926">
      <c r="D926" s="182"/>
    </row>
    <row r="927">
      <c r="D927" s="182"/>
    </row>
    <row r="928">
      <c r="D928" s="182"/>
    </row>
    <row r="929">
      <c r="D929" s="182"/>
    </row>
    <row r="930">
      <c r="D930" s="182"/>
    </row>
    <row r="931">
      <c r="D931" s="182"/>
    </row>
    <row r="932">
      <c r="D932" s="182"/>
    </row>
    <row r="933">
      <c r="D933" s="182"/>
    </row>
    <row r="934">
      <c r="D934" s="182"/>
    </row>
    <row r="935">
      <c r="D935" s="182"/>
    </row>
    <row r="936">
      <c r="D936" s="182"/>
    </row>
    <row r="937">
      <c r="D937" s="182"/>
    </row>
    <row r="938">
      <c r="D938" s="182"/>
    </row>
    <row r="939">
      <c r="D939" s="182"/>
    </row>
    <row r="940">
      <c r="D940" s="182"/>
    </row>
    <row r="941">
      <c r="D941" s="182"/>
    </row>
    <row r="942">
      <c r="D942" s="182"/>
    </row>
    <row r="943">
      <c r="D943" s="182"/>
    </row>
    <row r="944">
      <c r="D944" s="182"/>
    </row>
    <row r="945">
      <c r="D945" s="182"/>
    </row>
    <row r="946">
      <c r="D946" s="182"/>
    </row>
    <row r="947">
      <c r="D947" s="182"/>
    </row>
    <row r="948">
      <c r="D948" s="182"/>
    </row>
    <row r="949">
      <c r="D949" s="182"/>
    </row>
    <row r="950">
      <c r="D950" s="182"/>
    </row>
    <row r="951">
      <c r="D951" s="182"/>
    </row>
    <row r="952">
      <c r="D952" s="182"/>
    </row>
    <row r="953">
      <c r="D953" s="182"/>
    </row>
    <row r="954">
      <c r="D954" s="182"/>
    </row>
    <row r="955">
      <c r="D955" s="182"/>
    </row>
    <row r="956">
      <c r="D956" s="182"/>
    </row>
    <row r="957">
      <c r="D957" s="182"/>
    </row>
    <row r="958">
      <c r="D958" s="182"/>
    </row>
    <row r="959">
      <c r="D959" s="182"/>
    </row>
    <row r="960">
      <c r="D960" s="182"/>
    </row>
    <row r="961">
      <c r="D961" s="182"/>
    </row>
    <row r="962">
      <c r="D962" s="182"/>
    </row>
    <row r="963">
      <c r="D963" s="182"/>
    </row>
    <row r="964">
      <c r="D964" s="182"/>
    </row>
    <row r="965">
      <c r="D965" s="182"/>
    </row>
    <row r="966">
      <c r="D966" s="182"/>
    </row>
    <row r="967">
      <c r="D967" s="182"/>
    </row>
    <row r="968">
      <c r="D968" s="182"/>
    </row>
    <row r="969">
      <c r="D969" s="182"/>
    </row>
    <row r="970">
      <c r="D970" s="182"/>
    </row>
    <row r="971">
      <c r="D971" s="182"/>
    </row>
    <row r="972">
      <c r="D972" s="182"/>
    </row>
    <row r="973">
      <c r="D973" s="182"/>
    </row>
    <row r="974">
      <c r="D974" s="182"/>
    </row>
    <row r="975">
      <c r="D975" s="182"/>
    </row>
    <row r="976">
      <c r="D976" s="182"/>
    </row>
    <row r="977">
      <c r="D977" s="182"/>
    </row>
    <row r="978">
      <c r="D978" s="182"/>
    </row>
    <row r="979">
      <c r="D979" s="182"/>
    </row>
    <row r="980">
      <c r="D980" s="182"/>
    </row>
    <row r="981">
      <c r="D981" s="182"/>
    </row>
    <row r="982">
      <c r="D982" s="182"/>
    </row>
    <row r="983">
      <c r="D983" s="182"/>
    </row>
    <row r="984">
      <c r="D984" s="182"/>
    </row>
    <row r="985">
      <c r="D985" s="182"/>
    </row>
    <row r="986">
      <c r="D986" s="182"/>
    </row>
    <row r="987">
      <c r="D987" s="182"/>
    </row>
    <row r="988">
      <c r="D988" s="182"/>
    </row>
    <row r="989">
      <c r="D989" s="182"/>
    </row>
    <row r="990">
      <c r="D990" s="182"/>
    </row>
    <row r="991">
      <c r="D991" s="182"/>
    </row>
    <row r="992">
      <c r="D992" s="182"/>
    </row>
    <row r="993">
      <c r="D993" s="182"/>
    </row>
    <row r="994">
      <c r="D994" s="182"/>
    </row>
    <row r="995">
      <c r="D995" s="182"/>
    </row>
    <row r="996">
      <c r="D996" s="182"/>
    </row>
    <row r="997">
      <c r="D997" s="182"/>
    </row>
    <row r="998">
      <c r="D998" s="182"/>
    </row>
    <row r="999">
      <c r="D999" s="182"/>
    </row>
    <row r="1000">
      <c r="D1000" s="182"/>
    </row>
  </sheetData>
  <drawing r:id="rId1"/>
</worksheet>
</file>