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S:\Data\Coding\AI-Solubility\"/>
    </mc:Choice>
  </mc:AlternateContent>
  <xr:revisionPtr revIDLastSave="0" documentId="13_ncr:1_{CCBE61A1-FDBA-428F-97A1-99B139D34FB0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Labels" sheetId="1" r:id="rId1"/>
    <sheet name="Values" sheetId="3" r:id="rId2"/>
    <sheet name="Values log" sheetId="6" r:id="rId3"/>
    <sheet name="Kd" sheetId="2" r:id="rId4"/>
    <sheet name="No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K2" i="3"/>
  <c r="R7" i="3"/>
  <c r="T12" i="3"/>
  <c r="S12" i="3"/>
  <c r="R12" i="3"/>
  <c r="Q12" i="3"/>
  <c r="Q12" i="6" s="1"/>
  <c r="P12" i="3"/>
  <c r="P12" i="6" s="1"/>
  <c r="O12" i="3"/>
  <c r="O12" i="6" s="1"/>
  <c r="N12" i="3"/>
  <c r="M12" i="3"/>
  <c r="L12" i="3"/>
  <c r="L12" i="6" s="1"/>
  <c r="K12" i="3"/>
  <c r="K12" i="6" s="1"/>
  <c r="U12" i="3"/>
  <c r="U12" i="6" s="1"/>
  <c r="U7" i="3"/>
  <c r="U7" i="6" s="1"/>
  <c r="V12" i="3"/>
  <c r="V12" i="6" s="1"/>
  <c r="Q16" i="3"/>
  <c r="Q16" i="6" s="1"/>
  <c r="P16" i="3"/>
  <c r="P16" i="6" s="1"/>
  <c r="N16" i="3"/>
  <c r="N16" i="6" s="1"/>
  <c r="S16" i="3"/>
  <c r="O8" i="3"/>
  <c r="N8" i="3"/>
  <c r="N8" i="6" s="1"/>
  <c r="R8" i="3"/>
  <c r="R8" i="6" s="1"/>
  <c r="U8" i="3"/>
  <c r="U8" i="6" s="1"/>
  <c r="V8" i="3"/>
  <c r="V8" i="6" s="1"/>
  <c r="V7" i="3"/>
  <c r="V7" i="6" s="1"/>
  <c r="T7" i="3"/>
  <c r="S7" i="3"/>
  <c r="S7" i="6" s="1"/>
  <c r="N7" i="3"/>
  <c r="O7" i="3"/>
  <c r="M7" i="3"/>
  <c r="M7" i="6" s="1"/>
  <c r="J7" i="3"/>
  <c r="J7" i="6" s="1"/>
  <c r="I7" i="3"/>
  <c r="I7" i="6" s="1"/>
  <c r="L2" i="3"/>
  <c r="L2" i="6" s="1"/>
  <c r="O2" i="3"/>
  <c r="P2" i="3"/>
  <c r="S2" i="3"/>
  <c r="O14" i="6"/>
  <c r="Q2" i="3"/>
  <c r="Q2" i="6" s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V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N7" i="6"/>
  <c r="O7" i="6"/>
  <c r="P7" i="6"/>
  <c r="Q7" i="6"/>
  <c r="R7" i="6"/>
  <c r="T7" i="6"/>
  <c r="D8" i="6"/>
  <c r="E8" i="6"/>
  <c r="F8" i="6"/>
  <c r="G8" i="6"/>
  <c r="H8" i="6"/>
  <c r="I8" i="6"/>
  <c r="J8" i="6"/>
  <c r="M8" i="6"/>
  <c r="O8" i="6"/>
  <c r="Q8" i="6"/>
  <c r="C9" i="6"/>
  <c r="D9" i="6"/>
  <c r="E9" i="6"/>
  <c r="F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T10" i="6"/>
  <c r="U10" i="6"/>
  <c r="V10" i="6"/>
  <c r="B11" i="6"/>
  <c r="C11" i="6"/>
  <c r="D11" i="6"/>
  <c r="E11" i="6"/>
  <c r="F11" i="6"/>
  <c r="G11" i="6"/>
  <c r="H11" i="6"/>
  <c r="I11" i="6"/>
  <c r="J11" i="6"/>
  <c r="N11" i="6"/>
  <c r="O11" i="6"/>
  <c r="U11" i="6"/>
  <c r="B12" i="6"/>
  <c r="C12" i="6"/>
  <c r="D12" i="6"/>
  <c r="E12" i="6"/>
  <c r="F12" i="6"/>
  <c r="G12" i="6"/>
  <c r="H12" i="6"/>
  <c r="J12" i="6"/>
  <c r="M12" i="6"/>
  <c r="N12" i="6"/>
  <c r="R12" i="6"/>
  <c r="S12" i="6"/>
  <c r="T12" i="6"/>
  <c r="B13" i="6"/>
  <c r="C13" i="6"/>
  <c r="D13" i="6"/>
  <c r="E13" i="6"/>
  <c r="F13" i="6"/>
  <c r="G13" i="6"/>
  <c r="H13" i="6"/>
  <c r="I13" i="6"/>
  <c r="J13" i="6"/>
  <c r="O13" i="6"/>
  <c r="P13" i="6"/>
  <c r="Q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P14" i="6"/>
  <c r="Q14" i="6"/>
  <c r="R14" i="6"/>
  <c r="S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Q15" i="6"/>
  <c r="U15" i="6"/>
  <c r="B16" i="6"/>
  <c r="C16" i="6"/>
  <c r="D16" i="6"/>
  <c r="E16" i="6"/>
  <c r="F16" i="6"/>
  <c r="H16" i="6"/>
  <c r="I16" i="6"/>
  <c r="J16" i="6"/>
  <c r="M16" i="6"/>
  <c r="O16" i="6"/>
  <c r="R16" i="6"/>
  <c r="S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N17" i="6"/>
  <c r="O17" i="6"/>
  <c r="P17" i="6"/>
  <c r="Q17" i="6"/>
  <c r="R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U18" i="6"/>
  <c r="V18" i="6"/>
  <c r="C2" i="6"/>
  <c r="D2" i="6"/>
  <c r="E2" i="6"/>
  <c r="F2" i="6"/>
  <c r="G2" i="6"/>
  <c r="H2" i="6"/>
  <c r="J2" i="6"/>
  <c r="K2" i="6"/>
  <c r="N2" i="6"/>
  <c r="O2" i="6"/>
  <c r="P2" i="6"/>
  <c r="S2" i="6"/>
  <c r="R16" i="3"/>
  <c r="G16" i="3"/>
  <c r="G16" i="6" s="1"/>
  <c r="B21" i="2"/>
  <c r="B20" i="2"/>
  <c r="B19" i="2"/>
  <c r="B16" i="2"/>
  <c r="B15" i="2"/>
  <c r="B14" i="2"/>
  <c r="B13" i="2"/>
  <c r="B12" i="2"/>
  <c r="B11" i="2"/>
  <c r="B10" i="2"/>
  <c r="B8" i="2"/>
  <c r="B7" i="2"/>
  <c r="B5" i="2"/>
  <c r="Q13" i="3"/>
  <c r="N13" i="3"/>
  <c r="N13" i="6" s="1"/>
  <c r="P13" i="3"/>
  <c r="R13" i="3"/>
  <c r="R13" i="6" s="1"/>
  <c r="M13" i="3"/>
  <c r="M13" i="6" s="1"/>
  <c r="T13" i="3"/>
  <c r="T13" i="6" s="1"/>
  <c r="G13" i="3"/>
  <c r="G12" i="3"/>
  <c r="I12" i="3"/>
  <c r="I12" i="6" s="1"/>
  <c r="G9" i="3"/>
  <c r="G9" i="6" s="1"/>
  <c r="C8" i="3"/>
  <c r="C8" i="6" s="1"/>
  <c r="B8" i="3"/>
  <c r="B9" i="3" s="1"/>
  <c r="B9" i="6" s="1"/>
  <c r="U5" i="3"/>
  <c r="U5" i="6" s="1"/>
  <c r="U4" i="3"/>
  <c r="T2" i="3"/>
  <c r="T2" i="6" s="1"/>
  <c r="R2" i="3"/>
  <c r="R2" i="6" s="1"/>
  <c r="J3" i="3"/>
  <c r="M2" i="3"/>
  <c r="M2" i="6" s="1"/>
  <c r="I2" i="3"/>
  <c r="I2" i="6" s="1"/>
  <c r="D19" i="2"/>
  <c r="D18" i="2"/>
  <c r="D17" i="2"/>
  <c r="D16" i="2"/>
  <c r="D15" i="2"/>
  <c r="D14" i="2"/>
  <c r="D6" i="2"/>
  <c r="D8" i="2"/>
  <c r="D10" i="2"/>
  <c r="D13" i="2"/>
  <c r="D12" i="2"/>
  <c r="D9" i="2"/>
  <c r="D5" i="2"/>
  <c r="D7" i="2"/>
  <c r="D4" i="2"/>
  <c r="D3" i="2"/>
  <c r="D2" i="2"/>
  <c r="B20" i="6" l="1"/>
  <c r="C20" i="6" s="1"/>
  <c r="B8" i="6"/>
  <c r="B22" i="6" s="1"/>
  <c r="C22" i="6" s="1"/>
</calcChain>
</file>

<file path=xl/sharedStrings.xml><?xml version="1.0" encoding="utf-8"?>
<sst xmlns="http://schemas.openxmlformats.org/spreadsheetml/2006/main" count="596" uniqueCount="53">
  <si>
    <t>Mg</t>
  </si>
  <si>
    <t>Ca</t>
  </si>
  <si>
    <t>Ba</t>
  </si>
  <si>
    <t>Na</t>
  </si>
  <si>
    <t>K</t>
  </si>
  <si>
    <t>Li</t>
  </si>
  <si>
    <t>H</t>
  </si>
  <si>
    <t>Sr</t>
  </si>
  <si>
    <t>Al</t>
  </si>
  <si>
    <t>Cr</t>
  </si>
  <si>
    <t>Fe</t>
  </si>
  <si>
    <t>Mn</t>
  </si>
  <si>
    <t>Zn</t>
  </si>
  <si>
    <t>Ag</t>
  </si>
  <si>
    <t>Hg</t>
  </si>
  <si>
    <t>Pb</t>
  </si>
  <si>
    <t>Sn</t>
  </si>
  <si>
    <t>Cu</t>
  </si>
  <si>
    <t>Ni</t>
  </si>
  <si>
    <t>Co</t>
  </si>
  <si>
    <t>OH</t>
  </si>
  <si>
    <t>F</t>
  </si>
  <si>
    <t>Cl</t>
  </si>
  <si>
    <t>Br</t>
  </si>
  <si>
    <t>I</t>
  </si>
  <si>
    <t>S</t>
  </si>
  <si>
    <t>HS</t>
  </si>
  <si>
    <t>Р</t>
  </si>
  <si>
    <t>М</t>
  </si>
  <si>
    <t>Н</t>
  </si>
  <si>
    <t>-</t>
  </si>
  <si>
    <t>?</t>
  </si>
  <si>
    <r>
      <t>NH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</si>
  <si>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</si>
  <si>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</si>
  <si>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</si>
  <si>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</si>
  <si>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</si>
  <si>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</si>
  <si>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PO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</si>
  <si>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</si>
  <si>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COO</t>
    </r>
  </si>
  <si>
    <r>
      <t>MnO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</si>
  <si>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CrO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</si>
  <si>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</si>
  <si>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</si>
  <si>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Solubility</t>
  </si>
  <si>
    <t>Анион</t>
  </si>
  <si>
    <t>Катион</t>
  </si>
  <si>
    <t>Р - Растворимость &gt;= 1</t>
  </si>
  <si>
    <t>М - 0,1 &lt;= Растворимость &lt; 1</t>
  </si>
  <si>
    <t>Н - Растворимость &lt; 0,1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</si>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</sst>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" xfId="0" applyBorder="1"/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Обычный" xfId="0" builtinId="0"/>
  </cellStyles>
  <dxfs count="25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300415573053368"/>
                  <c:y val="-2.5726888305628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'Values log'!$B$20:$B$22</c:f>
              <c:numCache>
                <c:formatCode>General</c:formatCode>
                <c:ptCount val="3"/>
                <c:pt idx="0" formatCode="0.00">
                  <c:v>6.2633982625916236</c:v>
                </c:pt>
                <c:pt idx="1">
                  <c:v>-2.2999999999999998</c:v>
                </c:pt>
                <c:pt idx="2" formatCode="0.00">
                  <c:v>-17.465169298924931</c:v>
                </c:pt>
              </c:numCache>
            </c:numRef>
          </c:xVal>
          <c:yVal>
            <c:numRef>
              <c:f>'Values log'!$D$20:$D$22</c:f>
              <c:numCache>
                <c:formatCode>General</c:formatCode>
                <c:ptCount val="3"/>
                <c:pt idx="0">
                  <c:v>2.5</c:v>
                </c:pt>
                <c:pt idx="1">
                  <c:v>1.5</c:v>
                </c:pt>
                <c:pt idx="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4-4979-AFD9-6DA5817B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3247"/>
        <c:axId val="475518511"/>
      </c:scatterChart>
      <c:valAx>
        <c:axId val="56215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518511"/>
        <c:crosses val="autoZero"/>
        <c:crossBetween val="midCat"/>
      </c:valAx>
      <c:valAx>
        <c:axId val="4755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5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4762</xdr:rowOff>
    </xdr:from>
    <xdr:to>
      <xdr:col>17</xdr:col>
      <xdr:colOff>95250</xdr:colOff>
      <xdr:row>33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20A022-8FE9-3094-7203-683B0FBD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workbookViewId="0">
      <selection activeCell="A23" sqref="A23"/>
    </sheetView>
  </sheetViews>
  <sheetFormatPr defaultColWidth="8.85546875" defaultRowHeight="15" x14ac:dyDescent="0.25"/>
  <cols>
    <col min="1" max="1" width="9.42578125" bestFit="1" customWidth="1"/>
    <col min="2" max="22" width="3.42578125" customWidth="1"/>
    <col min="23" max="23" width="9.140625" customWidth="1"/>
  </cols>
  <sheetData>
    <row r="1" spans="1:22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</row>
    <row r="2" spans="1:22" ht="18" customHeight="1" x14ac:dyDescent="0.25">
      <c r="A2" s="1" t="s">
        <v>20</v>
      </c>
      <c r="B2" s="3"/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28</v>
      </c>
      <c r="I2" s="4" t="s">
        <v>29</v>
      </c>
      <c r="J2" s="4" t="s">
        <v>28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30</v>
      </c>
      <c r="V2" s="5" t="s">
        <v>30</v>
      </c>
    </row>
    <row r="3" spans="1:22" ht="18" customHeight="1" x14ac:dyDescent="0.25">
      <c r="A3" s="1" t="s">
        <v>21</v>
      </c>
      <c r="B3" s="6" t="s">
        <v>27</v>
      </c>
      <c r="C3" s="24" t="s">
        <v>28</v>
      </c>
      <c r="D3" s="24" t="s">
        <v>27</v>
      </c>
      <c r="E3" s="24" t="s">
        <v>27</v>
      </c>
      <c r="F3" s="24" t="s">
        <v>27</v>
      </c>
      <c r="G3" s="24" t="s">
        <v>28</v>
      </c>
      <c r="H3" s="24" t="s">
        <v>29</v>
      </c>
      <c r="I3" s="24" t="s">
        <v>29</v>
      </c>
      <c r="J3" s="24" t="s">
        <v>29</v>
      </c>
      <c r="K3" s="24" t="s">
        <v>28</v>
      </c>
      <c r="L3" s="24" t="s">
        <v>27</v>
      </c>
      <c r="M3" s="24" t="s">
        <v>29</v>
      </c>
      <c r="N3" s="24" t="s">
        <v>27</v>
      </c>
      <c r="O3" s="24" t="s">
        <v>27</v>
      </c>
      <c r="P3" s="24" t="s">
        <v>28</v>
      </c>
      <c r="Q3" s="24" t="s">
        <v>27</v>
      </c>
      <c r="R3" s="24" t="s">
        <v>29</v>
      </c>
      <c r="S3" s="24" t="s">
        <v>27</v>
      </c>
      <c r="T3" s="24" t="s">
        <v>29</v>
      </c>
      <c r="U3" s="24" t="s">
        <v>27</v>
      </c>
      <c r="V3" s="7" t="s">
        <v>30</v>
      </c>
    </row>
    <row r="4" spans="1:22" ht="18" customHeight="1" x14ac:dyDescent="0.25">
      <c r="A4" s="1" t="s">
        <v>22</v>
      </c>
      <c r="B4" s="6" t="s">
        <v>27</v>
      </c>
      <c r="C4" s="24" t="s">
        <v>27</v>
      </c>
      <c r="D4" s="24" t="s">
        <v>27</v>
      </c>
      <c r="E4" s="24" t="s">
        <v>27</v>
      </c>
      <c r="F4" s="24" t="s">
        <v>27</v>
      </c>
      <c r="G4" s="24" t="s">
        <v>27</v>
      </c>
      <c r="H4" s="24" t="s">
        <v>27</v>
      </c>
      <c r="I4" s="24" t="s">
        <v>27</v>
      </c>
      <c r="J4" s="24" t="s">
        <v>27</v>
      </c>
      <c r="K4" s="24" t="s">
        <v>27</v>
      </c>
      <c r="L4" s="24" t="s">
        <v>27</v>
      </c>
      <c r="M4" s="24" t="s">
        <v>27</v>
      </c>
      <c r="N4" s="24" t="s">
        <v>27</v>
      </c>
      <c r="O4" s="24" t="s">
        <v>27</v>
      </c>
      <c r="P4" s="24" t="s">
        <v>27</v>
      </c>
      <c r="Q4" s="24" t="s">
        <v>27</v>
      </c>
      <c r="R4" s="24" t="s">
        <v>27</v>
      </c>
      <c r="S4" s="24" t="s">
        <v>27</v>
      </c>
      <c r="T4" s="24" t="s">
        <v>27</v>
      </c>
      <c r="U4" s="24" t="s">
        <v>29</v>
      </c>
      <c r="V4" s="7" t="s">
        <v>27</v>
      </c>
    </row>
    <row r="5" spans="1:22" ht="18" customHeight="1" x14ac:dyDescent="0.25">
      <c r="A5" s="1" t="s">
        <v>23</v>
      </c>
      <c r="B5" s="6" t="s">
        <v>27</v>
      </c>
      <c r="C5" s="24" t="s">
        <v>27</v>
      </c>
      <c r="D5" s="24" t="s">
        <v>27</v>
      </c>
      <c r="E5" s="24" t="s">
        <v>27</v>
      </c>
      <c r="F5" s="24" t="s">
        <v>27</v>
      </c>
      <c r="G5" s="24" t="s">
        <v>27</v>
      </c>
      <c r="H5" s="24" t="s">
        <v>27</v>
      </c>
      <c r="I5" s="24" t="s">
        <v>27</v>
      </c>
      <c r="J5" s="24" t="s">
        <v>27</v>
      </c>
      <c r="K5" s="24" t="s">
        <v>27</v>
      </c>
      <c r="L5" s="24" t="s">
        <v>27</v>
      </c>
      <c r="M5" s="24" t="s">
        <v>27</v>
      </c>
      <c r="N5" s="24" t="s">
        <v>27</v>
      </c>
      <c r="O5" s="24" t="s">
        <v>27</v>
      </c>
      <c r="P5" s="24" t="s">
        <v>27</v>
      </c>
      <c r="Q5" s="24" t="s">
        <v>27</v>
      </c>
      <c r="R5" s="24" t="s">
        <v>28</v>
      </c>
      <c r="S5" s="24" t="s">
        <v>27</v>
      </c>
      <c r="T5" s="24" t="s">
        <v>27</v>
      </c>
      <c r="U5" s="24" t="s">
        <v>29</v>
      </c>
      <c r="V5" s="7" t="s">
        <v>28</v>
      </c>
    </row>
    <row r="6" spans="1:22" ht="18" customHeight="1" x14ac:dyDescent="0.25">
      <c r="A6" s="1" t="s">
        <v>24</v>
      </c>
      <c r="B6" s="6" t="s">
        <v>27</v>
      </c>
      <c r="C6" s="24" t="s">
        <v>27</v>
      </c>
      <c r="D6" s="24" t="s">
        <v>27</v>
      </c>
      <c r="E6" s="24" t="s">
        <v>27</v>
      </c>
      <c r="F6" s="24" t="s">
        <v>27</v>
      </c>
      <c r="G6" s="24" t="s">
        <v>27</v>
      </c>
      <c r="H6" s="24" t="s">
        <v>27</v>
      </c>
      <c r="I6" s="24" t="s">
        <v>27</v>
      </c>
      <c r="J6" s="24" t="s">
        <v>27</v>
      </c>
      <c r="K6" s="24" t="s">
        <v>27</v>
      </c>
      <c r="L6" s="24" t="s">
        <v>27</v>
      </c>
      <c r="M6" s="24" t="s">
        <v>27</v>
      </c>
      <c r="N6" s="24" t="s">
        <v>27</v>
      </c>
      <c r="O6" s="24" t="s">
        <v>27</v>
      </c>
      <c r="P6" s="24" t="s">
        <v>27</v>
      </c>
      <c r="Q6" s="24" t="s">
        <v>27</v>
      </c>
      <c r="R6" s="24" t="s">
        <v>29</v>
      </c>
      <c r="S6" s="24" t="s">
        <v>28</v>
      </c>
      <c r="T6" s="24" t="s">
        <v>29</v>
      </c>
      <c r="U6" s="24" t="s">
        <v>29</v>
      </c>
      <c r="V6" s="7" t="s">
        <v>29</v>
      </c>
    </row>
    <row r="7" spans="1:22" ht="18" customHeight="1" x14ac:dyDescent="0.25">
      <c r="A7" s="1" t="s">
        <v>25</v>
      </c>
      <c r="B7" s="6" t="s">
        <v>27</v>
      </c>
      <c r="C7" s="24" t="s">
        <v>27</v>
      </c>
      <c r="D7" s="24" t="s">
        <v>27</v>
      </c>
      <c r="E7" s="24" t="s">
        <v>27</v>
      </c>
      <c r="F7" s="24" t="s">
        <v>27</v>
      </c>
      <c r="G7" s="24" t="s">
        <v>27</v>
      </c>
      <c r="H7" s="24" t="s">
        <v>28</v>
      </c>
      <c r="I7" s="24" t="s">
        <v>29</v>
      </c>
      <c r="J7" s="24" t="s">
        <v>29</v>
      </c>
      <c r="K7" s="24" t="s">
        <v>30</v>
      </c>
      <c r="L7" s="24" t="s">
        <v>30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4" t="s">
        <v>29</v>
      </c>
      <c r="V7" s="7" t="s">
        <v>29</v>
      </c>
    </row>
    <row r="8" spans="1:22" ht="18" customHeight="1" x14ac:dyDescent="0.35">
      <c r="A8" s="1" t="s">
        <v>33</v>
      </c>
      <c r="B8" s="6" t="s">
        <v>27</v>
      </c>
      <c r="C8" s="24" t="s">
        <v>27</v>
      </c>
      <c r="D8" s="24" t="s">
        <v>27</v>
      </c>
      <c r="E8" s="24" t="s">
        <v>27</v>
      </c>
      <c r="F8" s="24" t="s">
        <v>27</v>
      </c>
      <c r="G8" s="24" t="s">
        <v>28</v>
      </c>
      <c r="H8" s="24" t="s">
        <v>28</v>
      </c>
      <c r="I8" s="24" t="s">
        <v>28</v>
      </c>
      <c r="J8" s="24" t="s">
        <v>29</v>
      </c>
      <c r="K8" s="24" t="s">
        <v>31</v>
      </c>
      <c r="L8" s="24" t="s">
        <v>30</v>
      </c>
      <c r="M8" s="24" t="s">
        <v>28</v>
      </c>
      <c r="N8" s="24" t="s">
        <v>29</v>
      </c>
      <c r="O8" s="24" t="s">
        <v>29</v>
      </c>
      <c r="P8" s="24" t="s">
        <v>31</v>
      </c>
      <c r="Q8" s="24" t="s">
        <v>28</v>
      </c>
      <c r="R8" s="24" t="s">
        <v>29</v>
      </c>
      <c r="S8" s="24" t="s">
        <v>31</v>
      </c>
      <c r="T8" s="24" t="s">
        <v>31</v>
      </c>
      <c r="U8" s="24" t="s">
        <v>29</v>
      </c>
      <c r="V8" s="7" t="s">
        <v>29</v>
      </c>
    </row>
    <row r="9" spans="1:22" ht="18" customHeight="1" x14ac:dyDescent="0.35">
      <c r="A9" s="1" t="s">
        <v>35</v>
      </c>
      <c r="B9" s="6" t="s">
        <v>27</v>
      </c>
      <c r="C9" s="24" t="s">
        <v>27</v>
      </c>
      <c r="D9" s="24" t="s">
        <v>27</v>
      </c>
      <c r="E9" s="24" t="s">
        <v>27</v>
      </c>
      <c r="F9" s="24" t="s">
        <v>27</v>
      </c>
      <c r="G9" s="24" t="s">
        <v>29</v>
      </c>
      <c r="H9" s="24" t="s">
        <v>28</v>
      </c>
      <c r="I9" s="24" t="s">
        <v>27</v>
      </c>
      <c r="J9" s="24" t="s">
        <v>29</v>
      </c>
      <c r="K9" s="24" t="s">
        <v>27</v>
      </c>
      <c r="L9" s="24" t="s">
        <v>27</v>
      </c>
      <c r="M9" s="24" t="s">
        <v>27</v>
      </c>
      <c r="N9" s="24" t="s">
        <v>27</v>
      </c>
      <c r="O9" s="24" t="s">
        <v>27</v>
      </c>
      <c r="P9" s="24" t="s">
        <v>27</v>
      </c>
      <c r="Q9" s="24" t="s">
        <v>27</v>
      </c>
      <c r="R9" s="24" t="s">
        <v>29</v>
      </c>
      <c r="S9" s="24" t="s">
        <v>27</v>
      </c>
      <c r="T9" s="24" t="s">
        <v>27</v>
      </c>
      <c r="U9" s="24" t="s">
        <v>28</v>
      </c>
      <c r="V9" s="7" t="s">
        <v>30</v>
      </c>
    </row>
    <row r="10" spans="1:22" ht="18" customHeight="1" x14ac:dyDescent="0.35">
      <c r="A10" s="1" t="s">
        <v>37</v>
      </c>
      <c r="B10" s="6" t="s">
        <v>27</v>
      </c>
      <c r="C10" s="24" t="s">
        <v>27</v>
      </c>
      <c r="D10" s="24" t="s">
        <v>27</v>
      </c>
      <c r="E10" s="24" t="s">
        <v>27</v>
      </c>
      <c r="F10" s="24" t="s">
        <v>27</v>
      </c>
      <c r="G10" s="24" t="s">
        <v>27</v>
      </c>
      <c r="H10" s="24" t="s">
        <v>27</v>
      </c>
      <c r="I10" s="24" t="s">
        <v>27</v>
      </c>
      <c r="J10" s="24" t="s">
        <v>27</v>
      </c>
      <c r="K10" s="24" t="s">
        <v>27</v>
      </c>
      <c r="L10" s="24" t="s">
        <v>27</v>
      </c>
      <c r="M10" s="24" t="s">
        <v>27</v>
      </c>
      <c r="N10" s="24" t="s">
        <v>27</v>
      </c>
      <c r="O10" s="24" t="s">
        <v>27</v>
      </c>
      <c r="P10" s="24" t="s">
        <v>27</v>
      </c>
      <c r="Q10" s="24" t="s">
        <v>27</v>
      </c>
      <c r="R10" s="24" t="s">
        <v>27</v>
      </c>
      <c r="S10" s="24" t="s">
        <v>30</v>
      </c>
      <c r="T10" s="24" t="s">
        <v>27</v>
      </c>
      <c r="U10" s="24" t="s">
        <v>27</v>
      </c>
      <c r="V10" s="7" t="s">
        <v>27</v>
      </c>
    </row>
    <row r="11" spans="1:22" ht="18" customHeight="1" x14ac:dyDescent="0.35">
      <c r="A11" s="1" t="s">
        <v>38</v>
      </c>
      <c r="B11" s="6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31</v>
      </c>
      <c r="L11" s="24" t="s">
        <v>31</v>
      </c>
      <c r="M11" s="24" t="s">
        <v>31</v>
      </c>
      <c r="N11" s="24" t="s">
        <v>27</v>
      </c>
      <c r="O11" s="24" t="s">
        <v>28</v>
      </c>
      <c r="P11" s="24" t="s">
        <v>31</v>
      </c>
      <c r="Q11" s="24" t="s">
        <v>31</v>
      </c>
      <c r="R11" s="24" t="s">
        <v>31</v>
      </c>
      <c r="S11" s="24" t="s">
        <v>31</v>
      </c>
      <c r="T11" s="24" t="s">
        <v>31</v>
      </c>
      <c r="U11" s="24" t="s">
        <v>28</v>
      </c>
      <c r="V11" s="7" t="s">
        <v>31</v>
      </c>
    </row>
    <row r="12" spans="1:22" ht="18" customHeight="1" x14ac:dyDescent="0.35">
      <c r="A12" s="1" t="s">
        <v>39</v>
      </c>
      <c r="B12" s="6" t="s">
        <v>27</v>
      </c>
      <c r="C12" s="24" t="s">
        <v>28</v>
      </c>
      <c r="D12" s="24" t="s">
        <v>27</v>
      </c>
      <c r="E12" s="24" t="s">
        <v>27</v>
      </c>
      <c r="F12" s="24" t="s">
        <v>27</v>
      </c>
      <c r="G12" s="24" t="s">
        <v>29</v>
      </c>
      <c r="H12" s="24" t="s">
        <v>29</v>
      </c>
      <c r="I12" s="24" t="s">
        <v>29</v>
      </c>
      <c r="J12" s="24" t="s">
        <v>28</v>
      </c>
      <c r="K12" s="24" t="s">
        <v>29</v>
      </c>
      <c r="L12" s="24" t="s">
        <v>29</v>
      </c>
      <c r="M12" s="24" t="s">
        <v>29</v>
      </c>
      <c r="N12" s="24" t="s">
        <v>29</v>
      </c>
      <c r="O12" s="24" t="s">
        <v>29</v>
      </c>
      <c r="P12" s="24" t="s">
        <v>29</v>
      </c>
      <c r="Q12" s="24" t="s">
        <v>29</v>
      </c>
      <c r="R12" s="24" t="s">
        <v>29</v>
      </c>
      <c r="S12" s="24" t="s">
        <v>29</v>
      </c>
      <c r="T12" s="24" t="s">
        <v>29</v>
      </c>
      <c r="U12" s="24" t="s">
        <v>29</v>
      </c>
      <c r="V12" s="7" t="s">
        <v>29</v>
      </c>
    </row>
    <row r="13" spans="1:22" ht="18" customHeight="1" x14ac:dyDescent="0.35">
      <c r="A13" s="1" t="s">
        <v>40</v>
      </c>
      <c r="B13" s="6" t="s">
        <v>27</v>
      </c>
      <c r="C13" s="24" t="s">
        <v>27</v>
      </c>
      <c r="D13" s="24" t="s">
        <v>27</v>
      </c>
      <c r="E13" s="24" t="s">
        <v>27</v>
      </c>
      <c r="F13" s="24" t="s">
        <v>27</v>
      </c>
      <c r="G13" s="24" t="s">
        <v>29</v>
      </c>
      <c r="H13" s="24" t="s">
        <v>29</v>
      </c>
      <c r="I13" s="24" t="s">
        <v>29</v>
      </c>
      <c r="J13" s="24" t="s">
        <v>29</v>
      </c>
      <c r="K13" s="24" t="s">
        <v>31</v>
      </c>
      <c r="L13" s="24" t="s">
        <v>31</v>
      </c>
      <c r="M13" s="24" t="s">
        <v>29</v>
      </c>
      <c r="N13" s="24" t="s">
        <v>29</v>
      </c>
      <c r="O13" s="24" t="s">
        <v>29</v>
      </c>
      <c r="P13" s="24" t="s">
        <v>29</v>
      </c>
      <c r="Q13" s="24" t="s">
        <v>29</v>
      </c>
      <c r="R13" s="24" t="s">
        <v>29</v>
      </c>
      <c r="S13" s="24" t="s">
        <v>31</v>
      </c>
      <c r="T13" s="24" t="s">
        <v>29</v>
      </c>
      <c r="U13" s="24" t="s">
        <v>29</v>
      </c>
      <c r="V13" s="7" t="s">
        <v>31</v>
      </c>
    </row>
    <row r="14" spans="1:22" ht="18" customHeight="1" x14ac:dyDescent="0.35">
      <c r="A14" s="1" t="s">
        <v>41</v>
      </c>
      <c r="B14" s="6" t="s">
        <v>27</v>
      </c>
      <c r="C14" s="24" t="s">
        <v>27</v>
      </c>
      <c r="D14" s="24" t="s">
        <v>27</v>
      </c>
      <c r="E14" s="24" t="s">
        <v>27</v>
      </c>
      <c r="F14" s="24" t="s">
        <v>27</v>
      </c>
      <c r="G14" s="24" t="s">
        <v>27</v>
      </c>
      <c r="H14" s="24" t="s">
        <v>27</v>
      </c>
      <c r="I14" s="24" t="s">
        <v>27</v>
      </c>
      <c r="J14" s="24" t="s">
        <v>27</v>
      </c>
      <c r="K14" s="24" t="s">
        <v>27</v>
      </c>
      <c r="L14" s="24" t="s">
        <v>27</v>
      </c>
      <c r="M14" s="24" t="s">
        <v>27</v>
      </c>
      <c r="N14" s="24" t="s">
        <v>27</v>
      </c>
      <c r="O14" s="24" t="s">
        <v>27</v>
      </c>
      <c r="P14" s="24" t="s">
        <v>27</v>
      </c>
      <c r="Q14" s="24" t="s">
        <v>27</v>
      </c>
      <c r="R14" s="24" t="s">
        <v>27</v>
      </c>
      <c r="S14" s="24" t="s">
        <v>27</v>
      </c>
      <c r="T14" s="24" t="s">
        <v>27</v>
      </c>
      <c r="U14" s="24" t="s">
        <v>27</v>
      </c>
      <c r="V14" s="7" t="s">
        <v>27</v>
      </c>
    </row>
    <row r="15" spans="1:22" ht="18" customHeight="1" x14ac:dyDescent="0.35">
      <c r="A15" s="1" t="s">
        <v>42</v>
      </c>
      <c r="B15" s="6" t="s">
        <v>27</v>
      </c>
      <c r="C15" s="24" t="s">
        <v>27</v>
      </c>
      <c r="D15" s="24" t="s">
        <v>27</v>
      </c>
      <c r="E15" s="24" t="s">
        <v>27</v>
      </c>
      <c r="F15" s="24" t="s">
        <v>27</v>
      </c>
      <c r="G15" s="24" t="s">
        <v>27</v>
      </c>
      <c r="H15" s="24" t="s">
        <v>27</v>
      </c>
      <c r="I15" s="24" t="s">
        <v>27</v>
      </c>
      <c r="J15" s="24" t="s">
        <v>27</v>
      </c>
      <c r="K15" s="24" t="s">
        <v>27</v>
      </c>
      <c r="L15" s="24" t="s">
        <v>31</v>
      </c>
      <c r="M15" s="24" t="s">
        <v>31</v>
      </c>
      <c r="N15" s="24" t="s">
        <v>31</v>
      </c>
      <c r="O15" s="24" t="s">
        <v>31</v>
      </c>
      <c r="P15" s="24" t="s">
        <v>31</v>
      </c>
      <c r="Q15" s="24" t="s">
        <v>27</v>
      </c>
      <c r="R15" s="24" t="s">
        <v>31</v>
      </c>
      <c r="S15" s="24" t="s">
        <v>31</v>
      </c>
      <c r="T15" s="24" t="s">
        <v>31</v>
      </c>
      <c r="U15" s="24" t="s">
        <v>28</v>
      </c>
      <c r="V15" s="7" t="s">
        <v>31</v>
      </c>
    </row>
    <row r="16" spans="1:22" ht="18" customHeight="1" x14ac:dyDescent="0.35">
      <c r="A16" s="1" t="s">
        <v>43</v>
      </c>
      <c r="B16" s="6" t="s">
        <v>27</v>
      </c>
      <c r="C16" s="24" t="s">
        <v>27</v>
      </c>
      <c r="D16" s="24" t="s">
        <v>27</v>
      </c>
      <c r="E16" s="24" t="s">
        <v>27</v>
      </c>
      <c r="F16" s="24" t="s">
        <v>27</v>
      </c>
      <c r="G16" s="24" t="s">
        <v>29</v>
      </c>
      <c r="H16" s="24" t="s">
        <v>27</v>
      </c>
      <c r="I16" s="24" t="s">
        <v>27</v>
      </c>
      <c r="J16" s="24" t="s">
        <v>29</v>
      </c>
      <c r="K16" s="24" t="s">
        <v>31</v>
      </c>
      <c r="L16" s="24" t="s">
        <v>31</v>
      </c>
      <c r="M16" s="24" t="s">
        <v>29</v>
      </c>
      <c r="N16" s="24" t="s">
        <v>29</v>
      </c>
      <c r="O16" s="24" t="s">
        <v>29</v>
      </c>
      <c r="P16" s="24" t="s">
        <v>29</v>
      </c>
      <c r="Q16" s="24" t="s">
        <v>29</v>
      </c>
      <c r="R16" s="24" t="s">
        <v>29</v>
      </c>
      <c r="S16" s="24" t="s">
        <v>29</v>
      </c>
      <c r="T16" s="24" t="s">
        <v>29</v>
      </c>
      <c r="U16" s="24" t="s">
        <v>29</v>
      </c>
      <c r="V16" s="7" t="s">
        <v>29</v>
      </c>
    </row>
    <row r="17" spans="1:22" ht="18" customHeight="1" x14ac:dyDescent="0.35">
      <c r="A17" s="1" t="s">
        <v>44</v>
      </c>
      <c r="B17" s="6" t="s">
        <v>27</v>
      </c>
      <c r="C17" s="24" t="s">
        <v>27</v>
      </c>
      <c r="D17" s="24" t="s">
        <v>27</v>
      </c>
      <c r="E17" s="24" t="s">
        <v>27</v>
      </c>
      <c r="F17" s="24" t="s">
        <v>27</v>
      </c>
      <c r="G17" s="24" t="s">
        <v>27</v>
      </c>
      <c r="H17" s="24" t="s">
        <v>27</v>
      </c>
      <c r="I17" s="24" t="s">
        <v>27</v>
      </c>
      <c r="J17" s="24" t="s">
        <v>27</v>
      </c>
      <c r="K17" s="24" t="s">
        <v>27</v>
      </c>
      <c r="L17" s="24" t="s">
        <v>27</v>
      </c>
      <c r="M17" s="24" t="s">
        <v>31</v>
      </c>
      <c r="N17" s="24" t="s">
        <v>27</v>
      </c>
      <c r="O17" s="24" t="s">
        <v>27</v>
      </c>
      <c r="P17" s="24" t="s">
        <v>27</v>
      </c>
      <c r="Q17" s="24" t="s">
        <v>27</v>
      </c>
      <c r="R17" s="24" t="s">
        <v>27</v>
      </c>
      <c r="S17" s="24" t="s">
        <v>31</v>
      </c>
      <c r="T17" s="24" t="s">
        <v>27</v>
      </c>
      <c r="U17" s="24" t="s">
        <v>27</v>
      </c>
      <c r="V17" s="7" t="s">
        <v>27</v>
      </c>
    </row>
    <row r="18" spans="1:22" ht="18" customHeight="1" x14ac:dyDescent="0.35">
      <c r="A18" s="1" t="s">
        <v>45</v>
      </c>
      <c r="B18" s="8" t="s">
        <v>27</v>
      </c>
      <c r="C18" s="9" t="s">
        <v>27</v>
      </c>
      <c r="D18" s="9" t="s">
        <v>27</v>
      </c>
      <c r="E18" s="9" t="s">
        <v>27</v>
      </c>
      <c r="F18" s="9" t="s">
        <v>27</v>
      </c>
      <c r="G18" s="9" t="s">
        <v>27</v>
      </c>
      <c r="H18" s="9" t="s">
        <v>27</v>
      </c>
      <c r="I18" s="9" t="s">
        <v>27</v>
      </c>
      <c r="J18" s="9" t="s">
        <v>27</v>
      </c>
      <c r="K18" s="9" t="s">
        <v>27</v>
      </c>
      <c r="L18" s="9" t="s">
        <v>27</v>
      </c>
      <c r="M18" s="9" t="s">
        <v>27</v>
      </c>
      <c r="N18" s="9" t="s">
        <v>27</v>
      </c>
      <c r="O18" s="9" t="s">
        <v>27</v>
      </c>
      <c r="P18" s="9" t="s">
        <v>27</v>
      </c>
      <c r="Q18" s="9" t="s">
        <v>27</v>
      </c>
      <c r="R18" s="9" t="s">
        <v>27</v>
      </c>
      <c r="S18" s="9" t="s">
        <v>31</v>
      </c>
      <c r="T18" s="9" t="s">
        <v>27</v>
      </c>
      <c r="U18" s="9" t="s">
        <v>27</v>
      </c>
      <c r="V18" s="10" t="s">
        <v>27</v>
      </c>
    </row>
  </sheetData>
  <conditionalFormatting sqref="B2:V18">
    <cfRule type="cellIs" dxfId="24" priority="1" operator="equal">
      <formula>"-"</formula>
    </cfRule>
    <cfRule type="cellIs" dxfId="23" priority="2" operator="equal">
      <formula>"?"</formula>
    </cfRule>
    <cfRule type="cellIs" dxfId="22" priority="3" operator="equal">
      <formula>"Н"</formula>
    </cfRule>
    <cfRule type="cellIs" dxfId="21" priority="4" operator="equal">
      <formula>"М"</formula>
    </cfRule>
    <cfRule type="cellIs" dxfId="20" priority="5" operator="equal">
      <formula>"Р"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AE0B-4850-4BD5-8EB0-2B06260136E3}">
  <dimension ref="A1:Y18"/>
  <sheetViews>
    <sheetView workbookViewId="0">
      <selection activeCell="K3" sqref="K3"/>
    </sheetView>
  </sheetViews>
  <sheetFormatPr defaultColWidth="8.85546875" defaultRowHeight="15" x14ac:dyDescent="0.25"/>
  <cols>
    <col min="2" max="22" width="6.7109375" customWidth="1"/>
    <col min="23" max="25" width="4.42578125" bestFit="1" customWidth="1"/>
  </cols>
  <sheetData>
    <row r="1" spans="1:25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  <c r="W1" s="22"/>
    </row>
    <row r="2" spans="1:25" ht="18" customHeight="1" x14ac:dyDescent="0.25">
      <c r="A2" s="1" t="s">
        <v>20</v>
      </c>
      <c r="B2" s="13"/>
      <c r="C2" s="14">
        <v>12.8</v>
      </c>
      <c r="D2" s="14">
        <v>112</v>
      </c>
      <c r="E2" s="14">
        <v>119</v>
      </c>
      <c r="F2" s="14">
        <v>89.9</v>
      </c>
      <c r="G2" s="14">
        <v>3.89</v>
      </c>
      <c r="H2" s="14">
        <v>0.17299999999999999</v>
      </c>
      <c r="I2" s="14">
        <f>9.628*10^-4</f>
        <v>9.6280000000000009E-4</v>
      </c>
      <c r="J2" s="14">
        <v>0.7</v>
      </c>
      <c r="K2" s="14">
        <f>1.262*10^-7</f>
        <v>1.2620000000000001E-7</v>
      </c>
      <c r="L2" s="14">
        <f>2.262*10^-7</f>
        <v>2.262E-7</v>
      </c>
      <c r="M2" s="14">
        <f>5.255*10^-5</f>
        <v>5.2550000000000003E-5</v>
      </c>
      <c r="N2" s="14">
        <v>1.2999999999999999E-2</v>
      </c>
      <c r="O2" s="14">
        <f>3.221*10^-3</f>
        <v>3.2210000000000003E-3</v>
      </c>
      <c r="P2" s="14">
        <f>3.221*10^-4</f>
        <v>3.2210000000000002E-4</v>
      </c>
      <c r="Q2" s="14">
        <f>3.671*10^-4</f>
        <v>3.6709999999999998E-4</v>
      </c>
      <c r="R2" s="14">
        <f>1.615*10^-4</f>
        <v>1.615E-4</v>
      </c>
      <c r="S2" s="14">
        <f>1.615*10^-5</f>
        <v>1.6150000000000003E-5</v>
      </c>
      <c r="T2" s="14">
        <f>1.722*10^-6</f>
        <v>1.722E-6</v>
      </c>
      <c r="U2" s="14" t="s">
        <v>30</v>
      </c>
      <c r="V2" s="15" t="s">
        <v>30</v>
      </c>
      <c r="W2" s="17"/>
      <c r="X2" s="17"/>
      <c r="Y2" s="17"/>
    </row>
    <row r="3" spans="1:25" ht="18" customHeight="1" x14ac:dyDescent="0.25">
      <c r="A3" s="1" t="s">
        <v>21</v>
      </c>
      <c r="B3" s="16">
        <v>72.47</v>
      </c>
      <c r="C3" s="17">
        <v>0.127</v>
      </c>
      <c r="D3" s="17">
        <v>94.9</v>
      </c>
      <c r="E3" s="17">
        <v>4.0599999999999996</v>
      </c>
      <c r="F3" s="17">
        <v>80.8</v>
      </c>
      <c r="G3" s="17">
        <v>0.16</v>
      </c>
      <c r="H3" s="17">
        <v>1.6E-2</v>
      </c>
      <c r="I3" s="17">
        <v>7.3249999999999999E-3</v>
      </c>
      <c r="J3" s="17">
        <f>1.2*10^-4</f>
        <v>1.2E-4</v>
      </c>
      <c r="K3" s="17">
        <v>0.67</v>
      </c>
      <c r="L3" s="17">
        <v>4</v>
      </c>
      <c r="M3" s="17">
        <v>9.0999999999999998E-2</v>
      </c>
      <c r="N3" s="17">
        <v>2.56</v>
      </c>
      <c r="O3" s="17">
        <v>1.36</v>
      </c>
      <c r="P3" s="17">
        <v>0.96</v>
      </c>
      <c r="Q3" s="17">
        <v>1.6</v>
      </c>
      <c r="R3" s="17">
        <v>6.7100000000000007E-2</v>
      </c>
      <c r="S3" s="17">
        <v>30</v>
      </c>
      <c r="T3" s="17">
        <v>7.4999999999999997E-2</v>
      </c>
      <c r="U3" s="17">
        <v>172</v>
      </c>
      <c r="V3" s="18" t="s">
        <v>30</v>
      </c>
      <c r="W3" s="17"/>
      <c r="X3" s="17"/>
      <c r="Y3" s="17"/>
    </row>
    <row r="4" spans="1:25" ht="18" customHeight="1" x14ac:dyDescent="0.25">
      <c r="A4" s="1" t="s">
        <v>22</v>
      </c>
      <c r="B4" s="16">
        <v>70</v>
      </c>
      <c r="C4" s="17">
        <v>83.5</v>
      </c>
      <c r="D4" s="17">
        <v>34.200000000000003</v>
      </c>
      <c r="E4" s="17">
        <v>35.89</v>
      </c>
      <c r="F4" s="17">
        <v>37.200000000000003</v>
      </c>
      <c r="G4" s="17">
        <v>35.799999999999997</v>
      </c>
      <c r="H4" s="17">
        <v>74.5</v>
      </c>
      <c r="I4" s="17">
        <v>54.6</v>
      </c>
      <c r="J4" s="17">
        <v>52.9</v>
      </c>
      <c r="K4" s="17">
        <v>45.8</v>
      </c>
      <c r="L4" s="17">
        <v>58.5</v>
      </c>
      <c r="M4" s="17">
        <v>62.5</v>
      </c>
      <c r="N4" s="17">
        <v>66.8</v>
      </c>
      <c r="O4" s="17">
        <v>52.9</v>
      </c>
      <c r="P4" s="17">
        <v>73.900000000000006</v>
      </c>
      <c r="Q4" s="17">
        <v>395</v>
      </c>
      <c r="R4" s="17">
        <v>1.08</v>
      </c>
      <c r="S4" s="17">
        <v>83.9</v>
      </c>
      <c r="T4" s="17">
        <v>73</v>
      </c>
      <c r="U4" s="17">
        <f>1.923*10^-4</f>
        <v>1.9230000000000001E-4</v>
      </c>
      <c r="V4" s="18">
        <v>6.57</v>
      </c>
      <c r="W4" s="17"/>
      <c r="X4" s="17"/>
      <c r="Y4" s="17"/>
    </row>
    <row r="5" spans="1:25" ht="18" customHeight="1" x14ac:dyDescent="0.25">
      <c r="A5" s="1" t="s">
        <v>23</v>
      </c>
      <c r="B5" s="16">
        <v>193</v>
      </c>
      <c r="C5" s="17">
        <v>160</v>
      </c>
      <c r="D5" s="17">
        <v>65.3</v>
      </c>
      <c r="E5" s="17">
        <v>90.8</v>
      </c>
      <c r="F5" s="17">
        <v>76.400000000000006</v>
      </c>
      <c r="G5" s="17">
        <v>104</v>
      </c>
      <c r="H5" s="17">
        <v>143</v>
      </c>
      <c r="I5" s="17">
        <v>101</v>
      </c>
      <c r="J5" s="17">
        <v>102</v>
      </c>
      <c r="K5" s="17">
        <v>105</v>
      </c>
      <c r="L5" s="17">
        <v>111</v>
      </c>
      <c r="M5" s="17">
        <v>117</v>
      </c>
      <c r="N5" s="17">
        <v>131</v>
      </c>
      <c r="O5" s="17">
        <v>112</v>
      </c>
      <c r="P5" s="17">
        <v>147</v>
      </c>
      <c r="Q5" s="17">
        <v>446</v>
      </c>
      <c r="R5" s="17">
        <v>0.97299999999999998</v>
      </c>
      <c r="S5" s="17">
        <v>85</v>
      </c>
      <c r="T5" s="17">
        <v>126</v>
      </c>
      <c r="U5" s="17">
        <f>1.328*10^-5</f>
        <v>1.3280000000000002E-5</v>
      </c>
      <c r="V5" s="18">
        <v>0.56000000000000005</v>
      </c>
      <c r="W5" s="17"/>
      <c r="X5" s="17"/>
      <c r="Y5" s="17"/>
    </row>
    <row r="6" spans="1:25" ht="18" customHeight="1" x14ac:dyDescent="0.25">
      <c r="A6" s="1" t="s">
        <v>24</v>
      </c>
      <c r="B6" s="16">
        <v>245</v>
      </c>
      <c r="C6" s="17">
        <v>165</v>
      </c>
      <c r="D6" s="17">
        <v>144</v>
      </c>
      <c r="E6" s="17">
        <v>178</v>
      </c>
      <c r="F6" s="17">
        <v>172</v>
      </c>
      <c r="G6" s="17">
        <v>223</v>
      </c>
      <c r="H6" s="17">
        <v>66</v>
      </c>
      <c r="I6" s="17">
        <v>140</v>
      </c>
      <c r="J6" s="17">
        <v>178</v>
      </c>
      <c r="K6" s="17">
        <v>181</v>
      </c>
      <c r="L6" s="17">
        <v>188</v>
      </c>
      <c r="M6" s="17">
        <v>163</v>
      </c>
      <c r="N6" s="17">
        <v>148</v>
      </c>
      <c r="O6" s="17">
        <v>203</v>
      </c>
      <c r="P6" s="17">
        <v>501</v>
      </c>
      <c r="Q6" s="17">
        <v>432</v>
      </c>
      <c r="R6" s="17">
        <v>7.5999999999999998E-2</v>
      </c>
      <c r="S6" s="17">
        <v>0.99</v>
      </c>
      <c r="T6" s="17">
        <v>4.1999999999999997E-3</v>
      </c>
      <c r="U6" s="17">
        <v>0.03</v>
      </c>
      <c r="V6" s="18">
        <v>6.0000000000000001E-3</v>
      </c>
      <c r="W6" s="17"/>
      <c r="X6" s="17"/>
      <c r="Y6" s="17"/>
    </row>
    <row r="7" spans="1:25" ht="18" customHeight="1" x14ac:dyDescent="0.25">
      <c r="A7" s="1" t="s">
        <v>25</v>
      </c>
      <c r="B7" s="16">
        <v>3.3</v>
      </c>
      <c r="C7" s="17">
        <v>24</v>
      </c>
      <c r="D7" s="17">
        <v>50</v>
      </c>
      <c r="E7" s="17">
        <v>12.4</v>
      </c>
      <c r="F7" s="17">
        <v>128.1</v>
      </c>
      <c r="G7" s="17">
        <v>7.86</v>
      </c>
      <c r="H7" s="17">
        <v>0.19900000000000001</v>
      </c>
      <c r="I7" s="17">
        <f>5.365*10^-4</f>
        <v>5.3650000000000008E-4</v>
      </c>
      <c r="J7" s="17">
        <f>1.143*10^-4</f>
        <v>1.1430000000000001E-4</v>
      </c>
      <c r="K7" s="17" t="s">
        <v>30</v>
      </c>
      <c r="L7" s="17" t="s">
        <v>30</v>
      </c>
      <c r="M7" s="17">
        <f>2.255*10^-5</f>
        <v>2.2549999999999999E-5</v>
      </c>
      <c r="N7" s="17">
        <f>4.463*10^-3</f>
        <v>4.463E-3</v>
      </c>
      <c r="O7" s="17">
        <f>1.221*10^-3</f>
        <v>1.2210000000000001E-3</v>
      </c>
      <c r="P7" s="17">
        <v>4.7000000000000002E-3</v>
      </c>
      <c r="Q7" s="17">
        <v>1E-4</v>
      </c>
      <c r="R7" s="17">
        <f>2.6*10^-8</f>
        <v>2.6000000000000001E-8</v>
      </c>
      <c r="S7" s="17">
        <f>4.615*10^-5</f>
        <v>4.6150000000000004E-5</v>
      </c>
      <c r="T7" s="17">
        <f>3.722*10^-6</f>
        <v>3.7219999999999997E-6</v>
      </c>
      <c r="U7" s="17">
        <f>6.21*10^-6</f>
        <v>6.2099999999999998E-6</v>
      </c>
      <c r="V7" s="18">
        <f>1.262*10^-6</f>
        <v>1.2619999999999999E-6</v>
      </c>
      <c r="W7" s="17"/>
      <c r="X7" s="17"/>
      <c r="Y7" s="17"/>
    </row>
    <row r="8" spans="1:25" ht="18" customHeight="1" x14ac:dyDescent="0.35">
      <c r="A8" s="1" t="s">
        <v>33</v>
      </c>
      <c r="B8" s="16">
        <f>B7*B7</f>
        <v>10.889999999999999</v>
      </c>
      <c r="C8" s="17">
        <f>(C9+C7)/2</f>
        <v>29.45</v>
      </c>
      <c r="D8" s="17">
        <v>105.6</v>
      </c>
      <c r="E8" s="17">
        <v>27</v>
      </c>
      <c r="F8" s="17">
        <v>60.8</v>
      </c>
      <c r="G8" s="17">
        <v>0.11</v>
      </c>
      <c r="H8" s="17">
        <v>0.43</v>
      </c>
      <c r="I8" s="17">
        <v>0.52</v>
      </c>
      <c r="J8" s="17">
        <v>1.35E-2</v>
      </c>
      <c r="K8" s="17" t="s">
        <v>31</v>
      </c>
      <c r="L8" s="17" t="s">
        <v>30</v>
      </c>
      <c r="M8" s="17">
        <v>0.25</v>
      </c>
      <c r="N8" s="17">
        <f>7.346*10^-4</f>
        <v>7.3460000000000007E-4</v>
      </c>
      <c r="O8" s="17">
        <f>4.139*10^-3</f>
        <v>4.1390000000000003E-3</v>
      </c>
      <c r="P8" s="17" t="s">
        <v>31</v>
      </c>
      <c r="Q8" s="17">
        <v>0.14299999999999999</v>
      </c>
      <c r="R8" s="17">
        <f>3.651*10^-4</f>
        <v>3.6509999999999998E-4</v>
      </c>
      <c r="S8" s="17" t="s">
        <v>31</v>
      </c>
      <c r="T8" s="17" t="s">
        <v>31</v>
      </c>
      <c r="U8" s="17">
        <f>3.582*10^-7</f>
        <v>3.5819999999999996E-7</v>
      </c>
      <c r="V8" s="18">
        <f>7.262*10^-5</f>
        <v>7.2620000000000006E-5</v>
      </c>
      <c r="W8" s="17"/>
      <c r="X8" s="17"/>
      <c r="Y8" s="17"/>
    </row>
    <row r="9" spans="1:25" ht="18" customHeight="1" x14ac:dyDescent="0.35">
      <c r="A9" s="1" t="s">
        <v>35</v>
      </c>
      <c r="B9" s="16">
        <f>B7*B8</f>
        <v>35.936999999999998</v>
      </c>
      <c r="C9" s="17">
        <v>34.9</v>
      </c>
      <c r="D9" s="17">
        <v>120</v>
      </c>
      <c r="E9" s="17">
        <v>49.7</v>
      </c>
      <c r="F9" s="17">
        <v>75.400000000000006</v>
      </c>
      <c r="G9" s="17">
        <f>2.448*10^-4</f>
        <v>2.4479999999999999E-4</v>
      </c>
      <c r="H9" s="17">
        <v>0.255</v>
      </c>
      <c r="I9" s="17">
        <v>35.1</v>
      </c>
      <c r="J9" s="17">
        <v>1.32E-2</v>
      </c>
      <c r="K9" s="17">
        <v>36.4</v>
      </c>
      <c r="L9" s="17">
        <v>21</v>
      </c>
      <c r="M9" s="17">
        <v>25.6</v>
      </c>
      <c r="N9" s="17">
        <v>65</v>
      </c>
      <c r="O9" s="17">
        <v>36.200000000000003</v>
      </c>
      <c r="P9" s="17">
        <v>56</v>
      </c>
      <c r="Q9" s="17">
        <v>57.7</v>
      </c>
      <c r="R9" s="17">
        <v>4.0399999999999998E-2</v>
      </c>
      <c r="S9" s="17">
        <v>33</v>
      </c>
      <c r="T9" s="17">
        <v>31.6</v>
      </c>
      <c r="U9" s="17">
        <v>0.83</v>
      </c>
      <c r="V9" s="18" t="s">
        <v>30</v>
      </c>
      <c r="W9" s="17"/>
      <c r="X9" s="17"/>
      <c r="Y9" s="17"/>
    </row>
    <row r="10" spans="1:25" ht="18" customHeight="1" x14ac:dyDescent="0.35">
      <c r="A10" s="1" t="s">
        <v>37</v>
      </c>
      <c r="B10" s="16">
        <v>125</v>
      </c>
      <c r="C10" s="17">
        <v>52.2</v>
      </c>
      <c r="D10" s="17">
        <v>31.6</v>
      </c>
      <c r="E10" s="17">
        <v>87.6</v>
      </c>
      <c r="F10" s="17">
        <v>192</v>
      </c>
      <c r="G10" s="17">
        <v>9.02</v>
      </c>
      <c r="H10" s="17">
        <v>121.2</v>
      </c>
      <c r="I10" s="17">
        <v>69.5</v>
      </c>
      <c r="J10" s="17">
        <v>70.8</v>
      </c>
      <c r="K10" s="17">
        <v>73.900000000000006</v>
      </c>
      <c r="L10" s="17">
        <v>130</v>
      </c>
      <c r="M10" s="17">
        <v>136</v>
      </c>
      <c r="N10" s="17">
        <v>94.2</v>
      </c>
      <c r="O10" s="17">
        <v>97.4</v>
      </c>
      <c r="P10" s="17">
        <v>139</v>
      </c>
      <c r="Q10" s="17">
        <v>129</v>
      </c>
      <c r="R10" s="17">
        <v>54.3</v>
      </c>
      <c r="S10" s="17" t="s">
        <v>30</v>
      </c>
      <c r="T10" s="17">
        <v>125</v>
      </c>
      <c r="U10" s="17">
        <v>118</v>
      </c>
      <c r="V10" s="18">
        <v>1.0249999999999999</v>
      </c>
      <c r="W10" s="17"/>
      <c r="X10" s="17"/>
      <c r="Y10" s="17"/>
    </row>
    <row r="11" spans="1:25" ht="18" customHeight="1" x14ac:dyDescent="0.35">
      <c r="A11" s="1" t="s">
        <v>38</v>
      </c>
      <c r="B11" s="16">
        <v>84</v>
      </c>
      <c r="C11" s="17">
        <v>96.8</v>
      </c>
      <c r="D11" s="17">
        <v>306</v>
      </c>
      <c r="E11" s="17">
        <v>80.8</v>
      </c>
      <c r="F11" s="17">
        <v>118.3</v>
      </c>
      <c r="G11" s="17">
        <v>72.2</v>
      </c>
      <c r="H11" s="17">
        <v>84.5</v>
      </c>
      <c r="I11" s="17">
        <v>71</v>
      </c>
      <c r="J11" s="17">
        <v>42</v>
      </c>
      <c r="K11" s="17" t="s">
        <v>31</v>
      </c>
      <c r="L11" s="17" t="s">
        <v>31</v>
      </c>
      <c r="M11" s="17" t="s">
        <v>31</v>
      </c>
      <c r="N11" s="17">
        <v>2.6</v>
      </c>
      <c r="O11" s="17">
        <v>0.4</v>
      </c>
      <c r="P11" s="17" t="s">
        <v>31</v>
      </c>
      <c r="Q11" s="17" t="s">
        <v>31</v>
      </c>
      <c r="R11" s="17" t="s">
        <v>31</v>
      </c>
      <c r="S11" s="17" t="s">
        <v>31</v>
      </c>
      <c r="T11" s="17" t="s">
        <v>31</v>
      </c>
      <c r="U11" s="17">
        <v>0.38</v>
      </c>
      <c r="V11" s="18" t="s">
        <v>31</v>
      </c>
      <c r="W11" s="17"/>
      <c r="X11" s="17"/>
      <c r="Y11" s="17"/>
    </row>
    <row r="12" spans="1:25" ht="18" customHeight="1" x14ac:dyDescent="0.35">
      <c r="A12" s="1" t="s">
        <v>39</v>
      </c>
      <c r="B12" s="16">
        <v>10.4</v>
      </c>
      <c r="C12" s="17">
        <v>0.39</v>
      </c>
      <c r="D12" s="17">
        <v>92.3</v>
      </c>
      <c r="E12" s="17">
        <v>12.1</v>
      </c>
      <c r="F12" s="17">
        <v>20.3</v>
      </c>
      <c r="G12" s="17">
        <f>2.33*10^-4</f>
        <v>2.3300000000000003E-4</v>
      </c>
      <c r="H12" s="17">
        <v>2E-3</v>
      </c>
      <c r="I12" s="17">
        <f>2.588*10^-4</f>
        <v>2.588E-4</v>
      </c>
      <c r="J12" s="17">
        <v>0.26</v>
      </c>
      <c r="K12" s="17">
        <f>7.262*10^-8</f>
        <v>7.2619999999999998E-8</v>
      </c>
      <c r="L12" s="17">
        <f>4.262*10^-7</f>
        <v>4.2619999999999994E-7</v>
      </c>
      <c r="M12" s="17">
        <f>7.255*10^-5</f>
        <v>7.2550000000000002E-5</v>
      </c>
      <c r="N12" s="17">
        <f>9.376*10^-4</f>
        <v>9.3760000000000002E-4</v>
      </c>
      <c r="O12" s="17">
        <f>7.874*10^-4</f>
        <v>7.8740000000000006E-4</v>
      </c>
      <c r="P12" s="17">
        <f>6.221*10^-4</f>
        <v>6.221E-4</v>
      </c>
      <c r="Q12" s="17">
        <f>2.171*10^-4</f>
        <v>2.1709999999999999E-4</v>
      </c>
      <c r="R12" s="17">
        <f>4.21*10^-4</f>
        <v>4.2100000000000004E-4</v>
      </c>
      <c r="S12" s="17">
        <f>1.124*10^-5</f>
        <v>1.1240000000000002E-5</v>
      </c>
      <c r="T12" s="17">
        <f>6.722*10^-6</f>
        <v>6.7220000000000002E-6</v>
      </c>
      <c r="U12" s="17">
        <f>2.21*10^-6</f>
        <v>2.21E-6</v>
      </c>
      <c r="V12" s="18">
        <f>1.262*10^-6</f>
        <v>1.2619999999999999E-6</v>
      </c>
      <c r="W12" s="17"/>
      <c r="X12" s="17"/>
      <c r="Y12" s="17"/>
    </row>
    <row r="13" spans="1:25" ht="18" customHeight="1" x14ac:dyDescent="0.35">
      <c r="A13" s="1" t="s">
        <v>40</v>
      </c>
      <c r="B13" s="16">
        <v>6.9</v>
      </c>
      <c r="C13" s="17">
        <v>1.33</v>
      </c>
      <c r="D13" s="17">
        <v>111</v>
      </c>
      <c r="E13" s="17">
        <v>21.5</v>
      </c>
      <c r="F13" s="17">
        <v>100</v>
      </c>
      <c r="G13" s="17">
        <f>2.4*10^-3</f>
        <v>2.3999999999999998E-3</v>
      </c>
      <c r="H13" s="17">
        <v>6.9999999999999999E-4</v>
      </c>
      <c r="I13" s="17">
        <v>3.9E-2</v>
      </c>
      <c r="J13" s="17">
        <v>1.1000000000000001E-3</v>
      </c>
      <c r="K13" s="17" t="s">
        <v>31</v>
      </c>
      <c r="L13" s="17" t="s">
        <v>31</v>
      </c>
      <c r="M13" s="17">
        <f>6.554*10^-5</f>
        <v>6.5540000000000013E-5</v>
      </c>
      <c r="N13" s="17">
        <f>9.643*10^-4</f>
        <v>9.6430000000000007E-4</v>
      </c>
      <c r="O13" s="17">
        <v>1.0000000000000001E-5</v>
      </c>
      <c r="P13" s="17">
        <f>4.877*10^-5</f>
        <v>4.8770000000000002E-5</v>
      </c>
      <c r="Q13" s="17">
        <f>4.692*10^-5</f>
        <v>4.6920000000000005E-5</v>
      </c>
      <c r="R13" s="17">
        <f>7.269*10^-5</f>
        <v>7.269000000000001E-5</v>
      </c>
      <c r="S13" s="17" t="s">
        <v>31</v>
      </c>
      <c r="T13" s="17">
        <f>1.462*10^-4</f>
        <v>1.462E-4</v>
      </c>
      <c r="U13" s="17">
        <v>3.4889999999999999E-3</v>
      </c>
      <c r="V13" s="18" t="s">
        <v>31</v>
      </c>
      <c r="W13" s="17"/>
      <c r="X13" s="17"/>
      <c r="Y13" s="17"/>
    </row>
    <row r="14" spans="1:25" ht="18" customHeight="1" x14ac:dyDescent="0.35">
      <c r="A14" s="1" t="s">
        <v>41</v>
      </c>
      <c r="B14" s="16">
        <v>159</v>
      </c>
      <c r="C14" s="17">
        <v>40.799999999999997</v>
      </c>
      <c r="D14" s="17">
        <v>256</v>
      </c>
      <c r="E14" s="17">
        <v>46.4</v>
      </c>
      <c r="F14" s="17">
        <v>143</v>
      </c>
      <c r="G14" s="17">
        <v>72</v>
      </c>
      <c r="H14" s="17">
        <v>34.700000000000003</v>
      </c>
      <c r="I14" s="17">
        <v>53.4</v>
      </c>
      <c r="J14" s="17">
        <v>40.19</v>
      </c>
      <c r="K14" s="17">
        <v>75</v>
      </c>
      <c r="L14" s="17">
        <v>67.5</v>
      </c>
      <c r="M14" s="17">
        <v>87</v>
      </c>
      <c r="N14" s="17">
        <v>17</v>
      </c>
      <c r="O14" s="17">
        <v>47</v>
      </c>
      <c r="P14" s="17">
        <v>70</v>
      </c>
      <c r="Q14" s="17">
        <v>43</v>
      </c>
      <c r="R14" s="17">
        <v>44.31</v>
      </c>
      <c r="S14" s="17">
        <v>12.6</v>
      </c>
      <c r="T14" s="17">
        <v>7.2</v>
      </c>
      <c r="U14" s="17">
        <v>1.02</v>
      </c>
      <c r="V14" s="18">
        <v>25</v>
      </c>
      <c r="W14" s="17"/>
      <c r="X14" s="17"/>
      <c r="Y14" s="17"/>
    </row>
    <row r="15" spans="1:25" ht="18" customHeight="1" x14ac:dyDescent="0.35">
      <c r="A15" s="1" t="s">
        <v>42</v>
      </c>
      <c r="B15" s="16">
        <v>64</v>
      </c>
      <c r="C15" s="17">
        <v>71.400000000000006</v>
      </c>
      <c r="D15" s="17">
        <v>6.34</v>
      </c>
      <c r="E15" s="17">
        <v>90</v>
      </c>
      <c r="F15" s="17">
        <v>8</v>
      </c>
      <c r="G15" s="17">
        <v>64</v>
      </c>
      <c r="H15" s="17">
        <v>338</v>
      </c>
      <c r="I15" s="17">
        <v>5</v>
      </c>
      <c r="J15" s="17">
        <v>15.6</v>
      </c>
      <c r="K15" s="17">
        <v>12.9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>
        <v>33.299999999999997</v>
      </c>
      <c r="R15" s="17" t="s">
        <v>31</v>
      </c>
      <c r="S15" s="17" t="s">
        <v>31</v>
      </c>
      <c r="T15" s="17" t="s">
        <v>31</v>
      </c>
      <c r="U15" s="17">
        <v>0.9</v>
      </c>
      <c r="V15" s="18" t="s">
        <v>31</v>
      </c>
      <c r="W15" s="17"/>
      <c r="X15" s="17"/>
      <c r="Y15" s="17"/>
    </row>
    <row r="16" spans="1:25" ht="18" customHeight="1" x14ac:dyDescent="0.35">
      <c r="A16" s="1" t="s">
        <v>43</v>
      </c>
      <c r="B16" s="16">
        <v>66</v>
      </c>
      <c r="C16" s="17">
        <v>111</v>
      </c>
      <c r="D16" s="17">
        <v>62.9</v>
      </c>
      <c r="E16" s="17">
        <v>84.5</v>
      </c>
      <c r="F16" s="17">
        <v>34</v>
      </c>
      <c r="G16" s="17">
        <f>2.775*10^-4</f>
        <v>2.7750000000000002E-4</v>
      </c>
      <c r="H16" s="17">
        <v>2.25</v>
      </c>
      <c r="I16" s="17">
        <v>137</v>
      </c>
      <c r="J16" s="17">
        <v>8.5000000000000006E-2</v>
      </c>
      <c r="K16" s="17" t="s">
        <v>31</v>
      </c>
      <c r="L16" s="17" t="s">
        <v>31</v>
      </c>
      <c r="M16" s="17">
        <v>1E-4</v>
      </c>
      <c r="N16" s="17">
        <f>1.643*10^-4</f>
        <v>1.6430000000000001E-4</v>
      </c>
      <c r="O16" s="17">
        <v>4.4999999999999999E-4</v>
      </c>
      <c r="P16" s="17">
        <f>2.147*10^-5</f>
        <v>2.1469999999999999E-5</v>
      </c>
      <c r="Q16" s="17">
        <f>2.432*10^-5</f>
        <v>2.4320000000000001E-5</v>
      </c>
      <c r="R16" s="17">
        <f>1.71*10^-5</f>
        <v>1.7100000000000002E-5</v>
      </c>
      <c r="S16" s="17">
        <f>3.346*10^-5</f>
        <v>3.3460000000000002E-5</v>
      </c>
      <c r="T16" s="17">
        <v>3.4070000000000003E-2</v>
      </c>
      <c r="U16" s="17">
        <v>2.1570000000000001E-3</v>
      </c>
      <c r="V16" s="18">
        <v>2.313E-3</v>
      </c>
      <c r="W16" s="17"/>
      <c r="X16" s="17"/>
      <c r="Y16" s="17"/>
    </row>
    <row r="17" spans="1:25" ht="18" customHeight="1" x14ac:dyDescent="0.35">
      <c r="A17" s="1" t="s">
        <v>44</v>
      </c>
      <c r="B17" s="16">
        <v>40</v>
      </c>
      <c r="C17" s="17">
        <v>372</v>
      </c>
      <c r="D17" s="17">
        <v>7.3</v>
      </c>
      <c r="E17" s="17">
        <v>95.9</v>
      </c>
      <c r="F17" s="17">
        <v>28.7</v>
      </c>
      <c r="G17" s="17">
        <v>33.9</v>
      </c>
      <c r="H17" s="17">
        <v>209</v>
      </c>
      <c r="I17" s="17">
        <v>135</v>
      </c>
      <c r="J17" s="17">
        <v>175</v>
      </c>
      <c r="K17" s="17">
        <v>188</v>
      </c>
      <c r="L17" s="17">
        <v>196</v>
      </c>
      <c r="M17" s="17" t="s">
        <v>31</v>
      </c>
      <c r="N17" s="17">
        <v>133</v>
      </c>
      <c r="O17" s="17">
        <v>180</v>
      </c>
      <c r="P17" s="17">
        <v>190</v>
      </c>
      <c r="Q17" s="17">
        <v>200</v>
      </c>
      <c r="R17" s="17">
        <v>144</v>
      </c>
      <c r="S17" s="17" t="s">
        <v>31</v>
      </c>
      <c r="T17" s="17">
        <v>242</v>
      </c>
      <c r="U17" s="17">
        <v>15.3</v>
      </c>
      <c r="V17" s="18">
        <v>25</v>
      </c>
      <c r="W17" s="17"/>
      <c r="X17" s="17"/>
      <c r="Y17" s="17"/>
    </row>
    <row r="18" spans="1:25" ht="18" customHeight="1" x14ac:dyDescent="0.35">
      <c r="A18" s="1" t="s">
        <v>45</v>
      </c>
      <c r="B18" s="19">
        <v>20.2</v>
      </c>
      <c r="C18" s="20">
        <v>56.1</v>
      </c>
      <c r="D18" s="20">
        <v>1.68</v>
      </c>
      <c r="E18" s="20">
        <v>201</v>
      </c>
      <c r="F18" s="20">
        <v>20.85</v>
      </c>
      <c r="G18" s="20">
        <v>336</v>
      </c>
      <c r="H18" s="20">
        <v>188</v>
      </c>
      <c r="I18" s="20">
        <v>49.6</v>
      </c>
      <c r="J18" s="20">
        <v>291.7</v>
      </c>
      <c r="K18" s="20">
        <v>133</v>
      </c>
      <c r="L18" s="20">
        <v>130</v>
      </c>
      <c r="M18" s="20">
        <v>368</v>
      </c>
      <c r="N18" s="20">
        <v>110</v>
      </c>
      <c r="O18" s="20">
        <v>104</v>
      </c>
      <c r="P18" s="20">
        <v>159</v>
      </c>
      <c r="Q18" s="20">
        <v>178</v>
      </c>
      <c r="R18" s="20">
        <v>440</v>
      </c>
      <c r="S18" s="20" t="s">
        <v>31</v>
      </c>
      <c r="T18" s="20">
        <v>146</v>
      </c>
      <c r="U18" s="20">
        <v>525</v>
      </c>
      <c r="V18" s="21">
        <v>407</v>
      </c>
      <c r="W18" s="17"/>
      <c r="X18" s="17"/>
      <c r="Y18" s="17"/>
    </row>
  </sheetData>
  <conditionalFormatting sqref="B2:V18">
    <cfRule type="cellIs" dxfId="19" priority="1" operator="equal">
      <formula>"?"</formula>
    </cfRule>
    <cfRule type="cellIs" dxfId="18" priority="2" operator="equal">
      <formula>"-"</formula>
    </cfRule>
  </conditionalFormatting>
  <conditionalFormatting sqref="C2:Q2 R2:V18 B3:Q18">
    <cfRule type="cellIs" dxfId="17" priority="3" operator="lessThan">
      <formula>0.1</formula>
    </cfRule>
    <cfRule type="cellIs" dxfId="16" priority="4" operator="between">
      <formula>0.1</formula>
      <formula>1</formula>
    </cfRule>
    <cfRule type="cellIs" dxfId="15" priority="5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1B2A-EF0A-BD4E-82BD-57AB096AD532}">
  <dimension ref="A1:Y22"/>
  <sheetViews>
    <sheetView tabSelected="1" workbookViewId="0">
      <selection activeCell="E27" sqref="E27"/>
    </sheetView>
  </sheetViews>
  <sheetFormatPr defaultColWidth="8.85546875" defaultRowHeight="15" x14ac:dyDescent="0.25"/>
  <cols>
    <col min="2" max="22" width="6.7109375" customWidth="1"/>
    <col min="23" max="25" width="4.42578125" bestFit="1" customWidth="1"/>
  </cols>
  <sheetData>
    <row r="1" spans="1:25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  <c r="W1" s="22"/>
    </row>
    <row r="2" spans="1:25" ht="18" customHeight="1" x14ac:dyDescent="0.25">
      <c r="A2" s="1" t="s">
        <v>20</v>
      </c>
      <c r="B2" s="13"/>
      <c r="C2" s="14">
        <f>LN(Values!C2)</f>
        <v>2.5494451709255714</v>
      </c>
      <c r="D2" s="14">
        <f>LN(Values!D2)</f>
        <v>4.7184988712950942</v>
      </c>
      <c r="E2" s="14">
        <f>LN(Values!E2)</f>
        <v>4.7791234931115296</v>
      </c>
      <c r="F2" s="14">
        <f>LN(Values!F2)</f>
        <v>4.498697941477575</v>
      </c>
      <c r="G2" s="14">
        <f>LN(Values!G2)</f>
        <v>1.358409157630355</v>
      </c>
      <c r="H2" s="14">
        <f>LN(Values!H2)</f>
        <v>-1.7544636844843582</v>
      </c>
      <c r="I2" s="14">
        <f>LN(Values!I2)</f>
        <v>-6.9456648520553568</v>
      </c>
      <c r="J2" s="14">
        <f>LN(Values!J2)</f>
        <v>-0.35667494393873245</v>
      </c>
      <c r="K2" s="14">
        <f>LN(Values!K2)</f>
        <v>-15.885397886839298</v>
      </c>
      <c r="L2" s="14">
        <f>LN(Values!L2)</f>
        <v>-15.301846273264392</v>
      </c>
      <c r="M2" s="14">
        <f>LN(Values!M2)</f>
        <v>-9.8537454606413135</v>
      </c>
      <c r="N2" s="14">
        <f>LN(Values!N2)</f>
        <v>-4.3428059215206005</v>
      </c>
      <c r="O2" s="14">
        <f>LN(Values!O2)</f>
        <v>-5.7380634086330753</v>
      </c>
      <c r="P2" s="14">
        <f>LN(Values!P2)</f>
        <v>-8.0406485016271212</v>
      </c>
      <c r="Q2" s="14">
        <f>LN(Values!Q2)</f>
        <v>-7.9098762674614855</v>
      </c>
      <c r="R2" s="14">
        <f>LN(Values!R2)</f>
        <v>-8.7310054153015635</v>
      </c>
      <c r="S2" s="14">
        <f>LN(Values!S2)</f>
        <v>-11.033590508295609</v>
      </c>
      <c r="T2" s="14">
        <f>LN(Values!T2)</f>
        <v>-13.272024151958735</v>
      </c>
      <c r="U2" s="14" t="s">
        <v>52</v>
      </c>
      <c r="V2" s="15" t="s">
        <v>52</v>
      </c>
      <c r="W2" s="17"/>
      <c r="X2" s="17"/>
      <c r="Y2" s="17"/>
    </row>
    <row r="3" spans="1:25" ht="18" customHeight="1" x14ac:dyDescent="0.25">
      <c r="A3" s="1" t="s">
        <v>21</v>
      </c>
      <c r="B3" s="16">
        <f>LN(Values!B3)</f>
        <v>4.2831726831211903</v>
      </c>
      <c r="C3" s="17">
        <f>LN(Values!C3)</f>
        <v>-2.0635681925235456</v>
      </c>
      <c r="D3" s="17">
        <f>LN(Values!D3)</f>
        <v>4.5528237056158822</v>
      </c>
      <c r="E3" s="17">
        <f>LN(Values!E3)</f>
        <v>1.4011829736136412</v>
      </c>
      <c r="F3" s="17">
        <f>LN(Values!F3)</f>
        <v>4.39197696552705</v>
      </c>
      <c r="G3" s="17">
        <f>LN(Values!G3)</f>
        <v>-1.8325814637483102</v>
      </c>
      <c r="H3" s="17">
        <f>LN(Values!H3)</f>
        <v>-4.1351665567423561</v>
      </c>
      <c r="I3" s="17">
        <f>LN(Values!I3)</f>
        <v>-4.9164621240790058</v>
      </c>
      <c r="J3" s="17">
        <f>LN(Values!J3)</f>
        <v>-9.0280188151822287</v>
      </c>
      <c r="K3" s="17">
        <f>LN(Values!K3)</f>
        <v>-0.40047756659712525</v>
      </c>
      <c r="L3" s="17">
        <f>LN(Values!L3)</f>
        <v>1.3862943611198906</v>
      </c>
      <c r="M3" s="17">
        <f>LN(Values!M3)</f>
        <v>-2.3968957724652871</v>
      </c>
      <c r="N3" s="17">
        <f>LN(Values!N3)</f>
        <v>0.94000725849147115</v>
      </c>
      <c r="O3" s="17">
        <f>LN(Values!O3)</f>
        <v>0.30748469974796072</v>
      </c>
      <c r="P3" s="17">
        <f>LN(Values!P3)</f>
        <v>-4.0821994520255166E-2</v>
      </c>
      <c r="Q3" s="17">
        <f>LN(Values!Q3)</f>
        <v>0.47000362924573563</v>
      </c>
      <c r="R3" s="17">
        <f>LN(Values!R3)</f>
        <v>-2.7015712350045007</v>
      </c>
      <c r="S3" s="17">
        <f>LN(Values!S3)</f>
        <v>3.4011973816621555</v>
      </c>
      <c r="T3" s="17">
        <f>LN(Values!T3)</f>
        <v>-2.5902671654458267</v>
      </c>
      <c r="U3" s="17">
        <f>LN(Values!U3)</f>
        <v>5.1474944768134527</v>
      </c>
      <c r="V3" s="18" t="s">
        <v>52</v>
      </c>
      <c r="W3" s="17"/>
      <c r="X3" s="17"/>
      <c r="Y3" s="17"/>
    </row>
    <row r="4" spans="1:25" ht="18" customHeight="1" x14ac:dyDescent="0.25">
      <c r="A4" s="1" t="s">
        <v>22</v>
      </c>
      <c r="B4" s="16">
        <f>LN(Values!B4)</f>
        <v>4.2484952420493594</v>
      </c>
      <c r="C4" s="17">
        <f>LN(Values!C4)</f>
        <v>4.42484663185681</v>
      </c>
      <c r="D4" s="17">
        <f>LN(Values!D4)</f>
        <v>3.5322256440685598</v>
      </c>
      <c r="E4" s="17">
        <f>LN(Values!E4)</f>
        <v>3.5804587051595158</v>
      </c>
      <c r="F4" s="17">
        <f>LN(Values!F4)</f>
        <v>3.6163087612791012</v>
      </c>
      <c r="G4" s="17">
        <f>LN(Values!G4)</f>
        <v>3.5779478934066544</v>
      </c>
      <c r="H4" s="17">
        <f>LN(Values!H4)</f>
        <v>4.3107991253855138</v>
      </c>
      <c r="I4" s="17">
        <f>LN(Values!I4)</f>
        <v>4.0000338827508592</v>
      </c>
      <c r="J4" s="17">
        <f>LN(Values!J4)</f>
        <v>3.9684033388642534</v>
      </c>
      <c r="K4" s="17">
        <f>LN(Values!K4)</f>
        <v>3.824284091120139</v>
      </c>
      <c r="L4" s="17">
        <f>LN(Values!L4)</f>
        <v>4.0690267542378109</v>
      </c>
      <c r="M4" s="17">
        <f>LN(Values!M4)</f>
        <v>4.1351665567423561</v>
      </c>
      <c r="N4" s="17">
        <f>LN(Values!N4)</f>
        <v>4.2017030805426003</v>
      </c>
      <c r="O4" s="17">
        <f>LN(Values!O4)</f>
        <v>3.9684033388642534</v>
      </c>
      <c r="P4" s="17">
        <f>LN(Values!P4)</f>
        <v>4.3027128279541564</v>
      </c>
      <c r="Q4" s="17">
        <f>LN(Values!Q4)</f>
        <v>5.978885764901122</v>
      </c>
      <c r="R4" s="17">
        <f>LN(Values!R4)</f>
        <v>7.6961041136128394E-2</v>
      </c>
      <c r="S4" s="17">
        <f>LN(Values!S4)</f>
        <v>4.4296256134731609</v>
      </c>
      <c r="T4" s="17">
        <f>LN(Values!T4)</f>
        <v>4.290459441148391</v>
      </c>
      <c r="U4" s="17">
        <f>LN(Values!U4)</f>
        <v>-8.5564539053695405</v>
      </c>
      <c r="V4" s="18">
        <f>LN(Values!V4)</f>
        <v>1.8825138324965192</v>
      </c>
      <c r="W4" s="17"/>
      <c r="X4" s="17"/>
      <c r="Y4" s="17"/>
    </row>
    <row r="5" spans="1:25" ht="18" customHeight="1" x14ac:dyDescent="0.25">
      <c r="A5" s="1" t="s">
        <v>23</v>
      </c>
      <c r="B5" s="16">
        <f>LN(Values!B5)</f>
        <v>5.2626901889048856</v>
      </c>
      <c r="C5" s="17">
        <f>LN(Values!C5)</f>
        <v>5.0751738152338266</v>
      </c>
      <c r="D5" s="17">
        <f>LN(Values!D5)</f>
        <v>4.1789920362823851</v>
      </c>
      <c r="E5" s="17">
        <f>LN(Values!E5)</f>
        <v>4.5086592856072478</v>
      </c>
      <c r="F5" s="17">
        <f>LN(Values!F5)</f>
        <v>4.3359826961724748</v>
      </c>
      <c r="G5" s="17">
        <f>LN(Values!G5)</f>
        <v>4.6443908991413725</v>
      </c>
      <c r="H5" s="17">
        <f>LN(Values!H5)</f>
        <v>4.962844630259907</v>
      </c>
      <c r="I5" s="17">
        <f>LN(Values!I5)</f>
        <v>4.6151205168412597</v>
      </c>
      <c r="J5" s="17">
        <f>LN(Values!J5)</f>
        <v>4.6249728132842707</v>
      </c>
      <c r="K5" s="17">
        <f>LN(Values!K5)</f>
        <v>4.6539603501575231</v>
      </c>
      <c r="L5" s="17">
        <f>LN(Values!L5)</f>
        <v>4.7095302013123339</v>
      </c>
      <c r="M5" s="17">
        <f>LN(Values!M5)</f>
        <v>4.7621739347977563</v>
      </c>
      <c r="N5" s="17">
        <f>LN(Values!N5)</f>
        <v>4.8751973232011512</v>
      </c>
      <c r="O5" s="17">
        <f>LN(Values!O5)</f>
        <v>4.7184988712950942</v>
      </c>
      <c r="P5" s="17">
        <f>LN(Values!P5)</f>
        <v>4.990432586778736</v>
      </c>
      <c r="Q5" s="17">
        <f>LN(Values!Q5)</f>
        <v>6.1003189520200642</v>
      </c>
      <c r="R5" s="17">
        <f>LN(Values!R5)</f>
        <v>-2.7371196796132015E-2</v>
      </c>
      <c r="S5" s="17">
        <f>LN(Values!S5)</f>
        <v>4.4426512564903167</v>
      </c>
      <c r="T5" s="17">
        <f>LN(Values!T5)</f>
        <v>4.836281906951478</v>
      </c>
      <c r="U5" s="17">
        <f>LN(Values!U5)</f>
        <v>-11.229251413915986</v>
      </c>
      <c r="V5" s="18">
        <f>LN(Values!V5)</f>
        <v>-0.57981849525294205</v>
      </c>
      <c r="W5" s="17"/>
      <c r="X5" s="17"/>
      <c r="Y5" s="17"/>
    </row>
    <row r="6" spans="1:25" ht="18" customHeight="1" x14ac:dyDescent="0.25">
      <c r="A6" s="1" t="s">
        <v>24</v>
      </c>
      <c r="B6" s="16">
        <f>LN(Values!B6)</f>
        <v>5.5012582105447274</v>
      </c>
      <c r="C6" s="17">
        <f>LN(Values!C6)</f>
        <v>5.1059454739005803</v>
      </c>
      <c r="D6" s="17">
        <f>LN(Values!D6)</f>
        <v>4.9698132995760007</v>
      </c>
      <c r="E6" s="17">
        <f>LN(Values!E6)</f>
        <v>5.181783550292085</v>
      </c>
      <c r="F6" s="17">
        <f>LN(Values!F6)</f>
        <v>5.1474944768134527</v>
      </c>
      <c r="G6" s="17">
        <f>LN(Values!G6)</f>
        <v>5.4071717714601188</v>
      </c>
      <c r="H6" s="17">
        <f>LN(Values!H6)</f>
        <v>4.1896547420264252</v>
      </c>
      <c r="I6" s="17">
        <f>LN(Values!I6)</f>
        <v>4.9416424226093039</v>
      </c>
      <c r="J6" s="17">
        <f>LN(Values!J6)</f>
        <v>5.181783550292085</v>
      </c>
      <c r="K6" s="17">
        <f>LN(Values!K6)</f>
        <v>5.1984970312658261</v>
      </c>
      <c r="L6" s="17">
        <f>LN(Values!L6)</f>
        <v>5.2364419628299492</v>
      </c>
      <c r="M6" s="17">
        <f>LN(Values!M6)</f>
        <v>5.0937502008067623</v>
      </c>
      <c r="N6" s="17">
        <f>LN(Values!N6)</f>
        <v>4.9972122737641147</v>
      </c>
      <c r="O6" s="17">
        <f>LN(Values!O6)</f>
        <v>5.3132059790417872</v>
      </c>
      <c r="P6" s="17">
        <f>LN(Values!P6)</f>
        <v>6.2166061010848646</v>
      </c>
      <c r="Q6" s="17">
        <f>LN(Values!Q6)</f>
        <v>6.0684255882441107</v>
      </c>
      <c r="R6" s="17">
        <f>LN(Values!R6)</f>
        <v>-2.5770219386958062</v>
      </c>
      <c r="S6" s="17">
        <f>LN(Values!S6)</f>
        <v>-1.0050335853501451E-2</v>
      </c>
      <c r="T6" s="17">
        <f>LN(Values!T6)</f>
        <v>-5.4726707536928147</v>
      </c>
      <c r="U6" s="17">
        <f>LN(Values!U6)</f>
        <v>-3.5065578973199818</v>
      </c>
      <c r="V6" s="18">
        <f>LN(Values!V6)</f>
        <v>-5.1159958097540823</v>
      </c>
      <c r="W6" s="17"/>
      <c r="X6" s="17"/>
      <c r="Y6" s="17"/>
    </row>
    <row r="7" spans="1:25" ht="18" customHeight="1" x14ac:dyDescent="0.25">
      <c r="A7" s="1" t="s">
        <v>25</v>
      </c>
      <c r="B7" s="16">
        <f>LN(Values!B7)</f>
        <v>1.1939224684724346</v>
      </c>
      <c r="C7" s="17">
        <f>LN(Values!C7)</f>
        <v>3.1780538303479458</v>
      </c>
      <c r="D7" s="17">
        <f>LN(Values!D7)</f>
        <v>3.912023005428146</v>
      </c>
      <c r="E7" s="17">
        <f>LN(Values!E7)</f>
        <v>2.5176964726109912</v>
      </c>
      <c r="F7" s="17">
        <f>LN(Values!F7)</f>
        <v>4.8528112089026889</v>
      </c>
      <c r="G7" s="17">
        <f>LN(Values!G7)</f>
        <v>2.0617866064411152</v>
      </c>
      <c r="H7" s="17">
        <f>LN(Values!H7)</f>
        <v>-1.6144504542576446</v>
      </c>
      <c r="I7" s="17">
        <f>LN(Values!I7)</f>
        <v>-7.5304439958935205</v>
      </c>
      <c r="J7" s="17">
        <f>LN(Values!J7)</f>
        <v>-9.0766839871635092</v>
      </c>
      <c r="K7" s="17" t="s">
        <v>52</v>
      </c>
      <c r="L7" s="17" t="s">
        <v>52</v>
      </c>
      <c r="M7" s="17">
        <f>LN(Values!M7)</f>
        <v>-10.699775492015586</v>
      </c>
      <c r="N7" s="17">
        <f>LN(Values!N7)</f>
        <v>-5.4119340933350042</v>
      </c>
      <c r="O7" s="17">
        <f>LN(Values!O7)</f>
        <v>-6.7080850838535691</v>
      </c>
      <c r="P7" s="17">
        <f>LN(Values!P7)</f>
        <v>-5.3601927702661243</v>
      </c>
      <c r="Q7" s="17">
        <f>LN(Values!Q7)</f>
        <v>-9.2103403719761818</v>
      </c>
      <c r="R7" s="17">
        <f>LN(Values!R7)</f>
        <v>-17.465169298924931</v>
      </c>
      <c r="S7" s="17">
        <f>LN(Values!S7)</f>
        <v>-9.9836135970154132</v>
      </c>
      <c r="T7" s="17">
        <f>LN(Values!T7)</f>
        <v>-12.501249399744216</v>
      </c>
      <c r="U7" s="17">
        <f>LN(Values!U7)</f>
        <v>-11.989349662018887</v>
      </c>
      <c r="V7" s="18">
        <f>LN(Values!V7)</f>
        <v>-13.582812793845253</v>
      </c>
      <c r="W7" s="17"/>
      <c r="X7" s="17"/>
      <c r="Y7" s="17"/>
    </row>
    <row r="8" spans="1:25" ht="18" customHeight="1" x14ac:dyDescent="0.35">
      <c r="A8" s="1" t="s">
        <v>33</v>
      </c>
      <c r="B8" s="16">
        <f>LN(Values!B8)</f>
        <v>2.3878449369448691</v>
      </c>
      <c r="C8" s="17">
        <f>LN(Values!C8)</f>
        <v>3.3826939100975957</v>
      </c>
      <c r="D8" s="17">
        <f>LN(Values!D8)</f>
        <v>4.6596583712721609</v>
      </c>
      <c r="E8" s="17">
        <f>LN(Values!E8)</f>
        <v>3.2958368660043291</v>
      </c>
      <c r="F8" s="17">
        <f>LN(Values!F8)</f>
        <v>4.1075897889721213</v>
      </c>
      <c r="G8" s="17">
        <f>LN(Values!G8)</f>
        <v>-2.2072749131897207</v>
      </c>
      <c r="H8" s="17">
        <f>LN(Values!H8)</f>
        <v>-0.84397007029452897</v>
      </c>
      <c r="I8" s="17">
        <f>LN(Values!I8)</f>
        <v>-0.65392646740666394</v>
      </c>
      <c r="J8" s="17">
        <f>LN(Values!J8)</f>
        <v>-4.3050655935377531</v>
      </c>
      <c r="K8" s="17" t="s">
        <v>31</v>
      </c>
      <c r="L8" s="17" t="s">
        <v>52</v>
      </c>
      <c r="M8" s="17">
        <f>LN(Values!M8)</f>
        <v>-1.3862943611198906</v>
      </c>
      <c r="N8" s="17">
        <f>LN(Values!N8)</f>
        <v>-7.2161844245787075</v>
      </c>
      <c r="O8" s="17">
        <f>LN(Values!O8)</f>
        <v>-5.4873010662155419</v>
      </c>
      <c r="P8" s="17" t="s">
        <v>31</v>
      </c>
      <c r="Q8" s="17">
        <f>LN(Values!Q8)</f>
        <v>-1.9449106487222299</v>
      </c>
      <c r="R8" s="17">
        <f>LN(Values!R8)</f>
        <v>-7.9153392693026827</v>
      </c>
      <c r="S8" s="17" t="s">
        <v>31</v>
      </c>
      <c r="T8" s="17" t="s">
        <v>31</v>
      </c>
      <c r="U8" s="17">
        <f>LN(Values!U8)</f>
        <v>-14.8421743473198</v>
      </c>
      <c r="V8" s="18">
        <f>LN(Values!V8)</f>
        <v>-9.5302701919780848</v>
      </c>
      <c r="W8" s="17"/>
      <c r="X8" s="17"/>
      <c r="Y8" s="17"/>
    </row>
    <row r="9" spans="1:25" ht="18" customHeight="1" x14ac:dyDescent="0.35">
      <c r="A9" s="1" t="s">
        <v>35</v>
      </c>
      <c r="B9" s="16">
        <f>LN(Values!B9)</f>
        <v>3.5817674054173034</v>
      </c>
      <c r="C9" s="17">
        <f>LN(Values!C9)</f>
        <v>3.5524868292083815</v>
      </c>
      <c r="D9" s="17">
        <f>LN(Values!D9)</f>
        <v>4.7874917427820458</v>
      </c>
      <c r="E9" s="17">
        <f>LN(Values!E9)</f>
        <v>3.906004933102583</v>
      </c>
      <c r="F9" s="17">
        <f>LN(Values!F9)</f>
        <v>4.3228072750139104</v>
      </c>
      <c r="G9" s="17">
        <f>LN(Values!G9)</f>
        <v>-8.3150690073261035</v>
      </c>
      <c r="H9" s="17">
        <f>LN(Values!H9)</f>
        <v>-1.3664917338237108</v>
      </c>
      <c r="I9" s="17">
        <f>LN(Values!I9)</f>
        <v>3.55820113047182</v>
      </c>
      <c r="J9" s="17">
        <f>LN(Values!J9)</f>
        <v>-4.3275384493898121</v>
      </c>
      <c r="K9" s="17">
        <f>LN(Values!K9)</f>
        <v>3.5945687746426951</v>
      </c>
      <c r="L9" s="17">
        <f>LN(Values!L9)</f>
        <v>3.044522437723423</v>
      </c>
      <c r="M9" s="17">
        <f>LN(Values!M9)</f>
        <v>3.2425923514855168</v>
      </c>
      <c r="N9" s="17">
        <f>LN(Values!N9)</f>
        <v>4.1743872698956368</v>
      </c>
      <c r="O9" s="17">
        <f>LN(Values!O9)</f>
        <v>3.5890591188317256</v>
      </c>
      <c r="P9" s="17">
        <f>LN(Values!P9)</f>
        <v>4.0253516907351496</v>
      </c>
      <c r="Q9" s="17">
        <f>LN(Values!Q9)</f>
        <v>4.0552571735140539</v>
      </c>
      <c r="R9" s="17">
        <f>LN(Values!R9)</f>
        <v>-3.2089254940150327</v>
      </c>
      <c r="S9" s="17">
        <f>LN(Values!S9)</f>
        <v>3.4965075614664802</v>
      </c>
      <c r="T9" s="17">
        <f>LN(Values!T9)</f>
        <v>3.4531571205928664</v>
      </c>
      <c r="U9" s="17">
        <f>LN(Values!U9)</f>
        <v>-0.18632957819149348</v>
      </c>
      <c r="V9" s="18" t="s">
        <v>52</v>
      </c>
      <c r="W9" s="17"/>
      <c r="X9" s="17"/>
      <c r="Y9" s="17"/>
    </row>
    <row r="10" spans="1:25" ht="18" customHeight="1" x14ac:dyDescent="0.35">
      <c r="A10" s="1" t="s">
        <v>37</v>
      </c>
      <c r="B10" s="16">
        <f>LN(Values!B10)</f>
        <v>4.8283137373023015</v>
      </c>
      <c r="C10" s="17">
        <f>LN(Values!C10)</f>
        <v>3.9550824948885932</v>
      </c>
      <c r="D10" s="17">
        <f>LN(Values!D10)</f>
        <v>3.4531571205928664</v>
      </c>
      <c r="E10" s="17">
        <f>LN(Values!E10)</f>
        <v>4.4727809979423458</v>
      </c>
      <c r="F10" s="17">
        <f>LN(Values!F10)</f>
        <v>5.2574953720277815</v>
      </c>
      <c r="G10" s="17">
        <f>LN(Values!G10)</f>
        <v>2.1994443340745322</v>
      </c>
      <c r="H10" s="17">
        <f>LN(Values!H10)</f>
        <v>4.7974420736352137</v>
      </c>
      <c r="I10" s="17">
        <f>LN(Values!I10)</f>
        <v>4.2413267525707461</v>
      </c>
      <c r="J10" s="17">
        <f>LN(Values!J10)</f>
        <v>4.2598590006996737</v>
      </c>
      <c r="K10" s="17">
        <f>LN(Values!K10)</f>
        <v>4.3027128279541564</v>
      </c>
      <c r="L10" s="17">
        <f>LN(Values!L10)</f>
        <v>4.8675344504555822</v>
      </c>
      <c r="M10" s="17">
        <f>LN(Values!M10)</f>
        <v>4.9126548857360524</v>
      </c>
      <c r="N10" s="17">
        <f>LN(Values!N10)</f>
        <v>4.5454201815823172</v>
      </c>
      <c r="O10" s="17">
        <f>LN(Values!O10)</f>
        <v>4.5788262106484892</v>
      </c>
      <c r="P10" s="17">
        <f>LN(Values!P10)</f>
        <v>4.9344739331306915</v>
      </c>
      <c r="Q10" s="17">
        <f>LN(Values!Q10)</f>
        <v>4.8598124043616719</v>
      </c>
      <c r="R10" s="17">
        <f>LN(Values!R10)</f>
        <v>3.9945242269398897</v>
      </c>
      <c r="S10" s="17" t="s">
        <v>52</v>
      </c>
      <c r="T10" s="17">
        <f>LN(Values!T10)</f>
        <v>4.8283137373023015</v>
      </c>
      <c r="U10" s="17">
        <f>LN(Values!U10)</f>
        <v>4.7706846244656651</v>
      </c>
      <c r="V10" s="18">
        <f>LN(Values!V10)</f>
        <v>2.4692612590371414E-2</v>
      </c>
      <c r="W10" s="17"/>
      <c r="X10" s="17"/>
      <c r="Y10" s="17"/>
    </row>
    <row r="11" spans="1:25" ht="18" customHeight="1" x14ac:dyDescent="0.35">
      <c r="A11" s="1" t="s">
        <v>38</v>
      </c>
      <c r="B11" s="16">
        <f>LN(Values!B11)</f>
        <v>4.4308167988433134</v>
      </c>
      <c r="C11" s="17">
        <f>LN(Values!C11)</f>
        <v>4.5726469942825316</v>
      </c>
      <c r="D11" s="17">
        <f>LN(Values!D11)</f>
        <v>5.7235851019523807</v>
      </c>
      <c r="E11" s="17">
        <f>LN(Values!E11)</f>
        <v>4.39197696552705</v>
      </c>
      <c r="F11" s="17">
        <f>LN(Values!F11)</f>
        <v>4.773223770984341</v>
      </c>
      <c r="G11" s="17">
        <f>LN(Values!G11)</f>
        <v>4.2794400458987809</v>
      </c>
      <c r="H11" s="17">
        <f>LN(Values!H11)</f>
        <v>4.4367515343631281</v>
      </c>
      <c r="I11" s="17">
        <f>LN(Values!I11)</f>
        <v>4.2626798770413155</v>
      </c>
      <c r="J11" s="17">
        <f>LN(Values!J11)</f>
        <v>3.7376696182833684</v>
      </c>
      <c r="K11" s="17" t="s">
        <v>31</v>
      </c>
      <c r="L11" s="17" t="s">
        <v>31</v>
      </c>
      <c r="M11" s="17" t="s">
        <v>31</v>
      </c>
      <c r="N11" s="17">
        <f>LN(Values!N11)</f>
        <v>0.95551144502743635</v>
      </c>
      <c r="O11" s="17">
        <f>LN(Values!O11)</f>
        <v>-0.916290731874155</v>
      </c>
      <c r="P11" s="17" t="s">
        <v>31</v>
      </c>
      <c r="Q11" s="17" t="s">
        <v>31</v>
      </c>
      <c r="R11" s="17" t="s">
        <v>31</v>
      </c>
      <c r="S11" s="17" t="s">
        <v>31</v>
      </c>
      <c r="T11" s="17" t="s">
        <v>31</v>
      </c>
      <c r="U11" s="17">
        <f>LN(Values!U11)</f>
        <v>-0.96758402626170559</v>
      </c>
      <c r="V11" s="18" t="s">
        <v>31</v>
      </c>
      <c r="W11" s="17"/>
      <c r="X11" s="17"/>
      <c r="Y11" s="17"/>
    </row>
    <row r="12" spans="1:25" ht="18" customHeight="1" x14ac:dyDescent="0.35">
      <c r="A12" s="1" t="s">
        <v>39</v>
      </c>
      <c r="B12" s="16">
        <f>LN(Values!B12)</f>
        <v>2.341805806147327</v>
      </c>
      <c r="C12" s="17">
        <f>LN(Values!C12)</f>
        <v>-0.94160853985844495</v>
      </c>
      <c r="D12" s="17">
        <f>LN(Values!D12)</f>
        <v>4.5250441415088067</v>
      </c>
      <c r="E12" s="17">
        <f>LN(Values!E12)</f>
        <v>2.4932054526026954</v>
      </c>
      <c r="F12" s="17">
        <f>LN(Values!F12)</f>
        <v>3.0106208860477417</v>
      </c>
      <c r="G12" s="17">
        <f>LN(Values!G12)</f>
        <v>-8.3644721043985726</v>
      </c>
      <c r="H12" s="17">
        <f>LN(Values!H12)</f>
        <v>-6.2146080984221914</v>
      </c>
      <c r="I12" s="17">
        <f>LN(Values!I12)</f>
        <v>-8.2594549953375278</v>
      </c>
      <c r="J12" s="17">
        <f>LN(Values!J12)</f>
        <v>-1.3470736479666092</v>
      </c>
      <c r="K12" s="17">
        <f>LN(Values!K12)</f>
        <v>-16.43802547096022</v>
      </c>
      <c r="L12" s="17">
        <f>LN(Values!L12)</f>
        <v>-14.668357117281895</v>
      </c>
      <c r="M12" s="17">
        <f>LN(Values!M12)</f>
        <v>-9.5312345786340771</v>
      </c>
      <c r="N12" s="17">
        <f>LN(Values!N12)</f>
        <v>-6.9721871391415258</v>
      </c>
      <c r="O12" s="17">
        <f>LN(Values!O12)</f>
        <v>-7.1467741794546367</v>
      </c>
      <c r="P12" s="17">
        <f>LN(Values!P12)</f>
        <v>-7.3824097064433003</v>
      </c>
      <c r="Q12" s="17">
        <f>LN(Values!Q12)</f>
        <v>-8.4351524810800278</v>
      </c>
      <c r="R12" s="17">
        <f>LN(Values!R12)</f>
        <v>-7.7728777242818925</v>
      </c>
      <c r="S12" s="17">
        <f>LN(Values!S12)</f>
        <v>-11.396031713498729</v>
      </c>
      <c r="T12" s="17">
        <f>LN(Values!T12)</f>
        <v>-11.91012482866136</v>
      </c>
      <c r="U12" s="17">
        <f>LN(Values!U12)</f>
        <v>-13.022518042434612</v>
      </c>
      <c r="V12" s="18">
        <f>LN(Values!V12)</f>
        <v>-13.582812793845253</v>
      </c>
      <c r="W12" s="17"/>
      <c r="X12" s="17"/>
      <c r="Y12" s="17"/>
    </row>
    <row r="13" spans="1:25" ht="18" customHeight="1" x14ac:dyDescent="0.35">
      <c r="A13" s="1" t="s">
        <v>40</v>
      </c>
      <c r="B13" s="16">
        <f>LN(Values!B13)</f>
        <v>1.9315214116032138</v>
      </c>
      <c r="C13" s="17">
        <f>LN(Values!C13)</f>
        <v>0.28517894223366247</v>
      </c>
      <c r="D13" s="17">
        <f>LN(Values!D13)</f>
        <v>4.7095302013123339</v>
      </c>
      <c r="E13" s="17">
        <f>LN(Values!E13)</f>
        <v>3.068052935133617</v>
      </c>
      <c r="F13" s="17">
        <f>LN(Values!F13)</f>
        <v>4.6051701859880918</v>
      </c>
      <c r="G13" s="17">
        <f>LN(Values!G13)</f>
        <v>-6.0322865416282374</v>
      </c>
      <c r="H13" s="17">
        <f>LN(Values!H13)</f>
        <v>-7.2644302229208693</v>
      </c>
      <c r="I13" s="17">
        <f>LN(Values!I13)</f>
        <v>-3.2441936328524905</v>
      </c>
      <c r="J13" s="17">
        <f>LN(Values!J13)</f>
        <v>-6.812445099177812</v>
      </c>
      <c r="K13" s="17" t="s">
        <v>31</v>
      </c>
      <c r="L13" s="17" t="s">
        <v>31</v>
      </c>
      <c r="M13" s="17">
        <f>LN(Values!M13)</f>
        <v>-9.6328499146936046</v>
      </c>
      <c r="N13" s="17">
        <f>LN(Values!N13)</f>
        <v>-6.944108108447935</v>
      </c>
      <c r="O13" s="17">
        <f>LN(Values!O13)</f>
        <v>-11.512925464970229</v>
      </c>
      <c r="P13" s="17">
        <f>LN(Values!P13)</f>
        <v>-9.9283951882423125</v>
      </c>
      <c r="Q13" s="17">
        <f>LN(Values!Q13)</f>
        <v>-9.9670665341789988</v>
      </c>
      <c r="R13" s="17">
        <f>LN(Values!R13)</f>
        <v>-9.5293067344677294</v>
      </c>
      <c r="S13" s="17" t="s">
        <v>31</v>
      </c>
      <c r="T13" s="17">
        <f>LN(Values!T13)</f>
        <v>-8.830535010648596</v>
      </c>
      <c r="U13" s="17">
        <f>LN(Values!U13)</f>
        <v>-5.6581401167775001</v>
      </c>
      <c r="V13" s="18" t="s">
        <v>31</v>
      </c>
      <c r="W13" s="17"/>
      <c r="X13" s="17"/>
      <c r="Y13" s="17"/>
    </row>
    <row r="14" spans="1:25" ht="18" customHeight="1" x14ac:dyDescent="0.35">
      <c r="A14" s="1" t="s">
        <v>41</v>
      </c>
      <c r="B14" s="16">
        <f>LN(Values!B14)</f>
        <v>5.0689042022202315</v>
      </c>
      <c r="C14" s="17">
        <f>LN(Values!C14)</f>
        <v>3.708682081410116</v>
      </c>
      <c r="D14" s="17">
        <f>LN(Values!D14)</f>
        <v>5.5451774444795623</v>
      </c>
      <c r="E14" s="17">
        <f>LN(Values!E14)</f>
        <v>3.8372994592322094</v>
      </c>
      <c r="F14" s="17">
        <f>LN(Values!F14)</f>
        <v>4.962844630259907</v>
      </c>
      <c r="G14" s="17">
        <f>LN(Values!G14)</f>
        <v>4.2766661190160553</v>
      </c>
      <c r="H14" s="17">
        <f>LN(Values!H14)</f>
        <v>3.5467396869528134</v>
      </c>
      <c r="I14" s="17">
        <f>LN(Values!I14)</f>
        <v>3.9778107459661491</v>
      </c>
      <c r="J14" s="17">
        <f>LN(Values!J14)</f>
        <v>3.6936182084611096</v>
      </c>
      <c r="K14" s="17">
        <f>LN(Values!K14)</f>
        <v>4.3174881135363101</v>
      </c>
      <c r="L14" s="17">
        <f>LN(Values!L14)</f>
        <v>4.2121275978784842</v>
      </c>
      <c r="M14" s="17">
        <f>LN(Values!M14)</f>
        <v>4.4659081186545837</v>
      </c>
      <c r="N14" s="17">
        <f>LN(Values!N14)</f>
        <v>2.8332133440562162</v>
      </c>
      <c r="O14" s="17">
        <f>LN(Values!O14)</f>
        <v>3.8501476017100584</v>
      </c>
      <c r="P14" s="17">
        <f>LN(Values!P14)</f>
        <v>4.2484952420493594</v>
      </c>
      <c r="Q14" s="17">
        <f>LN(Values!Q14)</f>
        <v>3.7612001156935624</v>
      </c>
      <c r="R14" s="17">
        <f>LN(Values!R14)</f>
        <v>3.7912103852113983</v>
      </c>
      <c r="S14" s="17">
        <f>LN(Values!S14)</f>
        <v>2.5336968139574321</v>
      </c>
      <c r="T14" s="17">
        <f>LN(Values!T14)</f>
        <v>1.9740810260220096</v>
      </c>
      <c r="U14" s="17">
        <f>LN(Values!U14)</f>
        <v>1.980262729617973E-2</v>
      </c>
      <c r="V14" s="18">
        <f>LN(Values!V14)</f>
        <v>3.2188758248682006</v>
      </c>
      <c r="W14" s="17"/>
      <c r="X14" s="17"/>
      <c r="Y14" s="17"/>
    </row>
    <row r="15" spans="1:25" ht="18" customHeight="1" x14ac:dyDescent="0.35">
      <c r="A15" s="1" t="s">
        <v>42</v>
      </c>
      <c r="B15" s="16">
        <f>LN(Values!B15)</f>
        <v>4.1588830833596715</v>
      </c>
      <c r="C15" s="17">
        <f>LN(Values!C15)</f>
        <v>4.2682978693455391</v>
      </c>
      <c r="D15" s="17">
        <f>LN(Values!D15)</f>
        <v>1.8468787684491346</v>
      </c>
      <c r="E15" s="17">
        <f>LN(Values!E15)</f>
        <v>4.499809670330265</v>
      </c>
      <c r="F15" s="17">
        <f>LN(Values!F15)</f>
        <v>2.0794415416798357</v>
      </c>
      <c r="G15" s="17">
        <f>LN(Values!G15)</f>
        <v>4.1588830833596715</v>
      </c>
      <c r="H15" s="17">
        <f>LN(Values!H15)</f>
        <v>5.8230458954830189</v>
      </c>
      <c r="I15" s="17">
        <f>LN(Values!I15)</f>
        <v>1.6094379124341003</v>
      </c>
      <c r="J15" s="17">
        <f>LN(Values!J15)</f>
        <v>2.7472709142554912</v>
      </c>
      <c r="K15" s="17">
        <f>LN(Values!K15)</f>
        <v>2.5572273113676265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>
        <f>LN(Values!Q15)</f>
        <v>3.505557396986398</v>
      </c>
      <c r="R15" s="17" t="s">
        <v>31</v>
      </c>
      <c r="S15" s="17" t="s">
        <v>31</v>
      </c>
      <c r="T15" s="17" t="s">
        <v>31</v>
      </c>
      <c r="U15" s="17">
        <f>LN(Values!U15)</f>
        <v>-0.10536051565782628</v>
      </c>
      <c r="V15" s="18" t="s">
        <v>31</v>
      </c>
      <c r="W15" s="17"/>
      <c r="X15" s="17"/>
      <c r="Y15" s="17"/>
    </row>
    <row r="16" spans="1:25" ht="18" customHeight="1" x14ac:dyDescent="0.35">
      <c r="A16" s="1" t="s">
        <v>43</v>
      </c>
      <c r="B16" s="16">
        <f>LN(Values!B16)</f>
        <v>4.1896547420264252</v>
      </c>
      <c r="C16" s="17">
        <f>LN(Values!C16)</f>
        <v>4.7095302013123339</v>
      </c>
      <c r="D16" s="17">
        <f>LN(Values!D16)</f>
        <v>4.1415461637063951</v>
      </c>
      <c r="E16" s="17">
        <f>LN(Values!E16)</f>
        <v>4.4367515343631281</v>
      </c>
      <c r="F16" s="17">
        <f>LN(Values!F16)</f>
        <v>3.5263605246161616</v>
      </c>
      <c r="G16" s="17">
        <f>LN(Values!G16)</f>
        <v>-8.1896896247777846</v>
      </c>
      <c r="H16" s="17">
        <f>LN(Values!H16)</f>
        <v>0.81093021621632877</v>
      </c>
      <c r="I16" s="17">
        <f>LN(Values!I16)</f>
        <v>4.9199809258281251</v>
      </c>
      <c r="J16" s="17">
        <f>LN(Values!J16)</f>
        <v>-2.4651040224918206</v>
      </c>
      <c r="K16" s="17" t="s">
        <v>31</v>
      </c>
      <c r="L16" s="17" t="s">
        <v>31</v>
      </c>
      <c r="M16" s="17">
        <f>LN(Values!M16)</f>
        <v>-9.2103403719761818</v>
      </c>
      <c r="N16" s="17">
        <f>LN(Values!N16)</f>
        <v>-8.7138165329210509</v>
      </c>
      <c r="O16" s="17">
        <f>LN(Values!O16)</f>
        <v>-7.706262975199909</v>
      </c>
      <c r="P16" s="17">
        <f>LN(Values!P16)</f>
        <v>-10.748853946073584</v>
      </c>
      <c r="Q16" s="17">
        <f>LN(Values!Q16)</f>
        <v>-10.624211500866307</v>
      </c>
      <c r="R16" s="17">
        <f>LN(Values!R16)</f>
        <v>-10.97643209445566</v>
      </c>
      <c r="S16" s="17">
        <f>LN(Values!S16)</f>
        <v>-10.305159862405596</v>
      </c>
      <c r="T16" s="17">
        <f>LN(Values!T16)</f>
        <v>-3.3793380473092616</v>
      </c>
      <c r="U16" s="17">
        <f>LN(Values!U16)</f>
        <v>-6.1390369115751175</v>
      </c>
      <c r="V16" s="18">
        <f>LN(Values!V16)</f>
        <v>-6.0692098957328353</v>
      </c>
      <c r="W16" s="17"/>
      <c r="X16" s="17"/>
      <c r="Y16" s="17"/>
    </row>
    <row r="17" spans="1:25" ht="18" customHeight="1" x14ac:dyDescent="0.35">
      <c r="A17" s="1" t="s">
        <v>44</v>
      </c>
      <c r="B17" s="16">
        <f>LN(Values!B17)</f>
        <v>3.6888794541139363</v>
      </c>
      <c r="C17" s="17">
        <f>LN(Values!C17)</f>
        <v>5.9188938542731462</v>
      </c>
      <c r="D17" s="17">
        <f>LN(Values!D17)</f>
        <v>1.9878743481543455</v>
      </c>
      <c r="E17" s="17">
        <f>LN(Values!E17)</f>
        <v>4.5633059818893926</v>
      </c>
      <c r="F17" s="17">
        <f>LN(Values!F17)</f>
        <v>3.3568971227655755</v>
      </c>
      <c r="G17" s="17">
        <f>LN(Values!G17)</f>
        <v>3.5234150143864045</v>
      </c>
      <c r="H17" s="17">
        <f>LN(Values!H17)</f>
        <v>5.3423342519648109</v>
      </c>
      <c r="I17" s="17">
        <f>LN(Values!I17)</f>
        <v>4.9052747784384296</v>
      </c>
      <c r="J17" s="17">
        <f>LN(Values!J17)</f>
        <v>5.1647859739235145</v>
      </c>
      <c r="K17" s="17">
        <f>LN(Values!K17)</f>
        <v>5.2364419628299492</v>
      </c>
      <c r="L17" s="17">
        <f>LN(Values!L17)</f>
        <v>5.2781146592305168</v>
      </c>
      <c r="M17" s="17" t="s">
        <v>31</v>
      </c>
      <c r="N17" s="17">
        <f>LN(Values!N17)</f>
        <v>4.8903491282217537</v>
      </c>
      <c r="O17" s="17">
        <f>LN(Values!O17)</f>
        <v>5.1929568508902104</v>
      </c>
      <c r="P17" s="17">
        <f>LN(Values!P17)</f>
        <v>5.2470240721604862</v>
      </c>
      <c r="Q17" s="17">
        <f>LN(Values!Q17)</f>
        <v>5.2983173665480363</v>
      </c>
      <c r="R17" s="17">
        <f>LN(Values!R17)</f>
        <v>4.9698132995760007</v>
      </c>
      <c r="S17" s="17" t="s">
        <v>31</v>
      </c>
      <c r="T17" s="17">
        <f>LN(Values!T17)</f>
        <v>5.4889377261566867</v>
      </c>
      <c r="U17" s="17">
        <f>LN(Values!U17)</f>
        <v>2.7278528283983898</v>
      </c>
      <c r="V17" s="18">
        <f>LN(Values!V17)</f>
        <v>3.2188758248682006</v>
      </c>
      <c r="W17" s="17"/>
      <c r="X17" s="17"/>
      <c r="Y17" s="17"/>
    </row>
    <row r="18" spans="1:25" ht="18" customHeight="1" x14ac:dyDescent="0.35">
      <c r="A18" s="1" t="s">
        <v>45</v>
      </c>
      <c r="B18" s="19">
        <f>LN(Values!B18)</f>
        <v>3.0056826044071592</v>
      </c>
      <c r="C18" s="20">
        <f>LN(Values!C18)</f>
        <v>4.0271358125286509</v>
      </c>
      <c r="D18" s="20">
        <f>LN(Values!D18)</f>
        <v>0.51879379341516751</v>
      </c>
      <c r="E18" s="20">
        <f>LN(Values!E18)</f>
        <v>5.3033049080590757</v>
      </c>
      <c r="F18" s="20">
        <f>LN(Values!F18)</f>
        <v>3.0373539482448106</v>
      </c>
      <c r="G18" s="20">
        <f>LN(Values!G18)</f>
        <v>5.8171111599632042</v>
      </c>
      <c r="H18" s="20">
        <f>LN(Values!H18)</f>
        <v>5.2364419628299492</v>
      </c>
      <c r="I18" s="20">
        <f>LN(Values!I18)</f>
        <v>3.903990833730882</v>
      </c>
      <c r="J18" s="20">
        <f>LN(Values!J18)</f>
        <v>5.6757258768736758</v>
      </c>
      <c r="K18" s="20">
        <f>LN(Values!K18)</f>
        <v>4.8903491282217537</v>
      </c>
      <c r="L18" s="20">
        <f>LN(Values!L18)</f>
        <v>4.8675344504555822</v>
      </c>
      <c r="M18" s="20">
        <f>LN(Values!M18)</f>
        <v>5.9080829381689313</v>
      </c>
      <c r="N18" s="20">
        <f>LN(Values!N18)</f>
        <v>4.7004803657924166</v>
      </c>
      <c r="O18" s="20">
        <f>LN(Values!O18)</f>
        <v>4.6443908991413725</v>
      </c>
      <c r="P18" s="20">
        <f>LN(Values!P18)</f>
        <v>5.0689042022202315</v>
      </c>
      <c r="Q18" s="20">
        <f>LN(Values!Q18)</f>
        <v>5.181783550292085</v>
      </c>
      <c r="R18" s="20">
        <f>LN(Values!R18)</f>
        <v>6.0867747269123065</v>
      </c>
      <c r="S18" s="20" t="s">
        <v>31</v>
      </c>
      <c r="T18" s="20">
        <f>LN(Values!T18)</f>
        <v>4.9836066217083363</v>
      </c>
      <c r="U18" s="20">
        <f>LN(Values!U18)</f>
        <v>6.2633982625916236</v>
      </c>
      <c r="V18" s="21">
        <f>LN(Values!V18)</f>
        <v>6.0088131854425946</v>
      </c>
      <c r="W18" s="17"/>
      <c r="X18" s="17"/>
      <c r="Y18" s="17"/>
    </row>
    <row r="20" spans="1:25" x14ac:dyDescent="0.25">
      <c r="B20" s="28">
        <f>MAX(B2:V18)</f>
        <v>6.2633982625916236</v>
      </c>
      <c r="C20">
        <f>20/B20</f>
        <v>3.1931547638365481</v>
      </c>
      <c r="D20">
        <v>2.5</v>
      </c>
    </row>
    <row r="21" spans="1:25" x14ac:dyDescent="0.25">
      <c r="B21">
        <v>-2.2999999999999998</v>
      </c>
      <c r="C21">
        <f t="shared" ref="C21:C22" si="0">20/B21</f>
        <v>-8.6956521739130448</v>
      </c>
      <c r="D21">
        <v>1.5</v>
      </c>
    </row>
    <row r="22" spans="1:25" x14ac:dyDescent="0.25">
      <c r="B22" s="28">
        <f>MIN(B2:V18)</f>
        <v>-17.465169298924931</v>
      </c>
      <c r="C22">
        <f t="shared" si="0"/>
        <v>-1.145136337225835</v>
      </c>
      <c r="D22">
        <v>0.4</v>
      </c>
    </row>
  </sheetData>
  <conditionalFormatting sqref="B2:V18">
    <cfRule type="cellIs" dxfId="14" priority="1" operator="equal">
      <formula>"?"</formula>
    </cfRule>
    <cfRule type="cellIs" dxfId="13" priority="2" operator="equal">
      <formula>"x"</formula>
    </cfRule>
  </conditionalFormatting>
  <conditionalFormatting sqref="C2:Q2 R2:V18 B3:V18">
    <cfRule type="cellIs" dxfId="12" priority="3" operator="lessThan">
      <formula>-2.3</formula>
    </cfRule>
    <cfRule type="cellIs" dxfId="11" priority="4" operator="between">
      <formula>-2.3</formula>
      <formula>0</formula>
    </cfRule>
    <cfRule type="cellIs" dxfId="10" priority="5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9587-C90F-4564-85DB-59BF7EC8D286}">
  <dimension ref="A1:V24"/>
  <sheetViews>
    <sheetView workbookViewId="0">
      <selection activeCell="G16" sqref="G16"/>
    </sheetView>
  </sheetViews>
  <sheetFormatPr defaultColWidth="8.85546875" defaultRowHeight="15" x14ac:dyDescent="0.25"/>
  <cols>
    <col min="1" max="1" width="9.42578125" bestFit="1" customWidth="1"/>
    <col min="2" max="2" width="8.42578125" bestFit="1" customWidth="1"/>
    <col min="3" max="3" width="8.28515625" bestFit="1" customWidth="1"/>
    <col min="4" max="5" width="8.42578125" bestFit="1" customWidth="1"/>
    <col min="6" max="17" width="8.28515625" bestFit="1" customWidth="1"/>
    <col min="18" max="19" width="3.42578125" customWidth="1"/>
    <col min="20" max="22" width="8.28515625" bestFit="1" customWidth="1"/>
  </cols>
  <sheetData>
    <row r="1" spans="1:22" ht="18" customHeight="1" x14ac:dyDescent="0.25">
      <c r="A1" s="1" t="s">
        <v>48</v>
      </c>
      <c r="B1" s="1"/>
      <c r="C1" s="1" t="s">
        <v>47</v>
      </c>
      <c r="D1" s="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</row>
    <row r="2" spans="1:22" ht="18" customHeight="1" x14ac:dyDescent="0.25">
      <c r="A2" s="1" t="s">
        <v>5</v>
      </c>
      <c r="B2" s="23">
        <v>0.67500000000000004</v>
      </c>
      <c r="C2" s="1" t="s">
        <v>21</v>
      </c>
      <c r="D2" s="23">
        <f>6.6*10^-4</f>
        <v>6.6E-4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18" customHeight="1" x14ac:dyDescent="0.25">
      <c r="A3" s="1" t="s">
        <v>4</v>
      </c>
      <c r="B3" s="23">
        <v>2.9</v>
      </c>
      <c r="C3" s="1" t="s">
        <v>22</v>
      </c>
      <c r="D3" s="23">
        <f>1*10^7</f>
        <v>10000000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18" customHeight="1" x14ac:dyDescent="0.25">
      <c r="A4" s="1" t="s">
        <v>3</v>
      </c>
      <c r="B4" s="23">
        <v>5.9</v>
      </c>
      <c r="C4" s="1" t="s">
        <v>23</v>
      </c>
      <c r="D4" s="23">
        <f>1*10^9</f>
        <v>1000000000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8" customHeight="1" x14ac:dyDescent="0.35">
      <c r="A5" s="1" t="s">
        <v>32</v>
      </c>
      <c r="B5" s="23">
        <f>1.8*10^-5</f>
        <v>1.8E-5</v>
      </c>
      <c r="C5" s="1" t="s">
        <v>24</v>
      </c>
      <c r="D5" s="23">
        <f>1*10^11</f>
        <v>100000000000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8" customHeight="1" x14ac:dyDescent="0.25">
      <c r="A6" s="1" t="s">
        <v>2</v>
      </c>
      <c r="B6" s="23">
        <v>0.23</v>
      </c>
      <c r="C6" s="1" t="s">
        <v>25</v>
      </c>
      <c r="D6" s="23">
        <f>1*10^-14</f>
        <v>1E-14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8" customHeight="1" x14ac:dyDescent="0.25">
      <c r="A7" s="1" t="s">
        <v>1</v>
      </c>
      <c r="B7" s="23">
        <f>4.3*10^-2</f>
        <v>4.2999999999999997E-2</v>
      </c>
      <c r="C7" s="1" t="s">
        <v>26</v>
      </c>
      <c r="D7" s="23">
        <f>1*10^-7</f>
        <v>9.9999999999999995E-8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8" customHeight="1" x14ac:dyDescent="0.35">
      <c r="A8" s="1" t="s">
        <v>0</v>
      </c>
      <c r="B8" s="23">
        <f>2.5*10^-3</f>
        <v>2.5000000000000001E-3</v>
      </c>
      <c r="C8" s="1" t="s">
        <v>33</v>
      </c>
      <c r="D8" s="23">
        <f>6.31*10^-8</f>
        <v>6.3100000000000003E-8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8" customHeight="1" x14ac:dyDescent="0.35">
      <c r="A9" s="1" t="s">
        <v>7</v>
      </c>
      <c r="B9" s="23">
        <v>0.15</v>
      </c>
      <c r="C9" s="1" t="s">
        <v>34</v>
      </c>
      <c r="D9" s="23">
        <f>1.58*10^-2</f>
        <v>1.5800000000000002E-2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8" customHeight="1" x14ac:dyDescent="0.35">
      <c r="A10" s="1" t="s">
        <v>8</v>
      </c>
      <c r="B10" s="23">
        <f>1.38*10^-9</f>
        <v>1.38E-9</v>
      </c>
      <c r="C10" s="1" t="s">
        <v>35</v>
      </c>
      <c r="D10" s="23">
        <f>1.2*10^-2</f>
        <v>1.2E-2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8" customHeight="1" x14ac:dyDescent="0.35">
      <c r="A11" s="1" t="s">
        <v>9</v>
      </c>
      <c r="B11" s="23">
        <f>1.02*10^-10</f>
        <v>1.0200000000000001E-10</v>
      </c>
      <c r="C11" s="1" t="s">
        <v>36</v>
      </c>
      <c r="D11" s="23">
        <v>1000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8" customHeight="1" x14ac:dyDescent="0.35">
      <c r="A12" s="1" t="s">
        <v>10</v>
      </c>
      <c r="B12" s="23">
        <f>1.82*10^-11</f>
        <v>1.8199999999999999E-11</v>
      </c>
      <c r="C12" s="1" t="s">
        <v>37</v>
      </c>
      <c r="D12" s="23">
        <f>4.36*10^1</f>
        <v>43.6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8" customHeight="1" x14ac:dyDescent="0.35">
      <c r="A13" s="1" t="s">
        <v>18</v>
      </c>
      <c r="B13" s="23">
        <f>2.5*10^-5</f>
        <v>2.5000000000000001E-5</v>
      </c>
      <c r="C13" s="1" t="s">
        <v>38</v>
      </c>
      <c r="D13" s="23">
        <f>4*10^-4</f>
        <v>4.0000000000000002E-4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8" customHeight="1" x14ac:dyDescent="0.35">
      <c r="A14" s="1" t="s">
        <v>19</v>
      </c>
      <c r="B14" s="23">
        <f>4*10^-5</f>
        <v>4.0000000000000003E-5</v>
      </c>
      <c r="C14" s="1" t="s">
        <v>39</v>
      </c>
      <c r="D14" s="23">
        <f>1.26*10^-12</f>
        <v>1.2600000000000001E-12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8" customHeight="1" x14ac:dyDescent="0.35">
      <c r="A15" s="1" t="s">
        <v>11</v>
      </c>
      <c r="B15" s="23">
        <f>5*10^-4</f>
        <v>5.0000000000000001E-4</v>
      </c>
      <c r="C15" s="1" t="s">
        <v>40</v>
      </c>
      <c r="D15" s="23">
        <f>4.69*10^-11</f>
        <v>4.6900000000000001E-11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8" customHeight="1" x14ac:dyDescent="0.35">
      <c r="A16" s="1" t="s">
        <v>12</v>
      </c>
      <c r="B16" s="23">
        <f>4*10^-5</f>
        <v>4.0000000000000003E-5</v>
      </c>
      <c r="C16" s="1" t="s">
        <v>41</v>
      </c>
      <c r="D16" s="23">
        <f>1.754*10^-5</f>
        <v>1.7540000000000001E-5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8" customHeight="1" x14ac:dyDescent="0.35">
      <c r="A17" s="1" t="s">
        <v>13</v>
      </c>
      <c r="B17" s="23" t="s">
        <v>30</v>
      </c>
      <c r="C17" s="1" t="s">
        <v>42</v>
      </c>
      <c r="D17" s="23">
        <f>7.1*10^-11</f>
        <v>7.0999999999999987E-11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8" customHeight="1" x14ac:dyDescent="0.35">
      <c r="A18" s="1" t="s">
        <v>14</v>
      </c>
      <c r="B18" s="23" t="s">
        <v>30</v>
      </c>
      <c r="C18" s="1" t="s">
        <v>43</v>
      </c>
      <c r="D18" s="23">
        <f>3.16*10^-7</f>
        <v>3.1600000000000002E-7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8" customHeight="1" x14ac:dyDescent="0.35">
      <c r="A19" s="1" t="s">
        <v>15</v>
      </c>
      <c r="B19" s="23">
        <f>9.6*10^-4</f>
        <v>9.6000000000000002E-4</v>
      </c>
      <c r="C19" s="1" t="s">
        <v>45</v>
      </c>
      <c r="D19" s="23">
        <f>3.8*10</f>
        <v>38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8" customHeight="1" x14ac:dyDescent="0.25">
      <c r="A20" s="1" t="s">
        <v>16</v>
      </c>
      <c r="B20" s="23">
        <f>3.5*10^-10</f>
        <v>3.5000000000000003E-10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8" customHeight="1" x14ac:dyDescent="0.25">
      <c r="A21" s="1" t="s">
        <v>17</v>
      </c>
      <c r="B21" s="23">
        <f>3.4*10^-7</f>
        <v>3.3999999999999997E-7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8" customHeight="1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8" customHeight="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8" customHeight="1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</sheetData>
  <conditionalFormatting sqref="B1:B21">
    <cfRule type="cellIs" dxfId="9" priority="1" operator="equal">
      <formula>"-"</formula>
    </cfRule>
    <cfRule type="cellIs" dxfId="8" priority="2" operator="equal">
      <formula>"?"</formula>
    </cfRule>
    <cfRule type="cellIs" dxfId="7" priority="3" operator="equal">
      <formula>"Н"</formula>
    </cfRule>
    <cfRule type="cellIs" dxfId="6" priority="4" operator="equal">
      <formula>"М"</formula>
    </cfRule>
    <cfRule type="cellIs" dxfId="5" priority="5" operator="equal">
      <formula>"Р"</formula>
    </cfRule>
  </conditionalFormatting>
  <conditionalFormatting sqref="E1:V21 D2:D19 A2:B21 C22:V22 B23:V23 C24:V24">
    <cfRule type="cellIs" dxfId="4" priority="6" operator="equal">
      <formula>"-"</formula>
    </cfRule>
    <cfRule type="cellIs" dxfId="3" priority="7" operator="equal">
      <formula>"?"</formula>
    </cfRule>
    <cfRule type="cellIs" dxfId="2" priority="8" operator="equal">
      <formula>"Н"</formula>
    </cfRule>
    <cfRule type="cellIs" dxfId="1" priority="9" operator="equal">
      <formula>"М"</formula>
    </cfRule>
    <cfRule type="cellIs" dxfId="0" priority="10" operator="equal">
      <formula>"Р"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8A79-E88E-43DD-A46C-F8BD26131F3C}">
  <dimension ref="B2:D4"/>
  <sheetViews>
    <sheetView workbookViewId="0">
      <selection activeCell="C10" sqref="C10"/>
    </sheetView>
  </sheetViews>
  <sheetFormatPr defaultColWidth="8.85546875" defaultRowHeight="15" x14ac:dyDescent="0.25"/>
  <sheetData>
    <row r="2" spans="2:4" x14ac:dyDescent="0.25">
      <c r="B2" s="25" t="s">
        <v>49</v>
      </c>
      <c r="C2" s="25"/>
      <c r="D2" s="25"/>
    </row>
    <row r="3" spans="2:4" x14ac:dyDescent="0.25">
      <c r="B3" s="26" t="s">
        <v>50</v>
      </c>
      <c r="C3" s="26"/>
      <c r="D3" s="26"/>
    </row>
    <row r="4" spans="2:4" x14ac:dyDescent="0.25">
      <c r="B4" s="27" t="s">
        <v>51</v>
      </c>
      <c r="C4" s="27"/>
      <c r="D4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W E 9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B Z Y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E 9 V y i K R 7 g O A A A A E Q A A A B M A H A B G b 3 J t d W x h c y 9 T Z W N 0 a W 9 u M S 5 t I K I Y A C i g F A A A A A A A A A A A A A A A A A A A A A A A A A A A A C t O T S 7 J z M 9 T C I b Q h t Y A U E s B A i 0 A F A A C A A g A W W E 9 V 3 a C v X + j A A A A 9 g A A A B I A A A A A A A A A A A A A A A A A A A A A A E N v b m Z p Z y 9 Q Y W N r Y W d l L n h t b F B L A Q I t A B Q A A g A I A F l h P V c P y u m r p A A A A O k A A A A T A A A A A A A A A A A A A A A A A O 8 A A A B b Q 2 9 u d G V u d F 9 U e X B l c 1 0 u e G 1 s U E s B A i 0 A F A A C A A g A W W E 9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/ z + m 9 C f 4 x A s L O i P c F N u O U A A A A A A g A A A A A A E G Y A A A A B A A A g A A A A W h o 4 j g O S D t O D m y F v 8 m 7 a L a a V J T 8 H q C F z J r r U T 7 4 z + H I A A A A A D o A A A A A C A A A g A A A A 6 y 8 3 t 3 h 8 j I W J 0 l F 4 F A 4 W M T p k 0 H e j 4 n Q s C B f N C O 4 E s p F Q A A A A Q 6 C y m V B I O E c Q W L A 6 a d 4 Y J K + X 0 7 U G T R / o M h r N V i 3 c A m G r g 9 U p i P 8 / u T G T H + o n / 8 u t 9 x H y e J d O N z 8 Q u C l P p y L U H Y n 3 C Q i + H q + C A m / C L t O H g j 5 A A A A A C P R t O P 0 O 9 y 2 2 a e m Y X f 4 R H w Q s s x M 9 r E g L q B C 9 1 1 E / 8 E R m R u u r 0 L 4 W E n O 5 X S N w O O L y C e v F 0 0 4 + y x j v 6 J W u p O P B t Q = = < / D a t a M a s h u p > 
</file>

<file path=customXml/itemProps1.xml><?xml version="1.0" encoding="utf-8"?>
<ds:datastoreItem xmlns:ds="http://schemas.openxmlformats.org/officeDocument/2006/customXml" ds:itemID="{C672E771-CCD4-460B-A6A4-4699114D7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Labels</vt:lpstr>
      <vt:lpstr>Values</vt:lpstr>
      <vt:lpstr>Values log</vt:lpstr>
      <vt:lpstr>Kd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Никитин</dc:creator>
  <cp:lastModifiedBy>Егор Никитин</cp:lastModifiedBy>
  <dcterms:created xsi:type="dcterms:W3CDTF">2015-06-05T18:19:34Z</dcterms:created>
  <dcterms:modified xsi:type="dcterms:W3CDTF">2023-10-17T13:50:26Z</dcterms:modified>
</cp:coreProperties>
</file>